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จัดซื้อจัดจ้างปี 2568\กองช่าง\โครงการซ่อมสร้างถนนลาดยางแอสๆฟัลต์ติกคอนกรีต สายทาง 1089 (817,714)\"/>
    </mc:Choice>
  </mc:AlternateContent>
  <bookViews>
    <workbookView xWindow="28680" yWindow="-120" windowWidth="29040" windowHeight="15720" tabRatio="725" firstSheet="3" activeTab="11"/>
  </bookViews>
  <sheets>
    <sheet name="S2" sheetId="15" r:id="rId1"/>
    <sheet name="S3" sheetId="14" r:id="rId2"/>
    <sheet name="ใบแจ้งปริมาณงานและราคา" sheetId="51" r:id="rId3"/>
    <sheet name="กรอกข้อมูล" sheetId="36" r:id="rId4"/>
    <sheet name="ปร.5" sheetId="49" r:id="rId5"/>
    <sheet name="ปร.งานทาง" sheetId="12" r:id="rId6"/>
    <sheet name="ราคาต้นทุน" sheetId="46" r:id="rId7"/>
    <sheet name="ราคาวัสดุ" sheetId="44" r:id="rId8"/>
    <sheet name="F" sheetId="37" r:id="rId9"/>
    <sheet name="ค่าหิน" sheetId="35" r:id="rId10"/>
    <sheet name="คำนวนขนส่งหิน" sheetId="38" r:id="rId11"/>
    <sheet name="คำนวนขนส่งยางอีกทอด" sheetId="41" r:id="rId12"/>
  </sheets>
  <externalReferences>
    <externalReference r:id="rId13"/>
    <externalReference r:id="rId14"/>
  </externalReferences>
  <definedNames>
    <definedName name="_xlnm.Print_Area" localSheetId="8">F!$A$1:$G$22</definedName>
    <definedName name="_xlnm.Print_Area" localSheetId="0">'S2'!$A$1:$BK$205</definedName>
    <definedName name="_xlnm.Print_Area" localSheetId="9">ค่าหิน!$A$1:$J$37</definedName>
    <definedName name="_xlnm.Print_Area" localSheetId="11">คำนวนขนส่งยางอีกทอด!$A$1:$I$22</definedName>
    <definedName name="_xlnm.Print_Area" localSheetId="10">คำนวนขนส่งหิน!$A$1:$R$41</definedName>
    <definedName name="_xlnm.Print_Area" localSheetId="2">ใบแจ้งปริมาณงานและราคา!$A$1:$J$45</definedName>
    <definedName name="_xlnm.Print_Area" localSheetId="4">ปร.5!$A$1:$I$33</definedName>
    <definedName name="_xlnm.Print_Area" localSheetId="5">ปร.งานทาง!$A$1:$L$96</definedName>
    <definedName name="_xlnm.Print_Area" localSheetId="6">ราคาต้นทุน!$A$1:$N$141</definedName>
    <definedName name="_xlnm.Print_Area" localSheetId="7">ราคาวัสดุ!$A$1:$K$44</definedName>
    <definedName name="_xlnm.Print_Titles" localSheetId="5">ปร.งานทาง!$1:$9</definedName>
    <definedName name="_xlnm.Print_Titles" localSheetId="6">ราคาต้นทุน!$1:$7</definedName>
    <definedName name="_xlnm.Print_Titles" localSheetId="7">ราคาวัสดุ!$2:$11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51" l="1"/>
  <c r="C19" i="51" s="1"/>
  <c r="B2" i="51"/>
  <c r="A2" i="51"/>
  <c r="C3" i="12"/>
  <c r="C5" i="44" l="1"/>
  <c r="C5" i="49" l="1"/>
  <c r="L132" i="46"/>
  <c r="L124" i="46" l="1"/>
  <c r="H37" i="12"/>
  <c r="F22" i="12"/>
  <c r="D4" i="49"/>
  <c r="C3" i="49"/>
  <c r="C2" i="12"/>
  <c r="C4" i="12"/>
  <c r="H8" i="41" l="1"/>
  <c r="F39" i="12"/>
  <c r="O25" i="12"/>
  <c r="P40" i="12"/>
  <c r="O73" i="12"/>
  <c r="G18" i="12"/>
  <c r="G17" i="12"/>
  <c r="M3" i="12"/>
  <c r="M2" i="12"/>
  <c r="U19" i="12"/>
  <c r="S19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W19" i="12" l="1"/>
  <c r="P19" i="12"/>
  <c r="M4" i="12"/>
  <c r="F19" i="12" s="1"/>
  <c r="F27" i="12" s="1"/>
  <c r="C5" i="12"/>
  <c r="F21" i="12" l="1"/>
  <c r="C2" i="49"/>
  <c r="C3" i="44"/>
  <c r="J8" i="44" l="1"/>
  <c r="J74" i="12" l="1"/>
  <c r="X5" i="37" l="1"/>
  <c r="L5" i="37"/>
  <c r="B22" i="12"/>
  <c r="F40" i="12"/>
  <c r="B30" i="12" l="1"/>
  <c r="B29" i="12"/>
  <c r="A4" i="37" l="1"/>
  <c r="A2" i="46"/>
  <c r="C8" i="49" l="1"/>
  <c r="C6" i="49"/>
  <c r="K8" i="44" l="1"/>
  <c r="F173" i="46"/>
  <c r="F163" i="46"/>
  <c r="C157" i="46"/>
  <c r="C167" i="46" s="1"/>
  <c r="C177" i="46" s="1"/>
  <c r="F153" i="46"/>
  <c r="C3" i="46" l="1"/>
  <c r="H87" i="12"/>
  <c r="Q87" i="12"/>
  <c r="R87" i="12" s="1"/>
  <c r="T87" i="12"/>
  <c r="R88" i="12"/>
  <c r="T88" i="12"/>
  <c r="K7" i="12"/>
  <c r="H78" i="12" l="1"/>
  <c r="F36" i="44" l="1"/>
  <c r="C40" i="46" s="1"/>
  <c r="F35" i="44"/>
  <c r="C16" i="46" s="1"/>
  <c r="C13" i="46"/>
  <c r="L13" i="46" s="1"/>
  <c r="E35" i="44" s="1"/>
  <c r="C37" i="46"/>
  <c r="L37" i="46" s="1"/>
  <c r="E36" i="44" s="1"/>
  <c r="F30" i="12"/>
  <c r="S14" i="12" l="1"/>
  <c r="U14" i="12"/>
  <c r="H83" i="12"/>
  <c r="Q9" i="38"/>
  <c r="E132" i="46"/>
  <c r="E127" i="46"/>
  <c r="D119" i="46"/>
  <c r="L24" i="46"/>
  <c r="W14" i="12" l="1"/>
  <c r="AD5" i="37"/>
  <c r="Q27" i="38"/>
  <c r="M29" i="38" s="1"/>
  <c r="Q29" i="38" s="1"/>
  <c r="G15" i="35"/>
  <c r="Y63" i="14"/>
  <c r="Y62" i="14"/>
  <c r="J75" i="12"/>
  <c r="H75" i="12"/>
  <c r="H74" i="12"/>
  <c r="K74" i="12" s="1"/>
  <c r="O74" i="12" s="1"/>
  <c r="A3" i="37"/>
  <c r="A2" i="37"/>
  <c r="E147" i="46"/>
  <c r="H147" i="46" s="1"/>
  <c r="G46" i="12"/>
  <c r="H46" i="12" s="1"/>
  <c r="C15" i="35"/>
  <c r="C25" i="35"/>
  <c r="H76" i="12"/>
  <c r="L49" i="12"/>
  <c r="L50" i="12"/>
  <c r="L51" i="12"/>
  <c r="L52" i="12"/>
  <c r="G49" i="12"/>
  <c r="H49" i="12" s="1"/>
  <c r="G50" i="12"/>
  <c r="H50" i="12" s="1"/>
  <c r="G51" i="12"/>
  <c r="H51" i="12" s="1"/>
  <c r="G52" i="12"/>
  <c r="H52" i="12" s="1"/>
  <c r="I48" i="12"/>
  <c r="K48" i="12" s="1"/>
  <c r="O48" i="12" s="1"/>
  <c r="R89" i="12"/>
  <c r="L113" i="46"/>
  <c r="G33" i="12"/>
  <c r="H33" i="12" s="1"/>
  <c r="E137" i="46"/>
  <c r="B130" i="46"/>
  <c r="I43" i="12"/>
  <c r="K43" i="12" s="1"/>
  <c r="O43" i="12" s="1"/>
  <c r="B135" i="46"/>
  <c r="B64" i="46"/>
  <c r="A1" i="12"/>
  <c r="H9" i="38"/>
  <c r="F21" i="38" s="1"/>
  <c r="D10" i="35" s="1"/>
  <c r="I23" i="12"/>
  <c r="J23" i="12" s="1"/>
  <c r="I42" i="12"/>
  <c r="G42" i="12"/>
  <c r="H42" i="12" s="1"/>
  <c r="S42" i="12"/>
  <c r="U42" i="12"/>
  <c r="H23" i="12"/>
  <c r="J20" i="44"/>
  <c r="J21" i="44"/>
  <c r="J22" i="44"/>
  <c r="L69" i="46" s="1"/>
  <c r="J23" i="44"/>
  <c r="J19" i="44"/>
  <c r="J18" i="44"/>
  <c r="J17" i="44"/>
  <c r="J16" i="44"/>
  <c r="J14" i="44"/>
  <c r="J13" i="44"/>
  <c r="E2" i="15"/>
  <c r="E9" i="15" s="1"/>
  <c r="F9" i="15" s="1"/>
  <c r="C2" i="15"/>
  <c r="D21" i="15" s="1"/>
  <c r="B71" i="46"/>
  <c r="L68" i="46"/>
  <c r="F68" i="46"/>
  <c r="B66" i="46"/>
  <c r="F34" i="12"/>
  <c r="F35" i="12" s="1"/>
  <c r="G16" i="12"/>
  <c r="H16" i="12" s="1"/>
  <c r="O221" i="46"/>
  <c r="O220" i="46"/>
  <c r="G218" i="46"/>
  <c r="F218" i="46"/>
  <c r="H218" i="46" s="1"/>
  <c r="G216" i="46"/>
  <c r="F216" i="46"/>
  <c r="L213" i="46"/>
  <c r="H198" i="46"/>
  <c r="F196" i="46"/>
  <c r="L192" i="46"/>
  <c r="E183" i="46"/>
  <c r="L214" i="46"/>
  <c r="F25" i="44"/>
  <c r="F26" i="44" s="1"/>
  <c r="L22" i="44"/>
  <c r="M14" i="44"/>
  <c r="M15" i="44"/>
  <c r="M16" i="44"/>
  <c r="M17" i="44"/>
  <c r="M18" i="44"/>
  <c r="M19" i="44"/>
  <c r="M13" i="44"/>
  <c r="F37" i="44"/>
  <c r="K7" i="44"/>
  <c r="J7" i="44"/>
  <c r="A7" i="44"/>
  <c r="C4" i="44"/>
  <c r="L6" i="46"/>
  <c r="T77" i="12"/>
  <c r="H77" i="12"/>
  <c r="S28" i="12"/>
  <c r="F20" i="41"/>
  <c r="H16" i="41"/>
  <c r="H15" i="41"/>
  <c r="H14" i="41"/>
  <c r="H12" i="41"/>
  <c r="H11" i="41"/>
  <c r="H10" i="41"/>
  <c r="C2" i="41"/>
  <c r="L194" i="46"/>
  <c r="M16" i="38"/>
  <c r="M34" i="38"/>
  <c r="Q34" i="38"/>
  <c r="M17" i="38"/>
  <c r="M35" i="38" s="1"/>
  <c r="Q35" i="38" s="1"/>
  <c r="Q17" i="38"/>
  <c r="M15" i="38"/>
  <c r="M33" i="38" s="1"/>
  <c r="Q33" i="38" s="1"/>
  <c r="Q15" i="38"/>
  <c r="C2" i="38"/>
  <c r="J24" i="38"/>
  <c r="J6" i="38"/>
  <c r="Q30" i="38"/>
  <c r="Q12" i="38"/>
  <c r="A6" i="38"/>
  <c r="H17" i="38"/>
  <c r="H16" i="38"/>
  <c r="H15" i="38"/>
  <c r="H13" i="38"/>
  <c r="H12" i="38"/>
  <c r="Q16" i="38"/>
  <c r="Q13" i="38"/>
  <c r="Q31" i="38"/>
  <c r="L193" i="46"/>
  <c r="R65" i="12"/>
  <c r="G41" i="12"/>
  <c r="H41" i="12" s="1"/>
  <c r="L65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H53" i="12"/>
  <c r="G54" i="12"/>
  <c r="H54" i="12" s="1"/>
  <c r="G55" i="12"/>
  <c r="H55" i="12" s="1"/>
  <c r="G56" i="12"/>
  <c r="H56" i="12" s="1"/>
  <c r="G57" i="12"/>
  <c r="H57" i="12" s="1"/>
  <c r="G58" i="12"/>
  <c r="H58" i="12" s="1"/>
  <c r="G59" i="12"/>
  <c r="H59" i="12" s="1"/>
  <c r="G60" i="12"/>
  <c r="H60" i="12" s="1"/>
  <c r="G61" i="12"/>
  <c r="H61" i="12" s="1"/>
  <c r="G62" i="12"/>
  <c r="H62" i="12" s="1"/>
  <c r="G63" i="12"/>
  <c r="H63" i="12" s="1"/>
  <c r="G64" i="12"/>
  <c r="H64" i="12" s="1"/>
  <c r="G66" i="12"/>
  <c r="H66" i="12" s="1"/>
  <c r="G67" i="12"/>
  <c r="H67" i="12" s="1"/>
  <c r="G68" i="12"/>
  <c r="H68" i="12" s="1"/>
  <c r="H69" i="12"/>
  <c r="H70" i="12"/>
  <c r="H71" i="12"/>
  <c r="H84" i="12"/>
  <c r="G86" i="12"/>
  <c r="H86" i="12" s="1"/>
  <c r="R56" i="12"/>
  <c r="G65" i="12"/>
  <c r="H65" i="12" s="1"/>
  <c r="U18" i="12"/>
  <c r="S18" i="12"/>
  <c r="P18" i="12" s="1"/>
  <c r="H44" i="12"/>
  <c r="H45" i="12"/>
  <c r="H40" i="12"/>
  <c r="AH15" i="37"/>
  <c r="AG15" i="37"/>
  <c r="AF15" i="37"/>
  <c r="AE15" i="37"/>
  <c r="AB15" i="37"/>
  <c r="AA15" i="37"/>
  <c r="Z15" i="37"/>
  <c r="Y15" i="37"/>
  <c r="P15" i="37"/>
  <c r="O15" i="37"/>
  <c r="N15" i="37"/>
  <c r="M15" i="37"/>
  <c r="A6" i="37"/>
  <c r="A1" i="37" s="1"/>
  <c r="R5" i="37"/>
  <c r="W24" i="12"/>
  <c r="C2" i="35"/>
  <c r="G30" i="35"/>
  <c r="A7" i="12"/>
  <c r="A5" i="41" s="1"/>
  <c r="J7" i="12"/>
  <c r="K6" i="46" s="1"/>
  <c r="G47" i="12"/>
  <c r="H47" i="12" s="1"/>
  <c r="H72" i="12"/>
  <c r="T85" i="12"/>
  <c r="T86" i="12"/>
  <c r="T89" i="12"/>
  <c r="U8" i="12"/>
  <c r="S17" i="12"/>
  <c r="H85" i="12"/>
  <c r="U89" i="12"/>
  <c r="U17" i="12"/>
  <c r="X24" i="12"/>
  <c r="BJ6" i="15"/>
  <c r="H220" i="46"/>
  <c r="BN23" i="15"/>
  <c r="BN24" i="15"/>
  <c r="BN25" i="15"/>
  <c r="BR6" i="15"/>
  <c r="BR4" i="15"/>
  <c r="BW16" i="15"/>
  <c r="BR5" i="15"/>
  <c r="BW10" i="15"/>
  <c r="BX10" i="15" s="1"/>
  <c r="BW11" i="15"/>
  <c r="BW12" i="15"/>
  <c r="BW13" i="15"/>
  <c r="BX13" i="15" s="1"/>
  <c r="BW14" i="15"/>
  <c r="BW15" i="15"/>
  <c r="BW17" i="15"/>
  <c r="BW18" i="15"/>
  <c r="BW19" i="15"/>
  <c r="BW20" i="15"/>
  <c r="BT11" i="15"/>
  <c r="BV11" i="15"/>
  <c r="BX11" i="15" s="1"/>
  <c r="BT10" i="15"/>
  <c r="BV10" i="15"/>
  <c r="BT13" i="15"/>
  <c r="BV13" i="15"/>
  <c r="BT15" i="15"/>
  <c r="BV15" i="15" s="1"/>
  <c r="BX15" i="15" s="1"/>
  <c r="BT18" i="15"/>
  <c r="BV18" i="15" s="1"/>
  <c r="BX18" i="15" s="1"/>
  <c r="BT17" i="15"/>
  <c r="BV17" i="15" s="1"/>
  <c r="BX17" i="15" s="1"/>
  <c r="BT19" i="15"/>
  <c r="BV19" i="15" s="1"/>
  <c r="BX19" i="15" s="1"/>
  <c r="BT16" i="15"/>
  <c r="BV16" i="15"/>
  <c r="BX16" i="15"/>
  <c r="BT20" i="15"/>
  <c r="BV20" i="15"/>
  <c r="BX20" i="15" s="1"/>
  <c r="BT12" i="15"/>
  <c r="BV12" i="15" s="1"/>
  <c r="BX12" i="15" s="1"/>
  <c r="BT14" i="15"/>
  <c r="BV14" i="15" s="1"/>
  <c r="BX14" i="15" s="1"/>
  <c r="H221" i="46"/>
  <c r="L195" i="46"/>
  <c r="L215" i="46"/>
  <c r="G32" i="12"/>
  <c r="H32" i="12" s="1"/>
  <c r="J77" i="12"/>
  <c r="J85" i="12"/>
  <c r="I41" i="12"/>
  <c r="I33" i="12"/>
  <c r="BQ31" i="15"/>
  <c r="G31" i="12"/>
  <c r="H31" i="12" s="1"/>
  <c r="I50" i="12"/>
  <c r="I52" i="12"/>
  <c r="I46" i="12"/>
  <c r="I51" i="12"/>
  <c r="I16" i="12"/>
  <c r="I31" i="12"/>
  <c r="I32" i="12"/>
  <c r="H17" i="41" l="1"/>
  <c r="F29" i="12"/>
  <c r="M26" i="12"/>
  <c r="C162" i="15"/>
  <c r="D202" i="15"/>
  <c r="BJ55" i="15"/>
  <c r="C114" i="15"/>
  <c r="D43" i="15"/>
  <c r="BJ32" i="15"/>
  <c r="BJ52" i="15"/>
  <c r="BJ5" i="15"/>
  <c r="C134" i="15"/>
  <c r="J12" i="44"/>
  <c r="C47" i="15"/>
  <c r="C19" i="15"/>
  <c r="H20" i="41" s="1"/>
  <c r="C15" i="15"/>
  <c r="D15" i="15"/>
  <c r="D11" i="15"/>
  <c r="C78" i="15"/>
  <c r="C58" i="15"/>
  <c r="C76" i="15"/>
  <c r="BK51" i="15"/>
  <c r="L66" i="46" s="1"/>
  <c r="C48" i="15"/>
  <c r="C44" i="15"/>
  <c r="C142" i="15"/>
  <c r="C122" i="15"/>
  <c r="C14" i="15"/>
  <c r="E157" i="46" s="1"/>
  <c r="E167" i="46" s="1"/>
  <c r="C102" i="15"/>
  <c r="H18" i="41"/>
  <c r="D18" i="41"/>
  <c r="BK29" i="15"/>
  <c r="L93" i="46" s="1"/>
  <c r="D50" i="15"/>
  <c r="D10" i="15"/>
  <c r="D134" i="15"/>
  <c r="D186" i="15"/>
  <c r="BK21" i="15"/>
  <c r="L19" i="46" s="1"/>
  <c r="D6" i="15"/>
  <c r="D203" i="15"/>
  <c r="D114" i="15"/>
  <c r="D166" i="15"/>
  <c r="BK14" i="15"/>
  <c r="C179" i="15"/>
  <c r="D175" i="15"/>
  <c r="D14" i="15"/>
  <c r="D184" i="15"/>
  <c r="BK6" i="15"/>
  <c r="C175" i="15"/>
  <c r="D171" i="15"/>
  <c r="C204" i="15"/>
  <c r="D180" i="15"/>
  <c r="BK15" i="15"/>
  <c r="L39" i="46" s="1"/>
  <c r="C147" i="15"/>
  <c r="D143" i="15"/>
  <c r="C176" i="15"/>
  <c r="D120" i="15"/>
  <c r="Q36" i="38"/>
  <c r="Q37" i="38" s="1"/>
  <c r="BK7" i="15"/>
  <c r="C143" i="15"/>
  <c r="D139" i="15"/>
  <c r="C172" i="15"/>
  <c r="D116" i="15"/>
  <c r="BK16" i="15"/>
  <c r="C115" i="15"/>
  <c r="D111" i="15"/>
  <c r="C144" i="15"/>
  <c r="D52" i="15"/>
  <c r="I34" i="12"/>
  <c r="BJ10" i="15"/>
  <c r="BK8" i="15"/>
  <c r="C111" i="15"/>
  <c r="D107" i="15"/>
  <c r="C140" i="15"/>
  <c r="D48" i="15"/>
  <c r="BJ19" i="15"/>
  <c r="BK9" i="15"/>
  <c r="L15" i="46" s="1"/>
  <c r="C83" i="15"/>
  <c r="D79" i="15"/>
  <c r="C112" i="15"/>
  <c r="C186" i="15"/>
  <c r="BJ23" i="15"/>
  <c r="BK44" i="15"/>
  <c r="C79" i="15"/>
  <c r="D75" i="15"/>
  <c r="C108" i="15"/>
  <c r="C154" i="15"/>
  <c r="BJ27" i="15"/>
  <c r="BK52" i="15"/>
  <c r="C51" i="15"/>
  <c r="D47" i="15"/>
  <c r="C80" i="15"/>
  <c r="C89" i="15"/>
  <c r="C4" i="38"/>
  <c r="C4" i="46"/>
  <c r="K1" i="15"/>
  <c r="BJ37" i="15"/>
  <c r="BJ20" i="15"/>
  <c r="BJ9" i="15"/>
  <c r="BK54" i="15"/>
  <c r="L112" i="46" s="1"/>
  <c r="BK55" i="15"/>
  <c r="L104" i="46" s="1"/>
  <c r="BK5" i="15"/>
  <c r="BK49" i="15"/>
  <c r="L71" i="46" s="1"/>
  <c r="BK42" i="15"/>
  <c r="BK35" i="15"/>
  <c r="C106" i="15"/>
  <c r="D162" i="15"/>
  <c r="C199" i="15"/>
  <c r="C167" i="15"/>
  <c r="C135" i="15"/>
  <c r="C103" i="15"/>
  <c r="C71" i="15"/>
  <c r="C39" i="15"/>
  <c r="C7" i="15"/>
  <c r="C70" i="15"/>
  <c r="D195" i="15"/>
  <c r="D163" i="15"/>
  <c r="D131" i="15"/>
  <c r="D99" i="15"/>
  <c r="D67" i="15"/>
  <c r="D35" i="15"/>
  <c r="C194" i="15"/>
  <c r="C6" i="15"/>
  <c r="D82" i="15"/>
  <c r="C196" i="15"/>
  <c r="C164" i="15"/>
  <c r="C132" i="15"/>
  <c r="C100" i="15"/>
  <c r="C68" i="15"/>
  <c r="C36" i="15"/>
  <c r="C66" i="15"/>
  <c r="D204" i="15"/>
  <c r="D156" i="15"/>
  <c r="D96" i="15"/>
  <c r="D28" i="15"/>
  <c r="C157" i="15"/>
  <c r="C10" i="15"/>
  <c r="F38" i="44"/>
  <c r="F39" i="44" s="1"/>
  <c r="F40" i="44" s="1"/>
  <c r="F41" i="44" s="1"/>
  <c r="F42" i="44" s="1"/>
  <c r="BJ24" i="15"/>
  <c r="BJ25" i="15"/>
  <c r="BJ17" i="15"/>
  <c r="BJ21" i="15"/>
  <c r="BK13" i="15"/>
  <c r="BK12" i="15"/>
  <c r="BK28" i="15"/>
  <c r="BK36" i="15"/>
  <c r="BK50" i="15"/>
  <c r="BK43" i="15"/>
  <c r="C126" i="15"/>
  <c r="D182" i="15"/>
  <c r="C203" i="15"/>
  <c r="C171" i="15"/>
  <c r="C139" i="15"/>
  <c r="C107" i="15"/>
  <c r="C75" i="15"/>
  <c r="C43" i="15"/>
  <c r="C11" i="15"/>
  <c r="C94" i="15"/>
  <c r="D199" i="15"/>
  <c r="D167" i="15"/>
  <c r="D135" i="15"/>
  <c r="D103" i="15"/>
  <c r="D71" i="15"/>
  <c r="D39" i="15"/>
  <c r="D7" i="15"/>
  <c r="C38" i="15"/>
  <c r="D94" i="15"/>
  <c r="C200" i="15"/>
  <c r="C168" i="15"/>
  <c r="C136" i="15"/>
  <c r="C104" i="15"/>
  <c r="C72" i="15"/>
  <c r="C40" i="15"/>
  <c r="C82" i="15"/>
  <c r="D26" i="15"/>
  <c r="D176" i="15"/>
  <c r="D112" i="15"/>
  <c r="D32" i="15"/>
  <c r="C22" i="15"/>
  <c r="C41" i="15"/>
  <c r="G13" i="12"/>
  <c r="H13" i="12" s="1"/>
  <c r="C81" i="15"/>
  <c r="BK37" i="15"/>
  <c r="C137" i="46" s="1"/>
  <c r="L137" i="46" s="1"/>
  <c r="BK22" i="15"/>
  <c r="BK23" i="15"/>
  <c r="BK24" i="15"/>
  <c r="BK17" i="15"/>
  <c r="L43" i="46" s="1"/>
  <c r="BK10" i="15"/>
  <c r="L20" i="46" s="1"/>
  <c r="C178" i="15"/>
  <c r="C34" i="15"/>
  <c r="D78" i="15"/>
  <c r="C183" i="15"/>
  <c r="C151" i="15"/>
  <c r="C119" i="15"/>
  <c r="C87" i="15"/>
  <c r="C55" i="15"/>
  <c r="C23" i="15"/>
  <c r="C150" i="15"/>
  <c r="D122" i="15"/>
  <c r="D179" i="15"/>
  <c r="D147" i="15"/>
  <c r="D115" i="15"/>
  <c r="D83" i="15"/>
  <c r="D51" i="15"/>
  <c r="D19" i="15"/>
  <c r="C98" i="15"/>
  <c r="D150" i="15"/>
  <c r="D30" i="15"/>
  <c r="C180" i="15"/>
  <c r="C148" i="15"/>
  <c r="C116" i="15"/>
  <c r="C84" i="15"/>
  <c r="C52" i="15"/>
  <c r="C146" i="15"/>
  <c r="C5" i="15"/>
  <c r="D188" i="15"/>
  <c r="D124" i="15"/>
  <c r="D72" i="15"/>
  <c r="D8" i="15"/>
  <c r="C117" i="15"/>
  <c r="BJ16" i="15"/>
  <c r="BJ36" i="15"/>
  <c r="BJ51" i="15"/>
  <c r="BK45" i="15"/>
  <c r="BK30" i="15"/>
  <c r="L99" i="46" s="1"/>
  <c r="BK31" i="15"/>
  <c r="L29" i="46" s="1"/>
  <c r="BK32" i="15"/>
  <c r="BK25" i="15"/>
  <c r="G19" i="12" s="1"/>
  <c r="H19" i="12" s="1"/>
  <c r="BK18" i="15"/>
  <c r="C202" i="15"/>
  <c r="C46" i="15"/>
  <c r="D110" i="15"/>
  <c r="C187" i="15"/>
  <c r="C155" i="15"/>
  <c r="C123" i="15"/>
  <c r="C91" i="15"/>
  <c r="C59" i="15"/>
  <c r="C27" i="15"/>
  <c r="C170" i="15"/>
  <c r="D190" i="15"/>
  <c r="D183" i="15"/>
  <c r="D151" i="15"/>
  <c r="D119" i="15"/>
  <c r="D87" i="15"/>
  <c r="D55" i="15"/>
  <c r="D23" i="15"/>
  <c r="C118" i="15"/>
  <c r="D158" i="15"/>
  <c r="D42" i="15"/>
  <c r="C184" i="15"/>
  <c r="C152" i="15"/>
  <c r="C120" i="15"/>
  <c r="C88" i="15"/>
  <c r="C56" i="15"/>
  <c r="C166" i="15"/>
  <c r="C18" i="15"/>
  <c r="D192" i="15"/>
  <c r="D128" i="15"/>
  <c r="D76" i="15"/>
  <c r="D12" i="15"/>
  <c r="C137" i="15"/>
  <c r="BJ12" i="15"/>
  <c r="BJ26" i="15"/>
  <c r="BJ15" i="15"/>
  <c r="BK53" i="15"/>
  <c r="BK38" i="15"/>
  <c r="BK39" i="15"/>
  <c r="BK40" i="15"/>
  <c r="BK33" i="15"/>
  <c r="BK26" i="15"/>
  <c r="L77" i="46" s="1"/>
  <c r="L82" i="46" s="1"/>
  <c r="BK19" i="15"/>
  <c r="L51" i="46" s="1"/>
  <c r="C62" i="15"/>
  <c r="D130" i="15"/>
  <c r="C191" i="15"/>
  <c r="C159" i="15"/>
  <c r="C127" i="15"/>
  <c r="C95" i="15"/>
  <c r="C63" i="15"/>
  <c r="C31" i="15"/>
  <c r="C190" i="15"/>
  <c r="C26" i="15"/>
  <c r="D187" i="15"/>
  <c r="D155" i="15"/>
  <c r="D123" i="15"/>
  <c r="D91" i="15"/>
  <c r="D59" i="15"/>
  <c r="D27" i="15"/>
  <c r="C138" i="15"/>
  <c r="D178" i="15"/>
  <c r="D58" i="15"/>
  <c r="C188" i="15"/>
  <c r="C156" i="15"/>
  <c r="C124" i="15"/>
  <c r="C92" i="15"/>
  <c r="C60" i="15"/>
  <c r="C28" i="15"/>
  <c r="C30" i="15"/>
  <c r="D196" i="15"/>
  <c r="D132" i="15"/>
  <c r="D88" i="15"/>
  <c r="D16" i="15"/>
  <c r="C141" i="15"/>
  <c r="J15" i="44"/>
  <c r="BJ54" i="15"/>
  <c r="BK20" i="15"/>
  <c r="L52" i="46" s="1"/>
  <c r="BK46" i="15"/>
  <c r="BK47" i="15"/>
  <c r="BK48" i="15"/>
  <c r="BK41" i="15"/>
  <c r="BK34" i="15"/>
  <c r="BK27" i="15"/>
  <c r="L87" i="46" s="1"/>
  <c r="C86" i="15"/>
  <c r="D146" i="15"/>
  <c r="C195" i="15"/>
  <c r="C163" i="15"/>
  <c r="C131" i="15"/>
  <c r="C99" i="15"/>
  <c r="C67" i="15"/>
  <c r="C35" i="15"/>
  <c r="D5" i="15"/>
  <c r="L26" i="46" s="1"/>
  <c r="C54" i="15"/>
  <c r="D191" i="15"/>
  <c r="D159" i="15"/>
  <c r="D127" i="15"/>
  <c r="D95" i="15"/>
  <c r="D63" i="15"/>
  <c r="D31" i="15"/>
  <c r="C158" i="15"/>
  <c r="D198" i="15"/>
  <c r="D70" i="15"/>
  <c r="C192" i="15"/>
  <c r="C160" i="15"/>
  <c r="C128" i="15"/>
  <c r="C96" i="15"/>
  <c r="C64" i="15"/>
  <c r="C32" i="15"/>
  <c r="C42" i="15"/>
  <c r="D200" i="15"/>
  <c r="D152" i="15"/>
  <c r="D92" i="15"/>
  <c r="D24" i="15"/>
  <c r="G36" i="44" s="1"/>
  <c r="J36" i="44" s="1"/>
  <c r="C145" i="15"/>
  <c r="H17" i="12"/>
  <c r="C4" i="35"/>
  <c r="J41" i="12"/>
  <c r="D160" i="15"/>
  <c r="D80" i="15"/>
  <c r="C174" i="15"/>
  <c r="C73" i="15"/>
  <c r="C125" i="15"/>
  <c r="C149" i="15"/>
  <c r="C182" i="15"/>
  <c r="D38" i="15"/>
  <c r="D136" i="15"/>
  <c r="D56" i="15"/>
  <c r="C181" i="15"/>
  <c r="C16" i="15"/>
  <c r="D54" i="15"/>
  <c r="D140" i="15"/>
  <c r="D60" i="15"/>
  <c r="C189" i="15"/>
  <c r="D105" i="15"/>
  <c r="C20" i="15"/>
  <c r="D66" i="15"/>
  <c r="D144" i="15"/>
  <c r="D64" i="15"/>
  <c r="D102" i="15"/>
  <c r="D118" i="15"/>
  <c r="C24" i="15"/>
  <c r="D90" i="15"/>
  <c r="D148" i="15"/>
  <c r="D68" i="15"/>
  <c r="D170" i="15"/>
  <c r="D154" i="15"/>
  <c r="D109" i="15"/>
  <c r="D141" i="15"/>
  <c r="D153" i="15"/>
  <c r="D205" i="15"/>
  <c r="D74" i="15"/>
  <c r="D138" i="15"/>
  <c r="D84" i="15"/>
  <c r="D20" i="15"/>
  <c r="C153" i="15"/>
  <c r="D194" i="15"/>
  <c r="C49" i="15"/>
  <c r="C198" i="15"/>
  <c r="D106" i="15"/>
  <c r="D164" i="15"/>
  <c r="D100" i="15"/>
  <c r="D36" i="15"/>
  <c r="C201" i="15"/>
  <c r="C61" i="15"/>
  <c r="D13" i="15"/>
  <c r="C8" i="15"/>
  <c r="D126" i="15"/>
  <c r="D168" i="15"/>
  <c r="D104" i="15"/>
  <c r="D40" i="15"/>
  <c r="C205" i="15"/>
  <c r="C65" i="15"/>
  <c r="D45" i="15"/>
  <c r="C12" i="15"/>
  <c r="D142" i="15"/>
  <c r="D172" i="15"/>
  <c r="D108" i="15"/>
  <c r="D44" i="15"/>
  <c r="D18" i="15"/>
  <c r="C69" i="15"/>
  <c r="D77" i="15"/>
  <c r="W17" i="12"/>
  <c r="J56" i="12"/>
  <c r="K76" i="12"/>
  <c r="O76" i="12" s="1"/>
  <c r="K75" i="12"/>
  <c r="O75" i="12" s="1"/>
  <c r="G34" i="12"/>
  <c r="H34" i="12" s="1"/>
  <c r="O38" i="12"/>
  <c r="G39" i="12"/>
  <c r="H39" i="12" s="1"/>
  <c r="I220" i="46"/>
  <c r="L220" i="46" s="1"/>
  <c r="I221" i="46"/>
  <c r="L221" i="46" s="1"/>
  <c r="D121" i="15"/>
  <c r="D174" i="15"/>
  <c r="D129" i="15"/>
  <c r="C50" i="15"/>
  <c r="C161" i="15"/>
  <c r="C97" i="15"/>
  <c r="C9" i="15"/>
  <c r="D157" i="15"/>
  <c r="D25" i="15"/>
  <c r="C74" i="15"/>
  <c r="C165" i="15"/>
  <c r="C101" i="15"/>
  <c r="C17" i="15"/>
  <c r="D161" i="15"/>
  <c r="D29" i="15"/>
  <c r="C90" i="15"/>
  <c r="C169" i="15"/>
  <c r="C105" i="15"/>
  <c r="C25" i="15"/>
  <c r="D165" i="15"/>
  <c r="D33" i="15"/>
  <c r="C110" i="15"/>
  <c r="C173" i="15"/>
  <c r="C109" i="15"/>
  <c r="C33" i="15"/>
  <c r="D169" i="15"/>
  <c r="D37" i="15"/>
  <c r="C130" i="15"/>
  <c r="C177" i="15"/>
  <c r="C113" i="15"/>
  <c r="C37" i="15"/>
  <c r="D185" i="15"/>
  <c r="D41" i="15"/>
  <c r="C185" i="15"/>
  <c r="C121" i="15"/>
  <c r="C45" i="15"/>
  <c r="D62" i="15"/>
  <c r="D57" i="15"/>
  <c r="C193" i="15"/>
  <c r="C129" i="15"/>
  <c r="C53" i="15"/>
  <c r="D86" i="15"/>
  <c r="D93" i="15"/>
  <c r="C197" i="15"/>
  <c r="C133" i="15"/>
  <c r="C57" i="15"/>
  <c r="D98" i="15"/>
  <c r="D101" i="15"/>
  <c r="C93" i="15"/>
  <c r="C29" i="15"/>
  <c r="D46" i="15"/>
  <c r="D97" i="15"/>
  <c r="C3" i="38"/>
  <c r="C77" i="15"/>
  <c r="C13" i="15"/>
  <c r="D173" i="15"/>
  <c r="D65" i="15"/>
  <c r="C85" i="15"/>
  <c r="C21" i="15"/>
  <c r="D193" i="15"/>
  <c r="D89" i="15"/>
  <c r="C4" i="41"/>
  <c r="E155" i="15"/>
  <c r="F155" i="15" s="1"/>
  <c r="E92" i="15"/>
  <c r="F92" i="15" s="1"/>
  <c r="E124" i="15"/>
  <c r="F124" i="15" s="1"/>
  <c r="E156" i="15"/>
  <c r="F156" i="15" s="1"/>
  <c r="E182" i="15"/>
  <c r="F182" i="15" s="1"/>
  <c r="E198" i="15"/>
  <c r="F198" i="15" s="1"/>
  <c r="E18" i="15"/>
  <c r="F18" i="15" s="1"/>
  <c r="Q38" i="12"/>
  <c r="E110" i="15"/>
  <c r="F110" i="15" s="1"/>
  <c r="D177" i="15"/>
  <c r="D113" i="15"/>
  <c r="D49" i="15"/>
  <c r="E50" i="15"/>
  <c r="F50" i="15" s="1"/>
  <c r="D181" i="15"/>
  <c r="D117" i="15"/>
  <c r="D53" i="15"/>
  <c r="E82" i="15"/>
  <c r="F82" i="15" s="1"/>
  <c r="D189" i="15"/>
  <c r="D125" i="15"/>
  <c r="D61" i="15"/>
  <c r="E142" i="15"/>
  <c r="F142" i="15" s="1"/>
  <c r="E174" i="15"/>
  <c r="F174" i="15" s="1"/>
  <c r="E107" i="15"/>
  <c r="F107" i="15" s="1"/>
  <c r="D197" i="15"/>
  <c r="D133" i="15"/>
  <c r="D69" i="15"/>
  <c r="E191" i="15"/>
  <c r="F191" i="15" s="1"/>
  <c r="E123" i="15"/>
  <c r="F123" i="15" s="1"/>
  <c r="D201" i="15"/>
  <c r="D137" i="15"/>
  <c r="D73" i="15"/>
  <c r="D9" i="15"/>
  <c r="E139" i="15"/>
  <c r="F139" i="15" s="1"/>
  <c r="D22" i="15"/>
  <c r="D145" i="15"/>
  <c r="D81" i="15"/>
  <c r="D17" i="15"/>
  <c r="E28" i="15"/>
  <c r="F28" i="15" s="1"/>
  <c r="Q40" i="12"/>
  <c r="D34" i="15"/>
  <c r="D149" i="15"/>
  <c r="D85" i="15"/>
  <c r="E60" i="15"/>
  <c r="F60" i="15" s="1"/>
  <c r="Q7" i="12"/>
  <c r="E91" i="15"/>
  <c r="F91" i="15" s="1"/>
  <c r="J33" i="12"/>
  <c r="R90" i="12"/>
  <c r="K46" i="12"/>
  <c r="O46" i="12" s="1"/>
  <c r="W18" i="12"/>
  <c r="K57" i="12"/>
  <c r="O57" i="12" s="1"/>
  <c r="J57" i="12"/>
  <c r="K54" i="12"/>
  <c r="O54" i="12" s="1"/>
  <c r="J16" i="12"/>
  <c r="K55" i="12"/>
  <c r="O55" i="12" s="1"/>
  <c r="K68" i="12"/>
  <c r="O68" i="12" s="1"/>
  <c r="K67" i="12"/>
  <c r="O67" i="12" s="1"/>
  <c r="J51" i="12"/>
  <c r="K60" i="12"/>
  <c r="O60" i="12" s="1"/>
  <c r="C3" i="41"/>
  <c r="F24" i="12"/>
  <c r="I24" i="12" s="1"/>
  <c r="C3" i="35"/>
  <c r="I149" i="46"/>
  <c r="L31" i="12"/>
  <c r="I35" i="12"/>
  <c r="G35" i="12"/>
  <c r="H35" i="12" s="1"/>
  <c r="J86" i="12"/>
  <c r="J42" i="12"/>
  <c r="K50" i="12"/>
  <c r="O50" i="12" s="1"/>
  <c r="J52" i="12"/>
  <c r="J58" i="12"/>
  <c r="K59" i="12"/>
  <c r="O59" i="12" s="1"/>
  <c r="K61" i="12"/>
  <c r="O61" i="12" s="1"/>
  <c r="J62" i="12"/>
  <c r="J31" i="12"/>
  <c r="J63" i="12"/>
  <c r="J64" i="12"/>
  <c r="K72" i="12"/>
  <c r="O72" i="12" s="1"/>
  <c r="K65" i="12"/>
  <c r="O65" i="12" s="1"/>
  <c r="J59" i="12"/>
  <c r="Q39" i="12"/>
  <c r="O39" i="12"/>
  <c r="D11" i="35"/>
  <c r="D12" i="35" s="1"/>
  <c r="D13" i="35" s="1"/>
  <c r="D14" i="35" s="1"/>
  <c r="D15" i="35" s="1"/>
  <c r="K63" i="12"/>
  <c r="O63" i="12" s="1"/>
  <c r="K86" i="12"/>
  <c r="O86" i="12" s="1"/>
  <c r="K64" i="12"/>
  <c r="O64" i="12" s="1"/>
  <c r="K62" i="12"/>
  <c r="O62" i="12" s="1"/>
  <c r="J46" i="12"/>
  <c r="J50" i="12"/>
  <c r="J61" i="12"/>
  <c r="J65" i="12"/>
  <c r="J76" i="12"/>
  <c r="K85" i="12"/>
  <c r="O85" i="12" s="1"/>
  <c r="K41" i="12"/>
  <c r="O41" i="12" s="1"/>
  <c r="K32" i="12"/>
  <c r="O32" i="12" s="1"/>
  <c r="K42" i="12"/>
  <c r="O42" i="12" s="1"/>
  <c r="E171" i="15"/>
  <c r="F171" i="15" s="1"/>
  <c r="B6" i="46"/>
  <c r="J60" i="12"/>
  <c r="J48" i="12"/>
  <c r="H18" i="12"/>
  <c r="K56" i="12"/>
  <c r="O56" i="12" s="1"/>
  <c r="K16" i="12"/>
  <c r="O16" i="12" s="1"/>
  <c r="E59" i="15"/>
  <c r="F59" i="15" s="1"/>
  <c r="B5" i="35"/>
  <c r="E75" i="15"/>
  <c r="F75" i="15" s="1"/>
  <c r="J32" i="12"/>
  <c r="K23" i="12"/>
  <c r="O23" i="12" s="1"/>
  <c r="K52" i="12"/>
  <c r="O52" i="12" s="1"/>
  <c r="J55" i="12"/>
  <c r="K31" i="12"/>
  <c r="O31" i="12" s="1"/>
  <c r="K51" i="12"/>
  <c r="O51" i="12" s="1"/>
  <c r="J68" i="12"/>
  <c r="E70" i="46"/>
  <c r="L70" i="46"/>
  <c r="O21" i="38"/>
  <c r="M11" i="38"/>
  <c r="Q11" i="38" s="1"/>
  <c r="Q18" i="38" s="1"/>
  <c r="E11" i="15"/>
  <c r="F11" i="15" s="1"/>
  <c r="E193" i="15"/>
  <c r="F193" i="15" s="1"/>
  <c r="E177" i="15"/>
  <c r="F177" i="15" s="1"/>
  <c r="E146" i="15"/>
  <c r="F146" i="15" s="1"/>
  <c r="E114" i="15"/>
  <c r="F114" i="15" s="1"/>
  <c r="E86" i="15"/>
  <c r="F86" i="15" s="1"/>
  <c r="E54" i="15"/>
  <c r="F54" i="15" s="1"/>
  <c r="E22" i="15"/>
  <c r="F22" i="15" s="1"/>
  <c r="E200" i="15"/>
  <c r="F200" i="15" s="1"/>
  <c r="E184" i="15"/>
  <c r="F184" i="15" s="1"/>
  <c r="E160" i="15"/>
  <c r="F160" i="15" s="1"/>
  <c r="E128" i="15"/>
  <c r="F128" i="15" s="1"/>
  <c r="E96" i="15"/>
  <c r="F96" i="15" s="1"/>
  <c r="E64" i="15"/>
  <c r="F64" i="15" s="1"/>
  <c r="E32" i="15"/>
  <c r="F32" i="15" s="1"/>
  <c r="E173" i="15"/>
  <c r="F173" i="15" s="1"/>
  <c r="E157" i="15"/>
  <c r="F157" i="15" s="1"/>
  <c r="E141" i="15"/>
  <c r="F141" i="15" s="1"/>
  <c r="E125" i="15"/>
  <c r="F125" i="15" s="1"/>
  <c r="E109" i="15"/>
  <c r="F109" i="15" s="1"/>
  <c r="E93" i="15"/>
  <c r="F93" i="15" s="1"/>
  <c r="E77" i="15"/>
  <c r="F77" i="15" s="1"/>
  <c r="E61" i="15"/>
  <c r="F61" i="15" s="1"/>
  <c r="E45" i="15"/>
  <c r="F45" i="15" s="1"/>
  <c r="E29" i="15"/>
  <c r="F29" i="15" s="1"/>
  <c r="E13" i="15"/>
  <c r="F13" i="15" s="1"/>
  <c r="D108" i="46"/>
  <c r="L108" i="46" s="1"/>
  <c r="O39" i="38"/>
  <c r="A5" i="38"/>
  <c r="E195" i="15"/>
  <c r="F195" i="15" s="1"/>
  <c r="E179" i="15"/>
  <c r="F179" i="15" s="1"/>
  <c r="E150" i="15"/>
  <c r="F150" i="15" s="1"/>
  <c r="E118" i="15"/>
  <c r="F118" i="15" s="1"/>
  <c r="E90" i="15"/>
  <c r="E58" i="15"/>
  <c r="F58" i="15" s="1"/>
  <c r="E26" i="15"/>
  <c r="F26" i="15" s="1"/>
  <c r="E202" i="15"/>
  <c r="F202" i="15" s="1"/>
  <c r="E186" i="15"/>
  <c r="F186" i="15" s="1"/>
  <c r="E164" i="15"/>
  <c r="F164" i="15" s="1"/>
  <c r="E132" i="15"/>
  <c r="F132" i="15" s="1"/>
  <c r="E100" i="15"/>
  <c r="F100" i="15" s="1"/>
  <c r="E68" i="15"/>
  <c r="F68" i="15" s="1"/>
  <c r="E36" i="15"/>
  <c r="F36" i="15" s="1"/>
  <c r="E175" i="15"/>
  <c r="F175" i="15" s="1"/>
  <c r="E159" i="15"/>
  <c r="F159" i="15" s="1"/>
  <c r="E143" i="15"/>
  <c r="F143" i="15" s="1"/>
  <c r="E127" i="15"/>
  <c r="F127" i="15" s="1"/>
  <c r="E111" i="15"/>
  <c r="F111" i="15" s="1"/>
  <c r="E95" i="15"/>
  <c r="F95" i="15" s="1"/>
  <c r="E79" i="15"/>
  <c r="F79" i="15" s="1"/>
  <c r="E63" i="15"/>
  <c r="F63" i="15" s="1"/>
  <c r="E47" i="15"/>
  <c r="F47" i="15" s="1"/>
  <c r="E31" i="15"/>
  <c r="F31" i="15" s="1"/>
  <c r="E15" i="15"/>
  <c r="F15" i="15" s="1"/>
  <c r="J43" i="12"/>
  <c r="K33" i="12"/>
  <c r="O33" i="12" s="1"/>
  <c r="E197" i="15"/>
  <c r="F197" i="15" s="1"/>
  <c r="E181" i="15"/>
  <c r="F181" i="15" s="1"/>
  <c r="E154" i="15"/>
  <c r="F154" i="15" s="1"/>
  <c r="E122" i="15"/>
  <c r="F122" i="15" s="1"/>
  <c r="E62" i="15"/>
  <c r="F62" i="15" s="1"/>
  <c r="E30" i="15"/>
  <c r="F30" i="15" s="1"/>
  <c r="E204" i="15"/>
  <c r="F204" i="15" s="1"/>
  <c r="E188" i="15"/>
  <c r="F188" i="15" s="1"/>
  <c r="E168" i="15"/>
  <c r="F168" i="15" s="1"/>
  <c r="E136" i="15"/>
  <c r="F136" i="15" s="1"/>
  <c r="E104" i="15"/>
  <c r="F104" i="15" s="1"/>
  <c r="E72" i="15"/>
  <c r="F72" i="15" s="1"/>
  <c r="E40" i="15"/>
  <c r="F40" i="15" s="1"/>
  <c r="E8" i="15"/>
  <c r="F8" i="15" s="1"/>
  <c r="E161" i="15"/>
  <c r="F161" i="15" s="1"/>
  <c r="E145" i="15"/>
  <c r="F145" i="15" s="1"/>
  <c r="E129" i="15"/>
  <c r="F129" i="15" s="1"/>
  <c r="E113" i="15"/>
  <c r="F113" i="15" s="1"/>
  <c r="E97" i="15"/>
  <c r="F97" i="15" s="1"/>
  <c r="E81" i="15"/>
  <c r="F81" i="15" s="1"/>
  <c r="E65" i="15"/>
  <c r="F65" i="15" s="1"/>
  <c r="E49" i="15"/>
  <c r="F49" i="15" s="1"/>
  <c r="E33" i="15"/>
  <c r="F33" i="15" s="1"/>
  <c r="E17" i="15"/>
  <c r="F17" i="15" s="1"/>
  <c r="E27" i="15"/>
  <c r="F27" i="15" s="1"/>
  <c r="J67" i="12"/>
  <c r="E199" i="15"/>
  <c r="F199" i="15" s="1"/>
  <c r="E183" i="15"/>
  <c r="F183" i="15" s="1"/>
  <c r="E158" i="15"/>
  <c r="F158" i="15" s="1"/>
  <c r="E126" i="15"/>
  <c r="F126" i="15" s="1"/>
  <c r="E94" i="15"/>
  <c r="F94" i="15" s="1"/>
  <c r="E66" i="15"/>
  <c r="F66" i="15" s="1"/>
  <c r="E34" i="15"/>
  <c r="F34" i="15" s="1"/>
  <c r="E5" i="15"/>
  <c r="F5" i="15" s="1"/>
  <c r="E190" i="15"/>
  <c r="F190" i="15" s="1"/>
  <c r="E172" i="15"/>
  <c r="F172" i="15" s="1"/>
  <c r="E140" i="15"/>
  <c r="F140" i="15" s="1"/>
  <c r="E108" i="15"/>
  <c r="F108" i="15" s="1"/>
  <c r="E76" i="15"/>
  <c r="F76" i="15" s="1"/>
  <c r="E44" i="15"/>
  <c r="F44" i="15" s="1"/>
  <c r="E12" i="15"/>
  <c r="F12" i="15" s="1"/>
  <c r="E163" i="15"/>
  <c r="F163" i="15" s="1"/>
  <c r="E147" i="15"/>
  <c r="F147" i="15" s="1"/>
  <c r="E131" i="15"/>
  <c r="F131" i="15" s="1"/>
  <c r="E115" i="15"/>
  <c r="F115" i="15" s="1"/>
  <c r="E99" i="15"/>
  <c r="F99" i="15" s="1"/>
  <c r="E83" i="15"/>
  <c r="F83" i="15" s="1"/>
  <c r="E67" i="15"/>
  <c r="F67" i="15" s="1"/>
  <c r="E51" i="15"/>
  <c r="F51" i="15" s="1"/>
  <c r="E35" i="15"/>
  <c r="F35" i="15" s="1"/>
  <c r="E19" i="15"/>
  <c r="F19" i="15" s="1"/>
  <c r="K58" i="12"/>
  <c r="O58" i="12" s="1"/>
  <c r="E201" i="15"/>
  <c r="F201" i="15" s="1"/>
  <c r="E185" i="15"/>
  <c r="F185" i="15" s="1"/>
  <c r="E162" i="15"/>
  <c r="F162" i="15" s="1"/>
  <c r="E130" i="15"/>
  <c r="F130" i="15" s="1"/>
  <c r="E98" i="15"/>
  <c r="F98" i="15" s="1"/>
  <c r="E70" i="15"/>
  <c r="F70" i="15" s="1"/>
  <c r="E38" i="15"/>
  <c r="F38" i="15" s="1"/>
  <c r="E6" i="15"/>
  <c r="F6" i="15" s="1"/>
  <c r="E192" i="15"/>
  <c r="F192" i="15" s="1"/>
  <c r="E176" i="15"/>
  <c r="F176" i="15" s="1"/>
  <c r="E144" i="15"/>
  <c r="F144" i="15" s="1"/>
  <c r="E112" i="15"/>
  <c r="F112" i="15" s="1"/>
  <c r="E80" i="15"/>
  <c r="F80" i="15" s="1"/>
  <c r="E48" i="15"/>
  <c r="F48" i="15" s="1"/>
  <c r="E16" i="15"/>
  <c r="F16" i="15" s="1"/>
  <c r="E165" i="15"/>
  <c r="F165" i="15" s="1"/>
  <c r="E149" i="15"/>
  <c r="F149" i="15" s="1"/>
  <c r="E133" i="15"/>
  <c r="F133" i="15" s="1"/>
  <c r="E117" i="15"/>
  <c r="F117" i="15" s="1"/>
  <c r="E101" i="15"/>
  <c r="F101" i="15" s="1"/>
  <c r="E85" i="15"/>
  <c r="F85" i="15" s="1"/>
  <c r="E69" i="15"/>
  <c r="F69" i="15" s="1"/>
  <c r="E53" i="15"/>
  <c r="F53" i="15" s="1"/>
  <c r="E37" i="15"/>
  <c r="F37" i="15" s="1"/>
  <c r="E21" i="15"/>
  <c r="F21" i="15" s="1"/>
  <c r="D11" i="38"/>
  <c r="H11" i="38" s="1"/>
  <c r="H18" i="38" s="1"/>
  <c r="J54" i="12"/>
  <c r="J72" i="12"/>
  <c r="K77" i="12"/>
  <c r="O77" i="12" s="1"/>
  <c r="E203" i="15"/>
  <c r="F203" i="15" s="1"/>
  <c r="E187" i="15"/>
  <c r="F187" i="15" s="1"/>
  <c r="E166" i="15"/>
  <c r="F166" i="15" s="1"/>
  <c r="E134" i="15"/>
  <c r="F134" i="15" s="1"/>
  <c r="E102" i="15"/>
  <c r="F102" i="15" s="1"/>
  <c r="E74" i="15"/>
  <c r="F74" i="15" s="1"/>
  <c r="E42" i="15"/>
  <c r="F42" i="15" s="1"/>
  <c r="E10" i="15"/>
  <c r="F10" i="15" s="1"/>
  <c r="E194" i="15"/>
  <c r="F194" i="15" s="1"/>
  <c r="E178" i="15"/>
  <c r="F178" i="15" s="1"/>
  <c r="E148" i="15"/>
  <c r="F148" i="15" s="1"/>
  <c r="E116" i="15"/>
  <c r="F116" i="15" s="1"/>
  <c r="E84" i="15"/>
  <c r="F84" i="15" s="1"/>
  <c r="E52" i="15"/>
  <c r="F52" i="15" s="1"/>
  <c r="E20" i="15"/>
  <c r="F20" i="15" s="1"/>
  <c r="E167" i="15"/>
  <c r="F167" i="15" s="1"/>
  <c r="E151" i="15"/>
  <c r="F151" i="15" s="1"/>
  <c r="E135" i="15"/>
  <c r="F135" i="15" s="1"/>
  <c r="E119" i="15"/>
  <c r="F119" i="15" s="1"/>
  <c r="E103" i="15"/>
  <c r="F103" i="15" s="1"/>
  <c r="E87" i="15"/>
  <c r="F87" i="15" s="1"/>
  <c r="E71" i="15"/>
  <c r="F71" i="15" s="1"/>
  <c r="E55" i="15"/>
  <c r="F55" i="15" s="1"/>
  <c r="E39" i="15"/>
  <c r="F39" i="15" s="1"/>
  <c r="E23" i="15"/>
  <c r="F23" i="15" s="1"/>
  <c r="E7" i="15"/>
  <c r="F7" i="15" s="1"/>
  <c r="E43" i="15"/>
  <c r="F43" i="15" s="1"/>
  <c r="E205" i="15"/>
  <c r="E189" i="15"/>
  <c r="F189" i="15" s="1"/>
  <c r="E170" i="15"/>
  <c r="F170" i="15" s="1"/>
  <c r="E138" i="15"/>
  <c r="F138" i="15" s="1"/>
  <c r="E106" i="15"/>
  <c r="F106" i="15" s="1"/>
  <c r="E78" i="15"/>
  <c r="F78" i="15" s="1"/>
  <c r="E46" i="15"/>
  <c r="F46" i="15" s="1"/>
  <c r="E14" i="15"/>
  <c r="F14" i="15" s="1"/>
  <c r="E196" i="15"/>
  <c r="F196" i="15" s="1"/>
  <c r="E180" i="15"/>
  <c r="F180" i="15" s="1"/>
  <c r="E152" i="15"/>
  <c r="F152" i="15" s="1"/>
  <c r="E120" i="15"/>
  <c r="F120" i="15" s="1"/>
  <c r="E88" i="15"/>
  <c r="F88" i="15" s="1"/>
  <c r="E56" i="15"/>
  <c r="F56" i="15" s="1"/>
  <c r="E24" i="15"/>
  <c r="F24" i="15" s="1"/>
  <c r="E169" i="15"/>
  <c r="F169" i="15" s="1"/>
  <c r="E153" i="15"/>
  <c r="F153" i="15" s="1"/>
  <c r="E137" i="15"/>
  <c r="F137" i="15" s="1"/>
  <c r="E121" i="15"/>
  <c r="F121" i="15" s="1"/>
  <c r="E105" i="15"/>
  <c r="F105" i="15" s="1"/>
  <c r="E89" i="15"/>
  <c r="F89" i="15" s="1"/>
  <c r="E73" i="15"/>
  <c r="F73" i="15" s="1"/>
  <c r="E57" i="15"/>
  <c r="F57" i="15" s="1"/>
  <c r="E41" i="15"/>
  <c r="F41" i="15" s="1"/>
  <c r="E25" i="15"/>
  <c r="F25" i="15" s="1"/>
  <c r="C132" i="46" l="1"/>
  <c r="H21" i="41"/>
  <c r="G37" i="44"/>
  <c r="L30" i="46"/>
  <c r="H153" i="46"/>
  <c r="H163" i="46" s="1"/>
  <c r="H173" i="46" s="1"/>
  <c r="L173" i="46" s="1"/>
  <c r="L25" i="46"/>
  <c r="L27" i="46" s="1"/>
  <c r="L28" i="46" s="1"/>
  <c r="H157" i="46"/>
  <c r="L158" i="46" s="1"/>
  <c r="G35" i="44"/>
  <c r="J35" i="44" s="1"/>
  <c r="H21" i="38"/>
  <c r="L72" i="46"/>
  <c r="L73" i="46" s="1"/>
  <c r="G22" i="12" s="1"/>
  <c r="H22" i="12" s="1"/>
  <c r="K34" i="12"/>
  <c r="O34" i="12" s="1"/>
  <c r="M37" i="38"/>
  <c r="L60" i="46"/>
  <c r="D110" i="46"/>
  <c r="L110" i="46" s="1"/>
  <c r="G60" i="46"/>
  <c r="H167" i="46"/>
  <c r="E177" i="46"/>
  <c r="H177" i="46" s="1"/>
  <c r="L40" i="46"/>
  <c r="L41" i="46" s="1"/>
  <c r="E42" i="46" s="1"/>
  <c r="L196" i="46"/>
  <c r="E111" i="46"/>
  <c r="L111" i="46" s="1"/>
  <c r="H149" i="46"/>
  <c r="L149" i="46" s="1"/>
  <c r="L216" i="46"/>
  <c r="G25" i="44"/>
  <c r="J25" i="44" s="1"/>
  <c r="G26" i="44"/>
  <c r="J26" i="44" s="1"/>
  <c r="G24" i="44"/>
  <c r="J24" i="44" s="1"/>
  <c r="G79" i="12" s="1"/>
  <c r="H79" i="12" s="1"/>
  <c r="J34" i="12"/>
  <c r="E21" i="41"/>
  <c r="S39" i="12"/>
  <c r="J35" i="12"/>
  <c r="K35" i="12"/>
  <c r="O35" i="12" s="1"/>
  <c r="G12" i="12"/>
  <c r="H12" i="12" s="1"/>
  <c r="F205" i="15"/>
  <c r="D19" i="38"/>
  <c r="H19" i="38"/>
  <c r="M19" i="38"/>
  <c r="Q19" i="38"/>
  <c r="G72" i="46"/>
  <c r="H119" i="46"/>
  <c r="F90" i="15"/>
  <c r="D20" i="35"/>
  <c r="D21" i="35" s="1"/>
  <c r="D22" i="35" s="1"/>
  <c r="D23" i="35" s="1"/>
  <c r="D24" i="35" s="1"/>
  <c r="D25" i="35" s="1"/>
  <c r="Q39" i="38"/>
  <c r="H10" i="35"/>
  <c r="H11" i="35" s="1"/>
  <c r="H12" i="35" s="1"/>
  <c r="H13" i="35" s="1"/>
  <c r="H14" i="35" s="1"/>
  <c r="H15" i="35" s="1"/>
  <c r="Q21" i="38"/>
  <c r="C158" i="46" l="1"/>
  <c r="L153" i="46"/>
  <c r="L160" i="46" s="1"/>
  <c r="L161" i="46" s="1"/>
  <c r="L163" i="46"/>
  <c r="L16" i="46"/>
  <c r="L17" i="46" s="1"/>
  <c r="E18" i="46" s="1"/>
  <c r="L168" i="46"/>
  <c r="L170" i="46" s="1"/>
  <c r="L171" i="46" s="1"/>
  <c r="G81" i="12" s="1"/>
  <c r="H81" i="12" s="1"/>
  <c r="C168" i="46"/>
  <c r="L178" i="46"/>
  <c r="L180" i="46" s="1"/>
  <c r="L181" i="46" s="1"/>
  <c r="G82" i="12" s="1"/>
  <c r="H82" i="12" s="1"/>
  <c r="C178" i="46"/>
  <c r="L42" i="46"/>
  <c r="L44" i="46" s="1"/>
  <c r="L45" i="46" s="1"/>
  <c r="G15" i="12" s="1"/>
  <c r="H15" i="12" s="1"/>
  <c r="L31" i="46"/>
  <c r="L32" i="46" s="1"/>
  <c r="G31" i="46"/>
  <c r="E28" i="46"/>
  <c r="N22" i="38"/>
  <c r="L225" i="46"/>
  <c r="L116" i="46"/>
  <c r="L224" i="46"/>
  <c r="L210" i="46"/>
  <c r="F116" i="46"/>
  <c r="J37" i="44"/>
  <c r="G38" i="44"/>
  <c r="Q40" i="38"/>
  <c r="E20" i="35" s="1"/>
  <c r="N40" i="38"/>
  <c r="E22" i="38"/>
  <c r="H22" i="38"/>
  <c r="E10" i="35" s="1"/>
  <c r="F10" i="35" s="1"/>
  <c r="Q22" i="38"/>
  <c r="I10" i="35" s="1"/>
  <c r="D122" i="46" l="1"/>
  <c r="L122" i="46"/>
  <c r="L18" i="46"/>
  <c r="G21" i="46" s="1"/>
  <c r="G80" i="12"/>
  <c r="H80" i="12" s="1"/>
  <c r="G44" i="46"/>
  <c r="B117" i="46"/>
  <c r="L118" i="46"/>
  <c r="L120" i="46" s="1"/>
  <c r="L212" i="46"/>
  <c r="L211" i="46"/>
  <c r="J38" i="44"/>
  <c r="G39" i="44"/>
  <c r="F20" i="35"/>
  <c r="E21" i="35"/>
  <c r="E11" i="35"/>
  <c r="I11" i="35"/>
  <c r="J10" i="35"/>
  <c r="L21" i="46" l="1"/>
  <c r="L22" i="46" s="1"/>
  <c r="G14" i="12" s="1"/>
  <c r="H14" i="12" s="1"/>
  <c r="L217" i="46"/>
  <c r="L218" i="46" s="1"/>
  <c r="L222" i="46" s="1"/>
  <c r="S117" i="46"/>
  <c r="L191" i="46"/>
  <c r="L197" i="46" s="1"/>
  <c r="L198" i="46" s="1"/>
  <c r="E120" i="46"/>
  <c r="F32" i="35"/>
  <c r="I12" i="35"/>
  <c r="J11" i="35"/>
  <c r="E22" i="35"/>
  <c r="F21" i="35"/>
  <c r="J39" i="44"/>
  <c r="G40" i="44"/>
  <c r="D103" i="46"/>
  <c r="L103" i="46" s="1"/>
  <c r="L105" i="46" s="1"/>
  <c r="E76" i="46"/>
  <c r="E12" i="35"/>
  <c r="F11" i="35"/>
  <c r="G32" i="35" l="1"/>
  <c r="K30" i="44" s="1"/>
  <c r="E32" i="35"/>
  <c r="D32" i="35" s="1"/>
  <c r="H222" i="46"/>
  <c r="L223" i="46"/>
  <c r="H223" i="46"/>
  <c r="L121" i="46"/>
  <c r="E121" i="46"/>
  <c r="C32" i="35"/>
  <c r="E28" i="44" s="1"/>
  <c r="G41" i="44"/>
  <c r="J40" i="44"/>
  <c r="F12" i="35"/>
  <c r="E13" i="35"/>
  <c r="L76" i="46"/>
  <c r="F33" i="35"/>
  <c r="F22" i="35"/>
  <c r="E23" i="35"/>
  <c r="J12" i="35"/>
  <c r="I13" i="35"/>
  <c r="F30" i="44" l="1"/>
  <c r="L47" i="46"/>
  <c r="L57" i="46" s="1"/>
  <c r="G30" i="44"/>
  <c r="G27" i="44" s="1"/>
  <c r="F34" i="35"/>
  <c r="G34" i="35" s="1"/>
  <c r="K32" i="44" s="1"/>
  <c r="G42" i="44"/>
  <c r="J42" i="44" s="1"/>
  <c r="G107" i="46" s="1"/>
  <c r="L107" i="46" s="1"/>
  <c r="J41" i="44"/>
  <c r="E81" i="46" s="1"/>
  <c r="L81" i="46" s="1"/>
  <c r="L83" i="46" s="1"/>
  <c r="L84" i="46" s="1"/>
  <c r="G27" i="12" s="1"/>
  <c r="H27" i="12" s="1"/>
  <c r="F13" i="35"/>
  <c r="E14" i="35"/>
  <c r="I14" i="35"/>
  <c r="J13" i="35"/>
  <c r="G78" i="46"/>
  <c r="L78" i="46"/>
  <c r="L79" i="46" s="1"/>
  <c r="G26" i="12" s="1"/>
  <c r="H26" i="12" s="1"/>
  <c r="E33" i="35"/>
  <c r="C33" i="35"/>
  <c r="E30" i="44" s="1"/>
  <c r="G33" i="35"/>
  <c r="K31" i="44" s="1"/>
  <c r="F23" i="35"/>
  <c r="E24" i="35"/>
  <c r="E86" i="46"/>
  <c r="L86" i="46" s="1"/>
  <c r="E92" i="46"/>
  <c r="L92" i="46" s="1"/>
  <c r="E98" i="46"/>
  <c r="L98" i="46" s="1"/>
  <c r="F27" i="44" l="1"/>
  <c r="F28" i="44"/>
  <c r="C48" i="46" s="1"/>
  <c r="C58" i="46" s="1"/>
  <c r="G83" i="46"/>
  <c r="J27" i="44"/>
  <c r="J30" i="44"/>
  <c r="G28" i="44"/>
  <c r="L48" i="46" s="1"/>
  <c r="C34" i="35"/>
  <c r="E31" i="44" s="1"/>
  <c r="E34" i="35"/>
  <c r="G32" i="44" s="1"/>
  <c r="F14" i="35"/>
  <c r="E15" i="35"/>
  <c r="F15" i="35" s="1"/>
  <c r="L88" i="46"/>
  <c r="L89" i="46" s="1"/>
  <c r="G88" i="46"/>
  <c r="J14" i="35"/>
  <c r="I15" i="35"/>
  <c r="J15" i="35" s="1"/>
  <c r="G31" i="44"/>
  <c r="D33" i="35"/>
  <c r="F31" i="44" s="1"/>
  <c r="F29" i="44" s="1"/>
  <c r="F35" i="35"/>
  <c r="F24" i="35"/>
  <c r="E25" i="35"/>
  <c r="F25" i="35" s="1"/>
  <c r="J28" i="44" l="1"/>
  <c r="L146" i="46"/>
  <c r="G28" i="12"/>
  <c r="H28" i="12" s="1"/>
  <c r="G29" i="44"/>
  <c r="J29" i="44" s="1"/>
  <c r="F37" i="35"/>
  <c r="G37" i="35" s="1"/>
  <c r="D34" i="35"/>
  <c r="F32" i="44" s="1"/>
  <c r="J31" i="44"/>
  <c r="E97" i="46" s="1"/>
  <c r="L97" i="46" s="1"/>
  <c r="L100" i="46" s="1"/>
  <c r="L101" i="46" s="1"/>
  <c r="F36" i="35"/>
  <c r="L49" i="46"/>
  <c r="L58" i="46"/>
  <c r="L59" i="46" s="1"/>
  <c r="E35" i="35"/>
  <c r="G35" i="35"/>
  <c r="K33" i="44" s="1"/>
  <c r="C35" i="35"/>
  <c r="E32" i="44" s="1"/>
  <c r="J32" i="44" s="1"/>
  <c r="E91" i="46" s="1"/>
  <c r="L91" i="46" s="1"/>
  <c r="E37" i="35" l="1"/>
  <c r="D37" i="35" s="1"/>
  <c r="C37" i="35"/>
  <c r="E34" i="44" s="1"/>
  <c r="G100" i="46"/>
  <c r="D35" i="35"/>
  <c r="F33" i="44" s="1"/>
  <c r="G33" i="44"/>
  <c r="G61" i="46"/>
  <c r="L61" i="46"/>
  <c r="L62" i="46" s="1"/>
  <c r="G21" i="12" s="1"/>
  <c r="H21" i="12" s="1"/>
  <c r="E36" i="35"/>
  <c r="D36" i="35" s="1"/>
  <c r="C36" i="35"/>
  <c r="E33" i="44" s="1"/>
  <c r="G36" i="35"/>
  <c r="K34" i="44" s="1"/>
  <c r="G94" i="46"/>
  <c r="L94" i="46"/>
  <c r="L95" i="46" s="1"/>
  <c r="E50" i="46"/>
  <c r="L50" i="46"/>
  <c r="G34" i="44" l="1"/>
  <c r="J34" i="44" s="1"/>
  <c r="F34" i="44"/>
  <c r="L53" i="46"/>
  <c r="L54" i="46" s="1"/>
  <c r="G20" i="12" s="1"/>
  <c r="G53" i="46"/>
  <c r="J33" i="44"/>
  <c r="G109" i="46" s="1"/>
  <c r="L109" i="46" s="1"/>
  <c r="L114" i="46" s="1"/>
  <c r="E123" i="46" l="1"/>
  <c r="L123" i="46"/>
  <c r="L126" i="46" s="1"/>
  <c r="H20" i="12"/>
  <c r="G24" i="12"/>
  <c r="L127" i="46" l="1"/>
  <c r="C127" i="46"/>
  <c r="L147" i="46"/>
  <c r="L150" i="46" s="1"/>
  <c r="H24" i="12"/>
  <c r="K24" i="12" s="1"/>
  <c r="O24" i="12" s="1"/>
  <c r="J24" i="12"/>
  <c r="L133" i="46" l="1"/>
  <c r="L134" i="46" s="1"/>
  <c r="G29" i="12" s="1"/>
  <c r="H29" i="12" s="1"/>
  <c r="D133" i="46"/>
  <c r="L138" i="46"/>
  <c r="L139" i="46" s="1"/>
  <c r="G30" i="12" s="1"/>
  <c r="D138" i="46"/>
  <c r="H30" i="12" l="1"/>
  <c r="H89" i="12" s="1"/>
  <c r="I47" i="12" l="1"/>
  <c r="K47" i="12" s="1"/>
  <c r="O47" i="12" s="1"/>
  <c r="I13" i="12"/>
  <c r="J47" i="12" l="1"/>
  <c r="J13" i="12"/>
  <c r="K13" i="12"/>
  <c r="O13" i="12" s="1"/>
  <c r="F12" i="49" l="1"/>
  <c r="F24" i="49" s="1"/>
  <c r="J5" i="37" l="1"/>
  <c r="D13" i="37" s="1"/>
  <c r="BN10" i="15"/>
  <c r="BN11" i="15" s="1"/>
  <c r="J11" i="37" l="1"/>
  <c r="BN12" i="15"/>
  <c r="N5" i="37" l="1"/>
  <c r="AF8" i="37"/>
  <c r="Z9" i="37"/>
  <c r="N3" i="37"/>
  <c r="Y7" i="37"/>
  <c r="N11" i="37"/>
  <c r="Z7" i="37"/>
  <c r="S9" i="37"/>
  <c r="T7" i="37"/>
  <c r="T5" i="37"/>
  <c r="T3" i="37"/>
  <c r="AE5" i="37"/>
  <c r="Y6" i="37"/>
  <c r="M12" i="37"/>
  <c r="Z8" i="37"/>
  <c r="Y9" i="37"/>
  <c r="M5" i="37"/>
  <c r="N9" i="37"/>
  <c r="M13" i="37"/>
  <c r="N12" i="37"/>
  <c r="Y3" i="37"/>
  <c r="T9" i="37"/>
  <c r="Z11" i="37"/>
  <c r="AF5" i="37"/>
  <c r="S3" i="37"/>
  <c r="Z5" i="37"/>
  <c r="Y5" i="37"/>
  <c r="AE7" i="37"/>
  <c r="Y8" i="37"/>
  <c r="Z10" i="37"/>
  <c r="M7" i="37"/>
  <c r="S8" i="37"/>
  <c r="Z3" i="37"/>
  <c r="N6" i="37"/>
  <c r="N13" i="37"/>
  <c r="S7" i="37"/>
  <c r="M9" i="37"/>
  <c r="T8" i="37"/>
  <c r="M10" i="37"/>
  <c r="Y11" i="37"/>
  <c r="M8" i="37"/>
  <c r="Z6" i="37"/>
  <c r="AF6" i="37"/>
  <c r="S5" i="37"/>
  <c r="AE8" i="37"/>
  <c r="N7" i="37"/>
  <c r="AF3" i="37"/>
  <c r="N10" i="37"/>
  <c r="T6" i="37"/>
  <c r="AF7" i="37"/>
  <c r="M3" i="37"/>
  <c r="AE3" i="37"/>
  <c r="M6" i="37"/>
  <c r="M11" i="37"/>
  <c r="S6" i="37"/>
  <c r="Y10" i="37"/>
  <c r="N8" i="37"/>
  <c r="AE6" i="37"/>
  <c r="BN13" i="15"/>
  <c r="BN14" i="15"/>
  <c r="AE14" i="37" l="1"/>
  <c r="AG5" i="37" s="1"/>
  <c r="M14" i="37"/>
  <c r="O6" i="37" s="1"/>
  <c r="Y14" i="37"/>
  <c r="BO15" i="15"/>
  <c r="BP15" i="15"/>
  <c r="BN15" i="15"/>
  <c r="S14" i="37"/>
  <c r="BP16" i="15"/>
  <c r="BN16" i="15"/>
  <c r="BO16" i="15"/>
  <c r="N14" i="37"/>
  <c r="AF14" i="37"/>
  <c r="T14" i="37"/>
  <c r="Z14" i="37"/>
  <c r="BP17" i="15" l="1"/>
  <c r="BO17" i="15"/>
  <c r="AG6" i="37"/>
  <c r="AG7" i="37"/>
  <c r="AG8" i="37"/>
  <c r="AG3" i="37"/>
  <c r="BN17" i="15"/>
  <c r="O7" i="37"/>
  <c r="O10" i="37"/>
  <c r="O13" i="37"/>
  <c r="O3" i="37"/>
  <c r="O9" i="37"/>
  <c r="O12" i="37"/>
  <c r="O8" i="37"/>
  <c r="O11" i="37"/>
  <c r="O5" i="37"/>
  <c r="AA9" i="37"/>
  <c r="AA11" i="37"/>
  <c r="AA6" i="37"/>
  <c r="AA3" i="37"/>
  <c r="AA7" i="37"/>
  <c r="AA10" i="37"/>
  <c r="AA8" i="37"/>
  <c r="AA5" i="37"/>
  <c r="P8" i="37"/>
  <c r="P7" i="37"/>
  <c r="P9" i="37"/>
  <c r="P12" i="37"/>
  <c r="P10" i="37"/>
  <c r="P13" i="37"/>
  <c r="P6" i="37"/>
  <c r="P11" i="37"/>
  <c r="P5" i="37"/>
  <c r="P3" i="37"/>
  <c r="T15" i="37"/>
  <c r="AJ15" i="37" s="1"/>
  <c r="J13" i="37" s="1"/>
  <c r="D15" i="37" s="1"/>
  <c r="V9" i="37"/>
  <c r="V3" i="37"/>
  <c r="V8" i="37"/>
  <c r="V5" i="37"/>
  <c r="V7" i="37"/>
  <c r="V6" i="37"/>
  <c r="AH5" i="37"/>
  <c r="AH7" i="37"/>
  <c r="AH8" i="37"/>
  <c r="AH6" i="37"/>
  <c r="AH3" i="37"/>
  <c r="U8" i="37"/>
  <c r="U5" i="37"/>
  <c r="U7" i="37"/>
  <c r="U9" i="37"/>
  <c r="U3" i="37"/>
  <c r="S15" i="37"/>
  <c r="AI15" i="37" s="1"/>
  <c r="J12" i="37" s="1"/>
  <c r="D14" i="37" s="1"/>
  <c r="U6" i="37"/>
  <c r="AB9" i="37"/>
  <c r="AB11" i="37"/>
  <c r="AB6" i="37"/>
  <c r="AB7" i="37"/>
  <c r="AB3" i="37"/>
  <c r="AB8" i="37"/>
  <c r="AB10" i="37"/>
  <c r="AB5" i="37"/>
  <c r="AG14" i="37" l="1"/>
  <c r="O14" i="37"/>
  <c r="AH14" i="37"/>
  <c r="P14" i="37"/>
  <c r="AA14" i="37"/>
  <c r="U14" i="37"/>
  <c r="U15" i="37" s="1"/>
  <c r="AK15" i="37" s="1"/>
  <c r="J14" i="37" s="1"/>
  <c r="V14" i="37"/>
  <c r="V15" i="37" s="1"/>
  <c r="AL15" i="37" s="1"/>
  <c r="J15" i="37" s="1"/>
  <c r="D17" i="37" s="1"/>
  <c r="AB14" i="37"/>
  <c r="J16" i="37" l="1"/>
  <c r="D16" i="37"/>
  <c r="A19" i="37" l="1"/>
  <c r="D20" i="37"/>
  <c r="I37" i="12" l="1"/>
  <c r="I87" i="12"/>
  <c r="J87" i="12" s="1"/>
  <c r="I19" i="12"/>
  <c r="I49" i="12"/>
  <c r="K49" i="12" s="1"/>
  <c r="O49" i="12" s="1"/>
  <c r="I45" i="12"/>
  <c r="J45" i="12" s="1"/>
  <c r="I17" i="12"/>
  <c r="I18" i="12"/>
  <c r="J18" i="12" s="1"/>
  <c r="I21" i="12"/>
  <c r="K71" i="12"/>
  <c r="O71" i="12" s="1"/>
  <c r="I22" i="12"/>
  <c r="I27" i="12"/>
  <c r="I20" i="12"/>
  <c r="I53" i="12"/>
  <c r="I29" i="12"/>
  <c r="I14" i="12"/>
  <c r="I40" i="12"/>
  <c r="I26" i="12"/>
  <c r="I44" i="12"/>
  <c r="I39" i="12"/>
  <c r="I12" i="12"/>
  <c r="I30" i="12"/>
  <c r="I15" i="12"/>
  <c r="I28" i="12"/>
  <c r="J37" i="12" l="1"/>
  <c r="K37" i="12"/>
  <c r="K87" i="12"/>
  <c r="O87" i="12" s="1"/>
  <c r="K19" i="12"/>
  <c r="O19" i="12" s="1"/>
  <c r="J19" i="12"/>
  <c r="J49" i="12"/>
  <c r="K66" i="12"/>
  <c r="O66" i="12" s="1"/>
  <c r="J66" i="12"/>
  <c r="K45" i="12"/>
  <c r="O45" i="12" s="1"/>
  <c r="K17" i="12"/>
  <c r="O17" i="12" s="1"/>
  <c r="J17" i="12"/>
  <c r="K21" i="12"/>
  <c r="O21" i="12" s="1"/>
  <c r="J21" i="12"/>
  <c r="K18" i="12"/>
  <c r="O18" i="12" s="1"/>
  <c r="K22" i="12"/>
  <c r="O22" i="12" s="1"/>
  <c r="J22" i="12"/>
  <c r="J71" i="12"/>
  <c r="K27" i="12"/>
  <c r="O27" i="12" s="1"/>
  <c r="J27" i="12"/>
  <c r="K69" i="12"/>
  <c r="O69" i="12" s="1"/>
  <c r="J69" i="12"/>
  <c r="J70" i="12"/>
  <c r="K70" i="12"/>
  <c r="O70" i="12" s="1"/>
  <c r="J82" i="12"/>
  <c r="K82" i="12"/>
  <c r="O82" i="12" s="1"/>
  <c r="J84" i="12"/>
  <c r="K84" i="12"/>
  <c r="O84" i="12" s="1"/>
  <c r="K79" i="12"/>
  <c r="O79" i="12" s="1"/>
  <c r="J79" i="12"/>
  <c r="J40" i="12"/>
  <c r="K40" i="12"/>
  <c r="O40" i="12" s="1"/>
  <c r="K53" i="12"/>
  <c r="O53" i="12" s="1"/>
  <c r="J53" i="12"/>
  <c r="J14" i="12"/>
  <c r="K14" i="12"/>
  <c r="O14" i="12" s="1"/>
  <c r="J30" i="12"/>
  <c r="K30" i="12"/>
  <c r="O30" i="12" s="1"/>
  <c r="K20" i="12"/>
  <c r="O20" i="12" s="1"/>
  <c r="J20" i="12"/>
  <c r="K83" i="12"/>
  <c r="O83" i="12" s="1"/>
  <c r="J83" i="12"/>
  <c r="K26" i="12"/>
  <c r="O26" i="12" s="1"/>
  <c r="J26" i="12"/>
  <c r="K44" i="12"/>
  <c r="O44" i="12" s="1"/>
  <c r="J44" i="12"/>
  <c r="J78" i="12"/>
  <c r="K78" i="12"/>
  <c r="O78" i="12" s="1"/>
  <c r="J28" i="12"/>
  <c r="K28" i="12"/>
  <c r="O28" i="12" s="1"/>
  <c r="J81" i="12"/>
  <c r="K81" i="12"/>
  <c r="O81" i="12" s="1"/>
  <c r="J29" i="12"/>
  <c r="K29" i="12"/>
  <c r="O29" i="12" s="1"/>
  <c r="J80" i="12"/>
  <c r="K80" i="12"/>
  <c r="O80" i="12" s="1"/>
  <c r="J39" i="12"/>
  <c r="K39" i="12"/>
  <c r="J12" i="12"/>
  <c r="K12" i="12"/>
  <c r="K15" i="12"/>
  <c r="O15" i="12" s="1"/>
  <c r="J15" i="12"/>
  <c r="O12" i="12" l="1"/>
  <c r="M29" i="12"/>
  <c r="K89" i="12"/>
  <c r="Q46" i="12"/>
  <c r="K90" i="12" l="1"/>
  <c r="M90" i="12" s="1"/>
  <c r="H12" i="49"/>
  <c r="H24" i="49" s="1"/>
  <c r="Q91" i="12"/>
  <c r="D19" i="36"/>
  <c r="H25" i="49" l="1"/>
  <c r="H26" i="49" s="1"/>
  <c r="K24" i="49"/>
  <c r="M70" i="12" s="1"/>
  <c r="V91" i="12"/>
  <c r="D20" i="36"/>
  <c r="K91" i="12"/>
</calcChain>
</file>

<file path=xl/sharedStrings.xml><?xml version="1.0" encoding="utf-8"?>
<sst xmlns="http://schemas.openxmlformats.org/spreadsheetml/2006/main" count="1817" uniqueCount="764">
  <si>
    <t>ที่</t>
  </si>
  <si>
    <t>รายการ</t>
  </si>
  <si>
    <t>Factor F</t>
  </si>
  <si>
    <t>บาท/ลบ.ม.</t>
  </si>
  <si>
    <t>ระยะขนส่ง</t>
  </si>
  <si>
    <t>ลูกรัง</t>
  </si>
  <si>
    <t>บาท/ตัน</t>
  </si>
  <si>
    <t xml:space="preserve"> บาท/ตัน</t>
  </si>
  <si>
    <t>=</t>
  </si>
  <si>
    <t xml:space="preserve"> บาท/ตร.ม.</t>
  </si>
  <si>
    <t>ค่าตัวแปร</t>
  </si>
  <si>
    <t>หมายเหตุ</t>
  </si>
  <si>
    <t>บาท / ลิตร</t>
  </si>
  <si>
    <t>หน่วย</t>
  </si>
  <si>
    <t>วัสดุ</t>
  </si>
  <si>
    <t>รวม</t>
  </si>
  <si>
    <t>(บาท)</t>
  </si>
  <si>
    <t>ตร.ม.</t>
  </si>
  <si>
    <t>ลบ.ม.</t>
  </si>
  <si>
    <t>ชุด</t>
  </si>
  <si>
    <t>หลัก</t>
  </si>
  <si>
    <t>กม.</t>
  </si>
  <si>
    <t>บาท</t>
  </si>
  <si>
    <t>เมตร</t>
  </si>
  <si>
    <t xml:space="preserve">หินคลุก      </t>
  </si>
  <si>
    <t>ความหนา</t>
  </si>
  <si>
    <t xml:space="preserve"> ตร.ม./ตัน )</t>
  </si>
  <si>
    <t>B  =  ราคาหินปากโม่บวกด้วยค่าขนส่งจากปากโม่ ถึงที่ตั้งโรงงานผสมแอสฟัลติกคอนกรีต หรือจุดกองรวม (บาท/ลบ.ม.)</t>
  </si>
  <si>
    <t>ค่าบรรทุก</t>
  </si>
  <si>
    <t xml:space="preserve">น้ำมันโซล่าเฉลี่ย </t>
  </si>
  <si>
    <t>บาท/ลิตร</t>
  </si>
  <si>
    <t>หินฝุ่น</t>
  </si>
  <si>
    <t>(งบประมาณ 100 %) ดอกเบี้ยเงินกู้</t>
  </si>
  <si>
    <t>%</t>
  </si>
  <si>
    <t>ค่าขนส่งหิน</t>
  </si>
  <si>
    <t>เงินล่วงหน้าจ่าย</t>
  </si>
  <si>
    <t xml:space="preserve">ค่าขนส่งยาง  </t>
  </si>
  <si>
    <t>ดอกเบี้ยเงินฝาก</t>
  </si>
  <si>
    <t>เงินประกันผลงาน</t>
  </si>
  <si>
    <t>ฝนตกชุก</t>
  </si>
  <si>
    <t>ตารางสรุปค่าดำเนินการและค่าเสื่อมราคา</t>
  </si>
  <si>
    <t>รวมค่างาน (บาท)</t>
  </si>
  <si>
    <t>ปกติ</t>
  </si>
  <si>
    <t xml:space="preserve">           ขุด-ขน</t>
  </si>
  <si>
    <t>ลบ.ม.(หลวม)</t>
  </si>
  <si>
    <t xml:space="preserve">           ผสม (ผสมกับวัสดุอื่น  ๆ)</t>
  </si>
  <si>
    <t>ลบ.ม.(แน่น)</t>
  </si>
  <si>
    <t xml:space="preserve">           บดทับ</t>
  </si>
  <si>
    <t xml:space="preserve">           ผสม  (Blend)</t>
  </si>
  <si>
    <t xml:space="preserve">           ลูกรัง       10  ซม.</t>
  </si>
  <si>
    <t xml:space="preserve">           หินคลุก    10  ซม.</t>
  </si>
  <si>
    <t xml:space="preserve">           ผิว AC  5  ซม. (ขนทิ้ง)</t>
  </si>
  <si>
    <t>ตัน</t>
  </si>
  <si>
    <t>ตร.ม</t>
  </si>
  <si>
    <t>FACTOR D</t>
  </si>
  <si>
    <t>ความหนา(มม.)</t>
  </si>
  <si>
    <t>Factor สำหรับงานบำรุงทาง (สำหรับงานซ่อมสร้างผิวลาดยาง)</t>
  </si>
  <si>
    <t>ตาราง FACTOR F งานทาง</t>
  </si>
  <si>
    <t>ระยะเวลาการเบิกจ่าย</t>
  </si>
  <si>
    <t xml:space="preserve">  เดือน</t>
  </si>
  <si>
    <t>คำนวนค่า Factor F</t>
  </si>
  <si>
    <t>ค่างาน(ทุน)</t>
  </si>
  <si>
    <t>เวลาทำการ</t>
  </si>
  <si>
    <t>ค่า</t>
  </si>
  <si>
    <t>ดอก</t>
  </si>
  <si>
    <t>กำไร</t>
  </si>
  <si>
    <t>รวมในรูป</t>
  </si>
  <si>
    <t xml:space="preserve">ภาษี </t>
  </si>
  <si>
    <t>ล้านบาท</t>
  </si>
  <si>
    <t>เดือน</t>
  </si>
  <si>
    <t>อำนวยการ</t>
  </si>
  <si>
    <t>เบี้ย</t>
  </si>
  <si>
    <t>Factor</t>
  </si>
  <si>
    <t>(ปกติ)</t>
  </si>
  <si>
    <t>รถบรรทุกสิบล้อ + รถลากพ่วง</t>
  </si>
  <si>
    <t>บาท/ตร.ม.</t>
  </si>
  <si>
    <t xml:space="preserve">  - ค่าวัสดุที่แหล่ง</t>
  </si>
  <si>
    <t xml:space="preserve">  - ค่าขนส่ง</t>
  </si>
  <si>
    <t>แห่ง</t>
  </si>
  <si>
    <t>ราคาแอสฟัลติกที่เลือก</t>
  </si>
  <si>
    <t>หิน3/4"</t>
  </si>
  <si>
    <t>หิน1/2"</t>
  </si>
  <si>
    <t>หิน3/8"</t>
  </si>
  <si>
    <t>หินผสมแอสฟัลต์</t>
  </si>
  <si>
    <t>ใช้</t>
  </si>
  <si>
    <t xml:space="preserve"> 1 เมื่อใช้รถรถบรรทุก 10 ล้อ ในการขนส่งวัสดุ</t>
  </si>
  <si>
    <t>ฝนตกชุก 1</t>
  </si>
  <si>
    <t xml:space="preserve">ฝนตกชุก 2 </t>
  </si>
  <si>
    <t>ฝนตกชุก 2</t>
  </si>
  <si>
    <t>ราคาน้ำมันโซล่า เฉลี่ย</t>
  </si>
  <si>
    <r>
      <t xml:space="preserve">ตารางค่าขนส่งค่าวัสดุก่อสร้าง </t>
    </r>
    <r>
      <rPr>
        <sz val="16"/>
        <color indexed="10"/>
        <rFont val="AngsanaUPC"/>
        <family val="1"/>
        <charset val="222"/>
      </rPr>
      <t xml:space="preserve"> รถบรรทุกสิบล้อ</t>
    </r>
  </si>
  <si>
    <r>
      <t xml:space="preserve">ตารางค่าขนส่งค่าวัสดุก่อสร้าง  </t>
    </r>
    <r>
      <rPr>
        <sz val="16"/>
        <color indexed="10"/>
        <rFont val="AngsanaUPC"/>
        <family val="1"/>
        <charset val="222"/>
      </rPr>
      <t>รถบรรทุกสิบล้อ + รถลากพ่วง</t>
    </r>
  </si>
  <si>
    <t xml:space="preserve">     บนผิวไพร์มโค้ท</t>
  </si>
  <si>
    <t xml:space="preserve">     บนผิวแทคโค้ท</t>
  </si>
  <si>
    <t xml:space="preserve"> 2 เมื่อใช้รถบรรทุก 10 ล้อ + รถลากพ่วง ในการขนส่งวัสดุ</t>
  </si>
  <si>
    <t xml:space="preserve">Factor F  </t>
  </si>
  <si>
    <t xml:space="preserve">Factor F </t>
  </si>
  <si>
    <t xml:space="preserve">     ขนาดกลาง</t>
  </si>
  <si>
    <t>Factor  F</t>
  </si>
  <si>
    <t xml:space="preserve">     ดิน - ขุดตัด</t>
  </si>
  <si>
    <t>ลบ.ม (ปกติ)</t>
  </si>
  <si>
    <t xml:space="preserve">     ขุด - ขน</t>
  </si>
  <si>
    <t xml:space="preserve">      บดทับ</t>
  </si>
  <si>
    <t>ดินถม</t>
  </si>
  <si>
    <t>ม.</t>
  </si>
  <si>
    <t xml:space="preserve">       รวมค่าวัสดุ</t>
  </si>
  <si>
    <t xml:space="preserve">  - Hot Mix</t>
  </si>
  <si>
    <t xml:space="preserve"> - ปริมาณงาน Asphalt Concrete ทั้งโครงการ</t>
  </si>
  <si>
    <t xml:space="preserve"> - ค่าติดตั้งเครื่องผสม = 250,000</t>
  </si>
  <si>
    <t xml:space="preserve">   (ยางAC + ค่าขนส่ง) x 0.052</t>
  </si>
  <si>
    <t xml:space="preserve">   (หินผสม + ค่าขนส่ง) x 0.74</t>
  </si>
  <si>
    <t xml:space="preserve">  - ค่าดำเนินการ + ค่าเสื่อมผสมแอสฟัลติกคอนกรีต</t>
  </si>
  <si>
    <t xml:space="preserve"> - ค่าขนส่งแอสฟัลติกคอนกรีตในสายทาง ระยะทาง </t>
  </si>
  <si>
    <t xml:space="preserve">   ค่าใช้จ่ายรวม    </t>
  </si>
  <si>
    <t xml:space="preserve">   ค่างานต้นทุน</t>
  </si>
  <si>
    <t xml:space="preserve"> ซม.                (</t>
  </si>
  <si>
    <t xml:space="preserve"> - ค่าขนส่งอุปกรณ์ 80 ตัน ระยะทางขนส่ง 100 กม.</t>
  </si>
  <si>
    <t xml:space="preserve">  =</t>
  </si>
  <si>
    <t>129..04</t>
  </si>
  <si>
    <t>424..00</t>
  </si>
  <si>
    <t>67.49.</t>
  </si>
  <si>
    <t>278..90</t>
  </si>
  <si>
    <t>หินคลุก</t>
  </si>
  <si>
    <t>ตรม</t>
  </si>
  <si>
    <t>ขอบทาง</t>
  </si>
  <si>
    <t>เหลืองกลาง</t>
  </si>
  <si>
    <t>ผิว</t>
  </si>
  <si>
    <t>นายอุดม  ตุ้ยเต็มวงค์</t>
  </si>
  <si>
    <t>รวม ตรม</t>
  </si>
  <si>
    <t>รวม ลบม</t>
  </si>
  <si>
    <t>ทางเชื่อมซอย</t>
  </si>
  <si>
    <t>เสริมผิว</t>
  </si>
  <si>
    <t>ประมาณราคา</t>
  </si>
  <si>
    <t xml:space="preserve">   (ยาง Para AC + ค่าขนส่ง) x 0.052</t>
  </si>
  <si>
    <t>ผู้อำนวยการส่วนปฎิบัติการ</t>
  </si>
  <si>
    <t xml:space="preserve">   ค่าใช้จ่ายรวม   </t>
  </si>
  <si>
    <t xml:space="preserve">   ค่างานต้นทุน </t>
  </si>
  <si>
    <t xml:space="preserve">  -(ค่าดำเนินการ + ค่าเสื่อมผสมแอสฟัลติกคอนกรีต) </t>
  </si>
  <si>
    <t>ส่วนราชการ</t>
  </si>
  <si>
    <t>โครงการ</t>
  </si>
  <si>
    <t>สถานที่</t>
  </si>
  <si>
    <t>ขนาด</t>
  </si>
  <si>
    <t>ผิวจราจรกว้าง</t>
  </si>
  <si>
    <t>ความยาว</t>
  </si>
  <si>
    <t>แบบ</t>
  </si>
  <si>
    <t>ราคาทุน</t>
  </si>
  <si>
    <t>ราคากลาง</t>
  </si>
  <si>
    <t>ลำดับ</t>
  </si>
  <si>
    <t>ราคาต่อ</t>
  </si>
  <si>
    <t>งานปรับปรุง</t>
  </si>
  <si>
    <t xml:space="preserve">   - หลักกิโลเมตร</t>
  </si>
  <si>
    <t xml:space="preserve">   - GUARD RAIL</t>
  </si>
  <si>
    <t>งานติดตั้ง</t>
  </si>
  <si>
    <t xml:space="preserve">   - ป้ายจราจร ต61</t>
  </si>
  <si>
    <t xml:space="preserve">   - ป้ายจราจรแบบ ต64,ต67</t>
  </si>
  <si>
    <t xml:space="preserve">   - ป้ายจราจรแบบ ต69</t>
  </si>
  <si>
    <t xml:space="preserve">   - ป้ายจราจรแบบ ต71 - ต73</t>
  </si>
  <si>
    <t xml:space="preserve">   - ป้ายจราจรแบบ ต74</t>
  </si>
  <si>
    <t xml:space="preserve">   - ป้ายจราจรแบบ ต76</t>
  </si>
  <si>
    <t xml:space="preserve">   - ป้ายจราจรแบบ ต77</t>
  </si>
  <si>
    <t xml:space="preserve">   - ป้ายจราจรแบบ ต78</t>
  </si>
  <si>
    <t xml:space="preserve">   - หลักเขตทาง</t>
  </si>
  <si>
    <t xml:space="preserve">   - รางระบายน้ำ ค.ส.ล. ย่านชุมชน (ฝาปิดตะแกรงเหล็ก)</t>
  </si>
  <si>
    <t>หินผสมแอสฟัลต์ (คิดจากราคาสืบ)</t>
  </si>
  <si>
    <t>หิน3/8" (ราคาสืบ)</t>
  </si>
  <si>
    <t>หิน1/2" (ราคาสืบ)</t>
  </si>
  <si>
    <t>หิน3/4" (ราคาสืบ)</t>
  </si>
  <si>
    <t>หินฝุ่น (ราคาสืบ)</t>
  </si>
  <si>
    <t>หินคลุก (พานิชจังหวัด)</t>
  </si>
  <si>
    <t>ราคาต่ำสุด</t>
  </si>
  <si>
    <t>ระยะทาง</t>
  </si>
  <si>
    <t>เลือก</t>
  </si>
  <si>
    <t>ค่าขนส่ง</t>
  </si>
  <si>
    <t>ระยะ</t>
  </si>
  <si>
    <t>ราคาวัสดุ</t>
  </si>
  <si>
    <t>ประเภทหิน</t>
  </si>
  <si>
    <t>บ./ลบ.ม.</t>
  </si>
  <si>
    <t>เป็นเงิน</t>
  </si>
  <si>
    <t>ราคา</t>
  </si>
  <si>
    <t>ตารางเปรียบเทียบราคาวัสดุหินต่างๆ รวมค่าขนส่งถึงหน้างาน (ไม่รวมภาษีมูลค่าเพิ่ม)</t>
  </si>
  <si>
    <t>ระยะทางขนส่ง ลูกรัง</t>
  </si>
  <si>
    <t>ระยะทางขนส่ง ดินถม</t>
  </si>
  <si>
    <t>ระยะทางขนส่งจาก บ.เอสโตนฯ ต.ศรีค้ำ อ.แม่จัน - หน้างาน</t>
  </si>
  <si>
    <t>ระยะทางขนส่งจาก บ.เชียงรายแลนด์ฯ ต.ผางาม อ.เวียงชัย - หน้างาน</t>
  </si>
  <si>
    <t>ราคาน้ำมันดีเซล  ที่ อ.เมือง</t>
  </si>
  <si>
    <t>ข้อมูลระยะทาง</t>
  </si>
  <si>
    <t>กรอกข้อมูล</t>
  </si>
  <si>
    <t xml:space="preserve">     ขนาดเบา</t>
  </si>
  <si>
    <t>Factor F งานที่ 1</t>
  </si>
  <si>
    <t>Factor F งานอาคาร</t>
  </si>
  <si>
    <t>Factor F งานทาง</t>
  </si>
  <si>
    <t>Factor F งานสะพาน</t>
  </si>
  <si>
    <t>Factor F งานชลฯ</t>
  </si>
  <si>
    <t>งาน</t>
  </si>
  <si>
    <t>ราคาต้นทุน</t>
  </si>
  <si>
    <t>อาคาร</t>
  </si>
  <si>
    <t>เงื่อนไข</t>
  </si>
  <si>
    <t>ทาง</t>
  </si>
  <si>
    <t>สะพานท่อลอดเหลี่ยม</t>
  </si>
  <si>
    <t>ชลประทาน</t>
  </si>
  <si>
    <t>A</t>
  </si>
  <si>
    <t>สูตรการหาค่า Factor F   = D - {(D-E)x(A-B)/(C-B)}</t>
  </si>
  <si>
    <t>B</t>
  </si>
  <si>
    <t>เมื่อ</t>
  </si>
  <si>
    <t>A = ค่าวัสดุและค่าแรงงานต้นทุน</t>
  </si>
  <si>
    <t>C</t>
  </si>
  <si>
    <t>B = ค่างานตัวต่ำกว่าต้นทุน</t>
  </si>
  <si>
    <t>D</t>
  </si>
  <si>
    <t>C = ค่างานตัวสูงกว่าต้นทุน</t>
  </si>
  <si>
    <t>E</t>
  </si>
  <si>
    <t>D = Factor F ของค่างานตัวต่ำกว่าต้นทุน</t>
  </si>
  <si>
    <t>E = Factor F ของค่างานตัวสูงกว่าต้นทุน</t>
  </si>
  <si>
    <t xml:space="preserve">ฉะนั้นค่า Factor F   </t>
  </si>
  <si>
    <t>ค่า Factor F  เท่ากับ</t>
  </si>
  <si>
    <t>ป้ายเหล็กโครงการ</t>
  </si>
  <si>
    <t xml:space="preserve"> # กรณีปริมาณงานน้อยกว่าหรือเท่ากับ 10,000 ตัน</t>
  </si>
  <si>
    <t>เฉลี่ย</t>
  </si>
  <si>
    <t>บาท / ม.</t>
  </si>
  <si>
    <t xml:space="preserve"># งานผิวทางพาราแอสฟัลท์คอนกรีต  </t>
  </si>
  <si>
    <t xml:space="preserve">    2.4.2 กรณีปริมาณงานมากกว่า 10,000 ตัน</t>
  </si>
  <si>
    <t xml:space="preserve"> - ทางม้าลาย</t>
  </si>
  <si>
    <t xml:space="preserve"> - งานถางป่าขุดตอ ขนาดเบา</t>
  </si>
  <si>
    <t xml:space="preserve"> -บนผิวไพรม์โค๊ท</t>
  </si>
  <si>
    <t xml:space="preserve"> -บนผิวแทคโค๊ท</t>
  </si>
  <si>
    <t xml:space="preserve"> - ค่าดำเนินการและค่าเสื่อมราคาค่าปูลาดและบดทับผิว AC </t>
  </si>
  <si>
    <t>รวมค่างานต้นทุนงานผิวทางแอสฟัลท์ติคคอนกรีตบนผิวไพรมโค๊ท</t>
  </si>
  <si>
    <t>รวมค่างานต้นทุนงานผิวทางแอสฟัลท์ติคคอนกรีตบนผิวแทคโค๊ท</t>
  </si>
  <si>
    <t>รวมค่าวัสดุและค่าแรงเป็นเงิน</t>
  </si>
  <si>
    <t xml:space="preserve">  (</t>
  </si>
  <si>
    <t xml:space="preserve"> ซม.     </t>
  </si>
  <si>
    <t>A =   ราคายางแอสฟัลท์ (AC 60 - 70 ) ที่ แหล่งบวกด้วยค่าขนส่งถึงที่ตั้งโรงงานผสมแอสฟัลติกคอนกรีตหน้างาน (บาท/ตัน)</t>
  </si>
  <si>
    <t>ข้อมูลวัสดุ+ค่าขนส่ง</t>
  </si>
  <si>
    <t>เลือกราคาวัสดุ+ค่าขนส่ง ต่ำสุด</t>
  </si>
  <si>
    <t xml:space="preserve"> </t>
  </si>
  <si>
    <t>หมายเหตุ :</t>
  </si>
  <si>
    <t>สรุปเปรียบเทียบราคา</t>
  </si>
  <si>
    <t xml:space="preserve">   - ป้ายจราจรแบบ ต63,ต66 เตือนแนวทางโค้งขวาและโค้งซ้าย</t>
  </si>
  <si>
    <t xml:space="preserve">   - ป้ายจราจรแบบ ต1-ต27 , ต31-ต60 , ต75</t>
  </si>
  <si>
    <t xml:space="preserve">   - ป้ายจราจร ต28-ต30 , ต62</t>
  </si>
  <si>
    <t xml:space="preserve">   - ป้ายจราจรแบบ ต65 , ต68 , ต70</t>
  </si>
  <si>
    <t xml:space="preserve">   - หลักนำโค้ง ขนาด 0.125x0.125 ม.</t>
  </si>
  <si>
    <t xml:space="preserve">   - หลักนำโค้ง ขนาด 0.15x0.15 ม.</t>
  </si>
  <si>
    <t>คำนวนระยะทางและค่าขนส่งวัสดุก่อสร้าง</t>
  </si>
  <si>
    <t>(กรณีใช้รถบรรทุก 10 ล้อ)</t>
  </si>
  <si>
    <t>2. ทางลาดยาง</t>
  </si>
  <si>
    <t>กม. x</t>
  </si>
  <si>
    <t>3. ทางผิวลูกรัง</t>
  </si>
  <si>
    <t>รวมระยะทาง D</t>
  </si>
  <si>
    <t>5. ค่าขนส่ง</t>
  </si>
  <si>
    <t xml:space="preserve"> - ค่าขนส่งจากตารางค่าขนส่งที่ระยะทาง </t>
  </si>
  <si>
    <t>กม.  =</t>
  </si>
  <si>
    <t xml:space="preserve"> - ดังนั้น ค่าขนส่ง สำหรับกรณีนี้ =</t>
  </si>
  <si>
    <t xml:space="preserve">      =</t>
  </si>
  <si>
    <t>1. ระยะขนส่งจากแหล่งถึงกึ่งกลางหน้างาน</t>
  </si>
  <si>
    <t>= L=</t>
  </si>
  <si>
    <t>ระยะทางราบ (0-4%)</t>
  </si>
  <si>
    <t>ระยะทางภูเขา (&gt;8%)</t>
  </si>
  <si>
    <t>ระยะทางลูกเนิน (4-8%)</t>
  </si>
  <si>
    <t xml:space="preserve"> - เสริมหินคลุกปรับระดับ (หลวม)</t>
  </si>
  <si>
    <t xml:space="preserve"> - งานพื้นทางหินคลุกผสมซีเมนต์</t>
  </si>
  <si>
    <t>ค่างานต้นทุน</t>
  </si>
  <si>
    <t>pv_2507@hotmail.com</t>
  </si>
  <si>
    <t>(กรณีขนส่งไปยังหน้างานอีกทอด ใช้รถบรรทุก 10 ล้อ)</t>
  </si>
  <si>
    <t>ตารางคำนวนค่าขนส่งวัสดุจาก Stock pile (รวมกอง) - กึ่งกลางงาน</t>
  </si>
  <si>
    <t>ตารางคำนวนค่าขนส่งวัสดุหิน จากแหล่งฯ ถึง กึ่งกลางงาน</t>
  </si>
  <si>
    <t>4. ตัวแปรค่าขนส่ง F</t>
  </si>
  <si>
    <t xml:space="preserve">   - แท่งปูนหยุดรถ (Stopper) ขนาด 4"x4"x2.0m. </t>
  </si>
  <si>
    <t xml:space="preserve"> - Rumble Strips (ห้ามจอด)</t>
  </si>
  <si>
    <t xml:space="preserve">   - รางระบายน้ำ ค.ส.ล. </t>
  </si>
  <si>
    <t xml:space="preserve">   - วงเวียนกลับรถ. </t>
  </si>
  <si>
    <t>แบบสรุปข้อมูลวัสดุและค่าดำเนินการ</t>
  </si>
  <si>
    <t>ขนส่ง</t>
  </si>
  <si>
    <t>(กม.)</t>
  </si>
  <si>
    <t>ค่าขน</t>
  </si>
  <si>
    <t>ขึ้นลง</t>
  </si>
  <si>
    <t>ค่าตัด/</t>
  </si>
  <si>
    <t>ดัดเหล็ก</t>
  </si>
  <si>
    <t>RB6</t>
  </si>
  <si>
    <t>RB9</t>
  </si>
  <si>
    <t>-</t>
  </si>
  <si>
    <t>DB12</t>
  </si>
  <si>
    <t>DB16</t>
  </si>
  <si>
    <t>DB20</t>
  </si>
  <si>
    <t>DB25</t>
  </si>
  <si>
    <t>ลวดผูกเหล็ก</t>
  </si>
  <si>
    <t xml:space="preserve">ยางมะตอย เกรด AC - 60/70 </t>
  </si>
  <si>
    <t xml:space="preserve">ยางมะตอย เกรด CSS-1 </t>
  </si>
  <si>
    <t>ยางมะตอย เกรด CSS-1h</t>
  </si>
  <si>
    <t>ยางมะตอย เกรด CRS-2</t>
  </si>
  <si>
    <t xml:space="preserve">ยางมะตอย เกรด CSS-1h (EMA) </t>
  </si>
  <si>
    <t xml:space="preserve">ปูนซีเมนต์ผสม </t>
  </si>
  <si>
    <t xml:space="preserve">ทรายหยาบ </t>
  </si>
  <si>
    <t>ทรายละเอียด</t>
  </si>
  <si>
    <t>ทรายถมที่</t>
  </si>
  <si>
    <t>หินใหญ่</t>
  </si>
  <si>
    <t>เหล็กเส้นทั่วไป SR24 (เฉลี่ย)</t>
  </si>
  <si>
    <t>ตะแกรงเหล็ก ศก.4.0 มม. 0.20x0.20 ม.</t>
  </si>
  <si>
    <t>ค่าเฉลี่ย</t>
  </si>
  <si>
    <t>เหล็กเส้นใช้งานสะพาน SD40 (เฉลี่ย)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</si>
  <si>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</si>
  <si>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</si>
  <si>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</si>
  <si>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</si>
  <si>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</si>
  <si>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</si>
  <si>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</si>
  <si>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</si>
  <si>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</si>
  <si>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</si>
  <si>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</si>
  <si>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</si>
  <si>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พานิชย์ จ.เชียงราย</t>
  </si>
  <si>
    <t>พานิชย์ จ.เชียงใหม่</t>
  </si>
  <si>
    <t>พานิชย์ กรุงเทพฯ</t>
  </si>
  <si>
    <t>สืบราคาโรงโม่ บจก.เชียงรายแลนด์ฯ อ.เวียงชัย</t>
  </si>
  <si>
    <t>สืบราคาโรงโม่ บจก.เอสโตน อ.แม่จัน</t>
  </si>
  <si>
    <t>สืบราคาแหล่งวัสดุฯ</t>
  </si>
  <si>
    <t xml:space="preserve">  - ค่าส่วนยุบตัว =</t>
  </si>
  <si>
    <t xml:space="preserve">  - ค่าตัดแต่งขั้นบันได (งานตัดแต่งขั้นบันได : งานตัดแต่งขั้นบันได...)</t>
  </si>
  <si>
    <t xml:space="preserve">  - ค่าดำเนินการ+ค่าเสื่อมราคา (งานดินคันทาง : ขุด-ขน)</t>
  </si>
  <si>
    <t xml:space="preserve">  - ค่าดำเนินการ+ค่าเสื่อมราคา (งานดินคันทาง : บดทับ)</t>
  </si>
  <si>
    <t xml:space="preserve">  - ค่าดำเนินการ+ค่าเสื่อมราคา (งานวัสดุคัดเลือก ลูกรังรองพื้นทาง : ขุด-ขน)</t>
  </si>
  <si>
    <t xml:space="preserve">  - ค่าดำเนินการ+ค่าเสื่อมราคา (งานวัสดุคัดเลือก ลูกรังรองพื้นทาง : บดทับ)</t>
  </si>
  <si>
    <t xml:space="preserve">  - ค่าวัสดุจากปากโม่ (รวมค่าตัก)</t>
  </si>
  <si>
    <t xml:space="preserve"> บาท/ลบ.ม.</t>
  </si>
  <si>
    <t xml:space="preserve">  - ค่าดำเนินการ+ค่าเสื่อมราคา (งานพื้นทาง (หินคลุก) : ผสม (Bend)….)</t>
  </si>
  <si>
    <t xml:space="preserve">  - ค่าดำเนินการ+ค่าเสื่อมราคา (งานพื้นทาง (หินคลุก) : บดทับ….)</t>
  </si>
  <si>
    <t xml:space="preserve">  - ค่าใช้จ่ายรวม</t>
  </si>
  <si>
    <t>/1,000.00</t>
  </si>
  <si>
    <t xml:space="preserve">  - ค่าดำเนินการ+ค่าเสื่อมราคา (งานลาดยางไพรม์โค้ต : งานลาดยางไพรม์โค้ต….)</t>
  </si>
  <si>
    <t xml:space="preserve">  - ราคายาง CRS-2  =  0.30 ลิตร @</t>
  </si>
  <si>
    <t xml:space="preserve">  - ราคายาง CSS-1  =  1.00 ลิตร @</t>
  </si>
  <si>
    <t xml:space="preserve">  - ค่าดำเนินการ+ค่าเสื่อมราคา (งานลาดยางแทคโค้ต : งานลาดยางแทคโค้ต….)</t>
  </si>
  <si>
    <t xml:space="preserve">  - ขุดลึกเฉลี่ย</t>
  </si>
  <si>
    <t xml:space="preserve">  - หน่วยน้ำหนักแห้งสูงสุดของวัสดุพื้นทางที่ขุดกัด</t>
  </si>
  <si>
    <t>ตัน/ลบ.ม.</t>
  </si>
  <si>
    <t xml:space="preserve">  - ปริมาณซีเมนต์ที่ใช้ (โดยน้ำหนัก) =  </t>
  </si>
  <si>
    <t>ตัน/ตร.ม.</t>
  </si>
  <si>
    <t xml:space="preserve">  - ค่าปูนซีเมนต์                       </t>
  </si>
  <si>
    <t xml:space="preserve">  - ค่าปูนซีเมนต์ชนิด Bulk (รวมค่าขนส่ง) </t>
  </si>
  <si>
    <t>1. งานถางป่าขุดต่อ</t>
  </si>
  <si>
    <t xml:space="preserve">     ขนาดหนัก</t>
  </si>
  <si>
    <t>2. งานดินคันทาง</t>
  </si>
  <si>
    <t>3.งานดินตัด - ขึ้นรูปคันทาง</t>
  </si>
  <si>
    <t xml:space="preserve">         - ตัก</t>
  </si>
  <si>
    <t>4. วัสดุคัดเลือก ลูกรังรองพื้นทาง</t>
  </si>
  <si>
    <t>6. งานพื้นทาง (หินคลุก)</t>
  </si>
  <si>
    <t>7. งานตัดแต่งขั้นบันได</t>
  </si>
  <si>
    <t>8. งานขุดรื้อคันทางเดิมแล้วบดทับ</t>
  </si>
  <si>
    <t>9. งานราดยางไพร์มโค้ท</t>
  </si>
  <si>
    <t>10. งานราดยางแทคโค้ท</t>
  </si>
  <si>
    <t>11. งานผิวทางแบบบาง</t>
  </si>
  <si>
    <t xml:space="preserve">           ชั้นเดียว (1/2")</t>
  </si>
  <si>
    <t xml:space="preserve">           ชั้นเดียว (3/4")</t>
  </si>
  <si>
    <t>13. งานผิวทางแอสฟัลท์ติกคอนกรีต</t>
  </si>
  <si>
    <t xml:space="preserve"> - ค่าขนส่งอุปกรณ์ 80 ตัน ระยะขนส่ง 100-300 กม.</t>
  </si>
  <si>
    <t xml:space="preserve"> - ค่าติดตั้งเครื่องผสม</t>
  </si>
  <si>
    <t xml:space="preserve"> - งานปูลาดและบดอัด ผิว AC หนา 5 ซม.</t>
  </si>
  <si>
    <t xml:space="preserve"> - ค่าผสมวัสดุแอสฟัลติกคอนกรีต</t>
  </si>
  <si>
    <t>14. งานผิวทางคอนกรีต</t>
  </si>
  <si>
    <t xml:space="preserve"> - ค่าผสมคอนกรีต</t>
  </si>
  <si>
    <t xml:space="preserve"> - ค่าขนส่งคอนกรีต</t>
  </si>
  <si>
    <t xml:space="preserve"> - ค่าแบบข้างติดตาวยาว 2 ข้าง</t>
  </si>
  <si>
    <t xml:space="preserve"> - ค่าปูผิวคอนกรีต</t>
  </si>
  <si>
    <t xml:space="preserve"> - ค่าตัดรอยต่อคอนกรีตและหยอดยาง</t>
  </si>
  <si>
    <t xml:space="preserve"> - ค่าหยอดยางรอยต่อคอนกรีต</t>
  </si>
  <si>
    <t xml:space="preserve"> - ค่าบ่มผิวทางคอนกรีต</t>
  </si>
  <si>
    <t>15. งาน Stabilized Layer</t>
  </si>
  <si>
    <t xml:space="preserve"> - ค่าผสมวัสดุ หินคลุก</t>
  </si>
  <si>
    <t xml:space="preserve"> - ค่าบ่มวัสดุ หินคลุก</t>
  </si>
  <si>
    <t>16. งาน Pavement In-Place Recycling</t>
  </si>
  <si>
    <t xml:space="preserve">           ขุดลึกเฉลี่ย 15 ซม.</t>
  </si>
  <si>
    <t xml:space="preserve">           ขุดลึกเฉลี่ย 20 ซม.</t>
  </si>
  <si>
    <t xml:space="preserve">           ขุดลึกเฉลี่ย 25 ซม.</t>
  </si>
  <si>
    <t>17. งาน Slurry Seal</t>
  </si>
  <si>
    <t>18. งาน Fog Spray</t>
  </si>
  <si>
    <t>ครั้ง</t>
  </si>
  <si>
    <t xml:space="preserve"> - ค่าขนส่งอุปกรณ์ 80 ตัน</t>
  </si>
  <si>
    <t xml:space="preserve"> - ค่าหินผสมแอสฟัลต์ 0.74 ลบ.ม. @</t>
  </si>
  <si>
    <t xml:space="preserve"> - ค่าดำเนินการ+ค่าเสื่อมราคา (งานผิวทางแอสฟัลท์ติกคอนกรีต : ค่าผสมวัสดุแอสฟัลติกคอนกรีต...) </t>
  </si>
  <si>
    <t xml:space="preserve"> - ค่าขนส่ง</t>
  </si>
  <si>
    <t>กม. ( ปกติใช้ L/4 )</t>
  </si>
  <si>
    <t xml:space="preserve"> - ค่ายาง AC = 5.2 %  @</t>
  </si>
  <si>
    <t>กม. (ไม่เกิน 300 กม.) =</t>
  </si>
  <si>
    <t xml:space="preserve">  - ค่าเสื่อมราคาบดทับหินคลุกปรับระดับ (หลวม) </t>
  </si>
  <si>
    <t xml:space="preserve"> บาท/ตัน /1,000</t>
  </si>
  <si>
    <t xml:space="preserve"> - ค่าดำเนินการ+ค่าเสื่อมราคา (งานผิวทางแบบบาง : ชั้นเดียว (1/2")...) </t>
  </si>
  <si>
    <t>ADD = ค่าสารผสมเพิ่มรวมค่าขนส่งถึงหน้างาน</t>
  </si>
  <si>
    <t xml:space="preserve"> - ค่าดำเนินการ+ค่าเสื่อมราคา (งาน Fog Spray : งาน Fog Spray...) </t>
  </si>
  <si>
    <t xml:space="preserve"> - ค่าดำเนินการ+ค่าเสื่อมราคา (งาน Slurry Seal : งาน Slurry Seal...) </t>
  </si>
  <si>
    <t xml:space="preserve">  - โมดิฟายด์แอสฟัลท์อีมัลชัน CSS-1h (EMA) = 2.054 ลิตร @</t>
  </si>
  <si>
    <t xml:space="preserve">  - ซีเมนต์  = 0.091 กก. @</t>
  </si>
  <si>
    <t xml:space="preserve">  - หิน (ใช้หินฝุ่น 80%+หิน 3/8" 20%) = 0.0117 ลบ.ม. @</t>
  </si>
  <si>
    <t xml:space="preserve">  - น้ำ = 0.0027 ลบ.ม. @</t>
  </si>
  <si>
    <t xml:space="preserve">  - ขนส่งวัสดุผสม = 0.0157 ตัน @ 1 กม. @</t>
  </si>
  <si>
    <t xml:space="preserve">  - สารผสมเพิ่ม = 0.072 ลิตร @</t>
  </si>
  <si>
    <t xml:space="preserve">  - ยาง CSS-1 = 0.30 ลิตร @ </t>
  </si>
  <si>
    <t xml:space="preserve"> - ค่าใช้จ่ายรวม</t>
  </si>
  <si>
    <t xml:space="preserve">  - ยาง CRS-2  = 1.10 ลิตร @</t>
  </si>
  <si>
    <t xml:space="preserve">  - หิน Single Size 1/2" = 0.013 ลบ.ม. @  </t>
  </si>
  <si>
    <t>งานผิวทาง (Surface Courses)</t>
  </si>
  <si>
    <t xml:space="preserve"> - งานถางป่าขุดตอ ขนาดกลาง</t>
  </si>
  <si>
    <t xml:space="preserve"> - งานชั้นพื้นทาง (หินคลุกบดอัดแน่น)</t>
  </si>
  <si>
    <t xml:space="preserve"> - ค่าดำเนินการ+ค่าเสื่อมราคา (งานผิวทางแอสฟัลท์ติกคอนกรีต : งานปูลาดและบดอัด ผิว AC หนา 5 ซม....) </t>
  </si>
  <si>
    <t>3</t>
  </si>
  <si>
    <t>ปริมาณ</t>
  </si>
  <si>
    <t>ต่อหน่วย</t>
  </si>
  <si>
    <t>หน่วย x FF</t>
  </si>
  <si>
    <t>ข้อมูลราคาค่างานต่อหน่วย</t>
  </si>
  <si>
    <t xml:space="preserve"> # งานลูกรังรองพื้นทาง</t>
  </si>
  <si>
    <t xml:space="preserve"> # งานพื้นทางหินคลุก</t>
  </si>
  <si>
    <t xml:space="preserve"> # งานเสริมหินคลุกปรับระดับ (หลวม)</t>
  </si>
  <si>
    <t xml:space="preserve"> # งานไพรม์โค้ต (Prime Coat) (พื้นทางหินคลุก)</t>
  </si>
  <si>
    <t xml:space="preserve"> # งานไพรม์โค้ต (Prime Coat) (พื้นทางหินคลุกซีเมนต์)</t>
  </si>
  <si>
    <t xml:space="preserve"> # งานแทคโค้ต (Tack Coat)</t>
  </si>
  <si>
    <t xml:space="preserve"> # งานปะซ่อมผิวทางเดิม (Skin Patch) </t>
  </si>
  <si>
    <t xml:space="preserve"> #  งาน Fog Spray</t>
  </si>
  <si>
    <t xml:space="preserve"> # งาน Para Slurry Seal Type III</t>
  </si>
  <si>
    <t>ระยะทางขนส่ง ค่าขนส่งอุปกรณ์ 80 ตัน (จาก ศาลากลางจังหวัด - หน้างาน)</t>
  </si>
  <si>
    <t xml:space="preserve"> - งานปาดหน้าปรับเกลี่ยพื้นทางเดิม (Leveling)</t>
  </si>
  <si>
    <t xml:space="preserve"> # งาน Single Surface Treatment (หิน Single Size 1/2")</t>
  </si>
  <si>
    <t xml:space="preserve">  - หิน Single Size 1/2" = 0.016 ลบ.ม. @  </t>
  </si>
  <si>
    <t xml:space="preserve">  - ยาง CRS-2  = 1.50 ลิตร @</t>
  </si>
  <si>
    <t xml:space="preserve"> - ค่าดำเนินการ+ค่าเสื่อมราคา (งานผิวทางแบบบาง : ชั้นเดียว (3/4")...) </t>
  </si>
  <si>
    <t xml:space="preserve"> # งาน Single Surface Treatment (หิน Single Size 3/4")</t>
  </si>
  <si>
    <t xml:space="preserve"> - งานผิวทาง Single Surface Treatment (หิน Single Size 1/2")</t>
  </si>
  <si>
    <t xml:space="preserve"> - งานผิวทาง Single Surface Treatment (หิน Single Size 3/4")</t>
  </si>
  <si>
    <t xml:space="preserve"> - งานผิวทางพาราสเลอรี่ซีลประเภท 3 (Para Slurry Seal Type III)</t>
  </si>
  <si>
    <t xml:space="preserve"> - งานลาดยาง Fog Spray</t>
  </si>
  <si>
    <t xml:space="preserve">  - งานลาดยาง  Tack Coat</t>
  </si>
  <si>
    <t xml:space="preserve">  - งานลาดยาง  Prime Coat (พื้นทางหินคลุกซีเมนต์)</t>
  </si>
  <si>
    <t>งานรองพื้นทางและพื้นทาง (Subbase And Base Courses)</t>
  </si>
  <si>
    <t>งานตีเส้นจราจร เครื่องหมายและหลักนำทาง</t>
  </si>
  <si>
    <t>1. งานรองพื้นทางและพื้นทาง (Subbase And Base Courses)</t>
  </si>
  <si>
    <t>2. งานผิวทาง (Surface Courses)</t>
  </si>
  <si>
    <t xml:space="preserve"> - ค่าดำเนินการ+ค่าเสื่อมราคา (งานผิวทางแอสฟัลท์ติกคอนกรีต : งานปูลาดและบดอัด ผิว AC หนา 5 ซม. บนผิวไพรม์โค๊ท....) </t>
  </si>
  <si>
    <t xml:space="preserve">บาท/ตร.ม. </t>
  </si>
  <si>
    <t xml:space="preserve"> # งานชั้นผิวทางแอสฟัลท์ติคคอนกรีต หนา</t>
  </si>
  <si>
    <t xml:space="preserve"> ซม. บนผิวไพรมโค๊ท       </t>
  </si>
  <si>
    <t xml:space="preserve"> (ตร.ม./ตัน)</t>
  </si>
  <si>
    <t xml:space="preserve"> - ค่าดำเนินการ+ค่าเสื่อมราคา (งานผิวทางแอสฟัลท์ติกคอนกรีต : งานปูลาดและบดอัด ผิว AC หนา 5 ซม. บนผิวแทคโค๊ท...) </t>
  </si>
  <si>
    <t>19.879346, 100.057948</t>
  </si>
  <si>
    <t>20.209588, 99.800778</t>
  </si>
  <si>
    <t>19.922749, 99.816690</t>
  </si>
  <si>
    <t>- ราคน้ำมันโซล่า เฉลี่ย</t>
  </si>
  <si>
    <t>กำหนดราคากลาง</t>
  </si>
  <si>
    <t xml:space="preserve"> บาท/ลิตร</t>
  </si>
  <si>
    <t xml:space="preserve">  - งานลาดยางชั้น  Prime Coat (พื้นทางหินคลุก)</t>
  </si>
  <si>
    <t xml:space="preserve">   - ป้ายจราจรแบบ บ1 (A)</t>
  </si>
  <si>
    <t xml:space="preserve">   - ป้ายจราจรแบบ บ2 (B)</t>
  </si>
  <si>
    <t xml:space="preserve">   - ป้ายจราจรแบบ บ3-บ36</t>
  </si>
  <si>
    <t xml:space="preserve">   - ป้ายจราจรแบบ บ37-บ55</t>
  </si>
  <si>
    <t xml:space="preserve">   - Guard  Rail บริเวณทางตรง</t>
  </si>
  <si>
    <t xml:space="preserve">หินผสมแอสฟัลต์ ใช้อัตราส่วนผสม = หินฝุ่น (45%) + หิน 3/8" (30%) + หิน 3/4" (25%) </t>
  </si>
  <si>
    <t xml:space="preserve">   - Rumble Strips</t>
  </si>
  <si>
    <t xml:space="preserve">   - สีเทอร์โมพลาสติก</t>
  </si>
  <si>
    <t xml:space="preserve">สัญญาณไฟกระพริบพลังงานแสงอาทิตย์ </t>
  </si>
  <si>
    <t xml:space="preserve"> - งานซ่อมผิวทางเดิม (ขุดรื้อเสริมหินคลุกบดอัดแน่น)</t>
  </si>
  <si>
    <t xml:space="preserve">  - งานปะซ่อมผิวทาง (Skin Patch) </t>
  </si>
  <si>
    <t xml:space="preserve">  - หลักแนวโค้ง ค.ส.ล. (ปรับตั้งตรง ทาสี ติดแผ่นสะท้อนแสงหน้าหลัง)</t>
  </si>
  <si>
    <t xml:space="preserve">  - เสาป้ายจราจร (ทาสี)</t>
  </si>
  <si>
    <t xml:space="preserve">  - หลักกิโลเมตร</t>
  </si>
  <si>
    <t xml:space="preserve">  - Tack Coat</t>
  </si>
  <si>
    <t xml:space="preserve"> -บนผิวแทคโค้ต</t>
  </si>
  <si>
    <t xml:space="preserve">   - สัญญาณไฟกระพริบ</t>
  </si>
  <si>
    <t>งานไฟเตือนไฟแสงสว่าง</t>
  </si>
  <si>
    <t xml:space="preserve">   - โคมไฟถนนพลังงานแสงอาทิตย์แบบประกอบในชุดเดียวกัน</t>
  </si>
  <si>
    <t>ระยะทางขนส่งจาก โรงโม่หินบัญชากิจ ต.ท่าข้าวเปลือก อ.แม่จัน - หน้างาน</t>
  </si>
  <si>
    <t>20.160985, 100.058360</t>
  </si>
  <si>
    <t>13.764846, 100.538156</t>
  </si>
  <si>
    <t>ระยะทางขนส่ง ยางแอสฟัลท์ (จาก อนุสาวรีย์ชัยสมรภูมิ กทม. - หน้างาน)</t>
  </si>
  <si>
    <t xml:space="preserve">งานท่อระบายน้ำ คสล. ขนาดเส้นผ่านศูนย์กลาง </t>
  </si>
  <si>
    <t>ม. (รวมค่าติดตั้งแล้ว)</t>
  </si>
  <si>
    <t>บาท/ม.</t>
  </si>
  <si>
    <t xml:space="preserve">จำนวน </t>
  </si>
  <si>
    <t>1</t>
  </si>
  <si>
    <t>2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</si>
  <si>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</si>
  <si>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</si>
  <si>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</si>
  <si>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</si>
  <si>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</si>
  <si>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</si>
  <si>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</si>
  <si>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</si>
  <si>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</si>
  <si>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</si>
  <si>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</si>
  <si>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</si>
  <si>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</si>
  <si>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</si>
  <si>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</si>
  <si>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</si>
  <si>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</si>
  <si>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</si>
  <si>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</si>
  <si>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</si>
  <si>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</si>
  <si>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</si>
  <si>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</si>
  <si>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</si>
  <si>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</si>
  <si>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</si>
  <si>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</si>
  <si>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</si>
  <si>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</si>
  <si>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</si>
  <si>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</si>
  <si>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</si>
  <si>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</si>
  <si>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</si>
  <si>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</si>
  <si>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</si>
  <si>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</si>
  <si>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</si>
  <si>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</si>
  <si>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</si>
  <si>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</si>
  <si>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</si>
  <si>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</si>
  <si>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</si>
  <si>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</si>
  <si>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</si>
  <si>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</si>
  <si>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</si>
  <si>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</si>
  <si>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</si>
  <si>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</si>
  <si>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</si>
  <si>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</si>
  <si>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</si>
  <si>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</si>
  <si>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</si>
  <si>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</si>
  <si>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</si>
  <si>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</si>
  <si>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</si>
  <si>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</si>
  <si>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</si>
  <si>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</si>
  <si>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</si>
  <si>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</si>
  <si>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</si>
  <si>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</si>
  <si>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</si>
  <si>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</si>
  <si>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</si>
  <si>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</si>
  <si>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</si>
  <si>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</si>
  <si>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</si>
  <si>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</si>
  <si>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</si>
  <si>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</si>
  <si>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</si>
  <si>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</si>
  <si>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</si>
  <si>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</si>
  <si>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</si>
  <si>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</si>
  <si>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</si>
  <si>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</si>
  <si>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</si>
  <si>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</si>
  <si>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</si>
  <si>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</si>
  <si>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</si>
  <si>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</si>
  <si>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</si>
  <si>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</si>
  <si>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</si>
  <si>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</si>
  <si>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</si>
  <si>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</si>
  <si>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</si>
  <si>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</si>
  <si>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</si>
  <si>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</si>
  <si>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</si>
  <si>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</si>
  <si>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</si>
  <si>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</si>
  <si>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</si>
  <si>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</si>
  <si>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</si>
  <si>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</si>
  <si>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</si>
  <si>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</si>
  <si>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</si>
  <si>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</si>
  <si>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</si>
  <si>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</si>
  <si>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</si>
  <si>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</si>
  <si>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</si>
  <si>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</si>
  <si>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</si>
  <si>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</si>
  <si>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</si>
  <si>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</si>
  <si>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</si>
  <si>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</si>
  <si>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</si>
  <si>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</si>
  <si>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</si>
  <si>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</si>
  <si>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</si>
  <si>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</si>
  <si>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</si>
  <si>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</si>
  <si>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</si>
  <si>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</si>
  <si>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</si>
  <si>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</si>
  <si>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</si>
  <si>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</si>
  <si>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</si>
  <si>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</si>
  <si>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</si>
  <si>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</si>
  <si>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</si>
  <si>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</si>
  <si>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</si>
  <si>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</si>
  <si>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</si>
  <si>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</si>
  <si>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</si>
  <si>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</si>
  <si>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</si>
  <si>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</si>
  <si>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</si>
  <si>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</si>
  <si>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</si>
  <si>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</si>
  <si>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</si>
  <si>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</si>
  <si>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</si>
  <si>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</si>
  <si>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</si>
  <si>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</si>
  <si>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</si>
  <si>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</si>
  <si>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</si>
  <si>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</si>
  <si>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</si>
  <si>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</si>
  <si>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</si>
  <si>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</si>
  <si>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</si>
  <si>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</si>
  <si>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</si>
  <si>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</si>
  <si>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</si>
  <si>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</si>
  <si>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</si>
  <si>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</si>
  <si>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</si>
  <si>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</si>
  <si>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</si>
  <si>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</si>
  <si>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</si>
  <si>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</si>
  <si>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สืบราคาโรงโม่หินบัญชากิจ ต.ท่าข้าวเปลือก</t>
  </si>
  <si>
    <t>.120.23</t>
  </si>
  <si>
    <t xml:space="preserve"> # งานดินถม (จากการขุด-ขน)</t>
  </si>
  <si>
    <t xml:space="preserve">   - กำแพงปากท่อ</t>
  </si>
  <si>
    <t>หน่วยงานเจ้าของโครงการ/งานก่อสร้าง  สำนักช่าง  องค์การบริหารส่วนจังหวัดเชียงราย</t>
  </si>
  <si>
    <t>ท่อน</t>
  </si>
  <si>
    <t xml:space="preserve"> - งานขุดรื้อคันทางเดิมแล้วบดทับ (ลูกรัง 10 ซม.)</t>
  </si>
  <si>
    <t xml:space="preserve">   - Guard  Rail สำหรับติดบริเวณคอสะพาน</t>
  </si>
  <si>
    <t xml:space="preserve">   - คอนกรีตหยาบ รองท่อ/ล็อกท่อ </t>
  </si>
  <si>
    <t xml:space="preserve">   - งานท่อลอดกลม ค.ส.ล. ขนาด Dia. 0.80 ม.</t>
  </si>
  <si>
    <t xml:space="preserve">   - ทรายถม ท่อ</t>
  </si>
  <si>
    <t>เฉลี่ยข้างละ 1 ม.</t>
  </si>
  <si>
    <t>สะพานใหม่</t>
  </si>
  <si>
    <t xml:space="preserve">ซ่อมสร้างถนนลาดยางผิวจราจรแอสฟัลท์ติกคอนกรีต (Asphaltic Concrete) </t>
  </si>
  <si>
    <t>1.3.1</t>
  </si>
  <si>
    <t>1.3.2</t>
  </si>
  <si>
    <t>1.3.3</t>
  </si>
  <si>
    <t xml:space="preserve">   - งานท่อลอดกลม ค.ส.ล. ขนาด Dia. 1.00 ม.</t>
  </si>
  <si>
    <t>ลบ.ม.@</t>
  </si>
  <si>
    <t>ยางมะตอย เกรด EAP</t>
  </si>
  <si>
    <t>หินย่อย เบอร์ 1</t>
  </si>
  <si>
    <t xml:space="preserve"> - งานวัสดุคัดเลือก (จากการขนส่ง)</t>
  </si>
  <si>
    <t xml:space="preserve"> - งานวัสดุรองพื้นทาง (ลูกรังบดอัดแน่น)</t>
  </si>
  <si>
    <t xml:space="preserve">   - งานท่อลอดกลม ค.ส.ล. ขนาด Dia. 0.60 ม.</t>
  </si>
  <si>
    <t xml:space="preserve">   - ขยายความยาวท่อลอดเหลี่ยม</t>
  </si>
  <si>
    <t xml:space="preserve">ค่าท่อ </t>
  </si>
  <si>
    <t>ขุดดิน</t>
  </si>
  <si>
    <t>ค่าขนส่งท่อคิดจากการขนโดยรถบรรทุก 10 ล้อ เที่ยวละ 13 ตัน</t>
  </si>
  <si>
    <t>ค่าขนท่อขึ้น - ลง คิดเที่ยวละ 300.-บาท</t>
  </si>
  <si>
    <t>กม. = (</t>
  </si>
  <si>
    <t>x13)+300</t>
  </si>
  <si>
    <t>บาท/เที่ยวค่าขนส่ง</t>
  </si>
  <si>
    <t>ค่าขนส่งเฉลี่ย =</t>
  </si>
  <si>
    <t>ค่าวาง และกลบกลับ</t>
  </si>
  <si>
    <t>รวมค่าใช้จ่าย</t>
  </si>
  <si>
    <t xml:space="preserve"> # งานวัสดุคัดเลือก ( จากการขนส่ง )</t>
  </si>
  <si>
    <t>แบบสรุปค่างาน</t>
  </si>
  <si>
    <t>ชื่อโครงการ</t>
  </si>
  <si>
    <t>สถานที่ก่อสร้าง</t>
  </si>
  <si>
    <t>หน่วยงานเจ้าของโครงการ</t>
  </si>
  <si>
    <t>แบบ ปร.4 (ก)  ที่แนบ  มีจำนวน                      หน้า</t>
  </si>
  <si>
    <t>หน่วย : บาท</t>
  </si>
  <si>
    <t>ลำดับที่</t>
  </si>
  <si>
    <t>ค่าก่อสร้าง</t>
  </si>
  <si>
    <t>เงื่อนไขการใช้ตาราง Factor F</t>
  </si>
  <si>
    <t>เงินล่วงหน้าจ่าย.......0....%</t>
  </si>
  <si>
    <t>เงินประกันผลงานหัก.....0....%</t>
  </si>
  <si>
    <t>ภาษีมูลค่าเพิ่ม........7...........%</t>
  </si>
  <si>
    <t>รวมค่างานต้นทุน</t>
  </si>
  <si>
    <t>รวมค่าก่อสร้าง</t>
  </si>
  <si>
    <t>ซ่อมสร้างถนนลาดยาง</t>
  </si>
  <si>
    <t>คิดเป็นค่าก่อสร้างประมาณ</t>
  </si>
  <si>
    <t>งานทาง</t>
  </si>
  <si>
    <t>ปูนซีเมนต์ไฮดรอลิก</t>
  </si>
  <si>
    <t>ดอกเบี้ยเงินกู้.........7.......%</t>
  </si>
  <si>
    <t>19.51552908027715, 99.7825562656007</t>
  </si>
  <si>
    <t xml:space="preserve">  - ราคายาง EAP  =  0.80 ลิตร @</t>
  </si>
  <si>
    <t>YZ</t>
  </si>
  <si>
    <t>ราคาพาณิชย์ เดือน</t>
  </si>
  <si>
    <t>รายละเอียดตามประมาณการงานก่อสร้างและตามแบบแปลนที่ อบจ.เชียงราย กำหนด</t>
  </si>
  <si>
    <t xml:space="preserve"> - งานขุดรื้อคันทางเดิมแล้วบดทับ (หินคลุก10 ซม.)</t>
  </si>
  <si>
    <t xml:space="preserve"> - งานขุดรื้อคันทางเดิมแล้วบดทับ (ผิว AC 5 ซม.)</t>
  </si>
  <si>
    <r>
      <t xml:space="preserve">ตารางค่าขนส่งค่าวัสดุก่อสร้าง  </t>
    </r>
    <r>
      <rPr>
        <b/>
        <sz val="14"/>
        <color indexed="10"/>
        <rFont val="Angsana New"/>
        <family val="1"/>
      </rPr>
      <t>รถบรรทุกสิบล้อ</t>
    </r>
  </si>
  <si>
    <t>587935 2226916</t>
  </si>
  <si>
    <t>รายละเอียดตามประมาณการงานก่อสร้างและตามแบบแปลนที่ อบต.ป่าตึง กำหนด</t>
  </si>
  <si>
    <t>ราคาแผ่นป้าย + เสาป้าย</t>
  </si>
  <si>
    <t>องค์การบริหารส่วนตำบลป่าตึง</t>
  </si>
  <si>
    <t>งานป้ายโครงการ</t>
  </si>
  <si>
    <t xml:space="preserve">  - ป้ายโครงการระหว่างดำเนินงานก่อสร้าง</t>
  </si>
  <si>
    <t>กว้าง  8.00  ม.  ยาว  169.00 ม. หนา 0.05 ม. หรือมีพื้นที่ผิวจราจรรวมไม่น้อยกว่า 1,352.00  ตร.ม.</t>
  </si>
  <si>
    <t>ปริมาณงาน</t>
  </si>
  <si>
    <t xml:space="preserve">  มิถุนายน 2568</t>
  </si>
  <si>
    <t xml:space="preserve">  เมษายน 2567</t>
  </si>
  <si>
    <t xml:space="preserve">หน้าโรงเรียนศุภปัญญา  หมู่ 4 ตำบลป่าตึง อำเภอแม่จัน จังหวัดเชียงราย </t>
  </si>
  <si>
    <t>เงินจ่ายล่วงหน้า 0%  เงินประกันผลงานหัก  0% ดอกเบี้ยเงินกู้  7% ต่อปี  ภาษีมูลค่าเพิ่ม  7% พื้นที่ฝนชุก 1</t>
  </si>
  <si>
    <t>ซ่อมสร้างถนนลาดยางแอสฟัลต์ติกคอนกรีต  สายทาง 1089  ตำบลป่าตึง อำเภอแม่จัน จังหวัดเชียงราย</t>
  </si>
  <si>
    <t>ใบแจ้งปริมาณงานและราคา</t>
  </si>
  <si>
    <t xml:space="preserve">เรียน  นายกองค์การบริหารส่วนป่าตึง     </t>
  </si>
  <si>
    <t xml:space="preserve">         ข้าพเจ้า.................................................................................................................................................................โดย......................................................................  </t>
  </si>
  <si>
    <t>อยู่เลขที่...............หมู่...............ตำบล......................................อำเภอ..........................................จังหวัด............................................โทรศัพย์..........................................</t>
  </si>
  <si>
    <t>เสนอราคาเมื่อวันที่.....................เดือน.................................................พ.ศ..................................ขอเสนอราคาโครงการซ่อมสร้างถนนลาดยางแอสฟัลติกคอนกรีต ดังต่อไปนี้</t>
  </si>
  <si>
    <t>จำนวน</t>
  </si>
  <si>
    <t>ราคาต่อหน่วย</t>
  </si>
  <si>
    <t>FN</t>
  </si>
  <si>
    <t>ราคาต่อหน่วย x FN</t>
  </si>
  <si>
    <t>( บาท )</t>
  </si>
  <si>
    <t xml:space="preserve"> - งาน Pavement In Place Recycling ขุดลึกเฉลี่ย 0.15 ม.</t>
  </si>
  <si>
    <t>รวมในแผ่นนี้</t>
  </si>
  <si>
    <t xml:space="preserve">ค่าวัสดุ                                                                        </t>
  </si>
  <si>
    <t>ค่าแรง</t>
  </si>
  <si>
    <t xml:space="preserve">รวมค่าวัสดุ + ค่าแรงงาน                                                  </t>
  </si>
  <si>
    <t xml:space="preserve">ค่า FACTOR  F </t>
  </si>
  <si>
    <t>รวมเป็นเงินค่าก่อสร้างก่อสร้างผนังกันดิน  ทั้งสิ้น</t>
  </si>
  <si>
    <t xml:space="preserve">                                                                                                                             ขอคิดเป็นค่าก่อสร้างก่อสร้างซ่อมสร้างถนนลาดยางแอสฟัลติกคอนกรีต เพียง                             </t>
  </si>
  <si>
    <t>(ตัวอักษร)</t>
  </si>
  <si>
    <t>ยืนราคาก่อสร้าง.........................................................วัน  นับตั้งแต่วันเสนอราคา</t>
  </si>
  <si>
    <t xml:space="preserve">       </t>
  </si>
  <si>
    <t>กำหนดส่งมอบงานก่อสร้าง....................................วัน  นับตั้งแต่วันทำสัญญา  หรือบันทึกตกลงจ้าง</t>
  </si>
  <si>
    <t>(ลงชื่อ)...................................................................</t>
  </si>
  <si>
    <t xml:space="preserve">                (.......................................................)</t>
  </si>
  <si>
    <t>ตำแหน่ง.................................................................</t>
  </si>
  <si>
    <t xml:space="preserve">                                  ตราห้างฯ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</si>
</sst>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_-;\-* #,##0.00_-;_-* &quot;-&quot;??_-;_-@_-"/>
    <numFmt numFmtId="164" formatCode="_(* #,##0.00_);_(* \(#,##0.00\);_(* &quot;-&quot;??_);_(@_)"/>
    <numFmt numFmtId="165" formatCode="0.0000"/>
    <numFmt numFmtId="166" formatCode="_-* #,##0.0000_-;\-* #,##0.0000_-;_-* &quot;-&quot;????_-;_-@_-"/>
    <numFmt numFmtId="167" formatCode="#,##0.0000"/>
    <numFmt numFmtId="168" formatCode="0.0"/>
    <numFmt numFmtId="169" formatCode="#,##0.00_ ;\-#,##0.00\ "/>
    <numFmt numFmtId="170" formatCode="#,##0.0000_);\(#,##0.0000\)"/>
    <numFmt numFmtId="171" formatCode="#,##0.000_);\(#,##0.000\)"/>
    <numFmt numFmtId="172" formatCode="_-* #,##0_-;\-* #,##0_-;_-* &quot;-&quot;??_-;_-@_-"/>
    <numFmt numFmtId="173" formatCode="0.00000000"/>
    <numFmt numFmtId="174" formatCode="_-* #,##0.0000_-;\-* #,##0.0000_-;_-* &quot;-&quot;??_-;_-@_-"/>
    <numFmt numFmtId="175" formatCode="_-* #,##0.000_-;\-* #,##0.000_-;_-* &quot;-&quot;??_-;_-@_-"/>
    <numFmt numFmtId="176" formatCode="&quot;หนาเฉลี่ย &quot;0.00&quot; ม.&quot;"/>
    <numFmt numFmtId="177" formatCode="_(* #,##0.0000_);_(* \(#,##0.0000\);_(* &quot;-&quot;??_);_(@_)"/>
    <numFmt numFmtId="178" formatCode="_(* #,##0.0_);_(* \(#,##0.0\);_(* &quot;-&quot;??_);_(@_)"/>
    <numFmt numFmtId="179" formatCode="&quot;เงินล่วงหน้าจ่าย           &quot;\ 0\ &quot;%&quot;"/>
    <numFmt numFmtId="180" formatCode="&quot;เงินประกันผลงานหัก     &quot;\ 0\ &quot;%&quot;"/>
    <numFmt numFmtId="181" formatCode="&quot;ดอกเบี้ยเงินกู้               &quot;\ 0\ &quot;%&quot;"/>
    <numFmt numFmtId="182" formatCode="&quot;ภาษีมูลค่าเพิ่ม              &quot;\ 0\ &quot;%&quot;"/>
    <numFmt numFmtId="183" formatCode="&quot;หนา &quot;0&quot; ซม.&quot;"/>
    <numFmt numFmtId="184" formatCode="&quot;x &quot;0.00"/>
    <numFmt numFmtId="185" formatCode="&quot;= &quot;0.00"/>
    <numFmt numFmtId="186" formatCode="0\ &quot;จุด จุดละ 10 เส้น&quot;"/>
    <numFmt numFmtId="187" formatCode="0\ &quot;จุด จุดละ 2 เส้น&quot;"/>
    <numFmt numFmtId="188" formatCode="0.00\ &quot;%&quot;"/>
    <numFmt numFmtId="189" formatCode="_(* #,##0_);_(* \(#,##0\);_(* &quot;-&quot;??_);_(@_)"/>
    <numFmt numFmtId="190" formatCode="_-* #,##0.0_-;\-* #,##0.0_-;_-* &quot;-&quot;??_-;_-@_-"/>
    <numFmt numFmtId="191" formatCode="0.00\ &quot;เมตร&quot;"/>
    <numFmt numFmtId="192" formatCode="&quot;x &quot;0.00\ &quot;(ตัวแปร)&quot;"/>
    <numFmt numFmtId="193" formatCode="0,000.00\ &quot;เมตร&quot;"/>
    <numFmt numFmtId="194" formatCode="&quot;หนา &quot;0.00&quot; ม.&quot;"/>
    <numFmt numFmtId="196" formatCode="_-* #,##0.000_-;\-* #,##0.000_-;_-* &quot;-&quot;???_-;_-@_-"/>
    <numFmt numFmtId="197" formatCode="&quot;x &quot;0"/>
    <numFmt numFmtId="198" formatCode="&quot;/ &quot;0"/>
    <numFmt numFmtId="199" formatCode="&quot;หนา &quot;0.00&quot; ม. (หลวม)&quot;"/>
  </numFmts>
  <fonts count="53" x14ac:knownFonts="1">
    <font>
      <sz val="14"/>
      <name val="Cordia New"/>
      <charset val="222"/>
    </font>
    <font>
      <sz val="14"/>
      <name val="Cordia New"/>
      <family val="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0"/>
      <name val="Courier"/>
      <family val="3"/>
    </font>
    <font>
      <sz val="16"/>
      <name val="AngsanaUPC"/>
      <family val="1"/>
      <charset val="222"/>
    </font>
    <font>
      <sz val="16"/>
      <color indexed="10"/>
      <name val="AngsanaUPC"/>
      <family val="1"/>
      <charset val="222"/>
    </font>
    <font>
      <sz val="14"/>
      <color rgb="FFFF0000"/>
      <name val="AngsanaUPC"/>
      <family val="1"/>
      <charset val="22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4"/>
      <color rgb="FF0000FF"/>
      <name val="AngsanaUPC"/>
      <family val="1"/>
      <charset val="222"/>
    </font>
    <font>
      <sz val="14"/>
      <color theme="5" tint="-0.249977111117893"/>
      <name val="AngsanaUPC"/>
      <family val="1"/>
      <charset val="222"/>
    </font>
    <font>
      <sz val="14"/>
      <color theme="3"/>
      <name val="AngsanaUPC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b/>
      <u/>
      <sz val="14"/>
      <name val="Angsana New"/>
      <family val="1"/>
    </font>
    <font>
      <b/>
      <sz val="18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6"/>
      <color theme="3"/>
      <name val="Angsana New"/>
      <family val="1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b/>
      <sz val="16"/>
      <color rgb="FFFF0000"/>
      <name val="Angsana New"/>
      <family val="1"/>
    </font>
    <font>
      <b/>
      <sz val="16"/>
      <color rgb="FF0000FF"/>
      <name val="Angsana New"/>
      <family val="1"/>
    </font>
    <font>
      <b/>
      <sz val="14"/>
      <color rgb="FFFF0000"/>
      <name val="Angsana New"/>
      <family val="1"/>
    </font>
    <font>
      <sz val="16"/>
      <color rgb="FF0078D7"/>
      <name val="Angsana New"/>
      <family val="1"/>
    </font>
    <font>
      <sz val="16"/>
      <color rgb="FF0000FF"/>
      <name val="Angsana New"/>
      <family val="1"/>
    </font>
    <font>
      <sz val="16"/>
      <color rgb="FFFF0000"/>
      <name val="Angsana New"/>
      <family val="1"/>
    </font>
    <font>
      <b/>
      <i/>
      <sz val="16"/>
      <color rgb="FF0000CC"/>
      <name val="Angsana New"/>
      <family val="1"/>
    </font>
    <font>
      <u/>
      <sz val="16"/>
      <name val="Angsana New"/>
      <family val="1"/>
    </font>
    <font>
      <sz val="16"/>
      <color indexed="8"/>
      <name val="Angsana New"/>
      <family val="1"/>
    </font>
    <font>
      <b/>
      <sz val="16"/>
      <color theme="0"/>
      <name val="Angsana New"/>
      <family val="1"/>
    </font>
    <font>
      <sz val="16"/>
      <color theme="0"/>
      <name val="Angsana New"/>
      <family val="1"/>
    </font>
    <font>
      <b/>
      <sz val="14"/>
      <color indexed="10"/>
      <name val="Angsana New"/>
      <family val="1"/>
    </font>
    <font>
      <b/>
      <sz val="14"/>
      <color indexed="52"/>
      <name val="Angsana New"/>
      <family val="1"/>
    </font>
    <font>
      <sz val="14"/>
      <color indexed="10"/>
      <name val="Angsana New"/>
      <family val="1"/>
    </font>
    <font>
      <sz val="14"/>
      <color indexed="8"/>
      <name val="Angsana New"/>
      <family val="1"/>
    </font>
    <font>
      <b/>
      <i/>
      <sz val="16"/>
      <name val="Angsana New"/>
      <family val="1"/>
    </font>
    <font>
      <b/>
      <i/>
      <sz val="16"/>
      <color rgb="FFFF0000"/>
      <name val="Angsana New"/>
      <family val="1"/>
    </font>
    <font>
      <sz val="16"/>
      <color rgb="FF000000"/>
      <name val="Angsana New"/>
      <family val="1"/>
    </font>
    <font>
      <sz val="14"/>
      <color rgb="FFFF0000"/>
      <name val="Angsana New"/>
      <family val="1"/>
    </font>
    <font>
      <b/>
      <sz val="14"/>
      <color indexed="9"/>
      <name val="Angsana New"/>
      <family val="1"/>
    </font>
    <font>
      <u/>
      <sz val="14"/>
      <name val="Angsana New"/>
      <family val="1"/>
    </font>
    <font>
      <sz val="14"/>
      <color theme="1"/>
      <name val="Angsana New"/>
      <family val="1"/>
    </font>
    <font>
      <sz val="14"/>
      <color rgb="FF0000FF"/>
      <name val="Angsana New"/>
      <family val="1"/>
    </font>
    <font>
      <b/>
      <sz val="14"/>
      <color rgb="FF0000FF"/>
      <name val="Angsana New"/>
      <family val="1"/>
    </font>
    <font>
      <sz val="14"/>
      <color rgb="FF0033CC"/>
      <name val="Angsana New"/>
      <family val="1"/>
    </font>
    <font>
      <b/>
      <sz val="14"/>
      <color rgb="FF0033CC"/>
      <name val="Angsana New"/>
      <family val="1"/>
    </font>
    <font>
      <b/>
      <sz val="14"/>
      <color theme="1"/>
      <name val="Angsana New"/>
      <family val="1"/>
    </font>
    <font>
      <b/>
      <sz val="18"/>
      <color theme="1"/>
      <name val="Angsana New"/>
      <family val="1"/>
    </font>
    <font>
      <b/>
      <u/>
      <sz val="18"/>
      <name val="Angsana New"/>
      <family val="1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FF00"/>
        <bgColor indexed="64"/>
      </patternFill>
    </fill>
  </fills>
  <borders count="18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medium">
        <color indexed="64"/>
      </right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/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/>
      <right style="medium">
        <color indexed="64"/>
      </right>
      <top/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auto="1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22"/>
      </bottom>
      <diagonal/>
    </border>
    <border>
      <left/>
      <right style="thin">
        <color indexed="64"/>
      </right>
      <top style="hair">
        <color indexed="22"/>
      </top>
      <bottom style="hair">
        <color indexed="22"/>
      </bottom>
      <diagonal/>
    </border>
    <border>
      <left/>
      <right style="thin">
        <color indexed="64"/>
      </right>
      <top style="hair">
        <color indexed="22"/>
      </top>
      <bottom/>
      <diagonal/>
    </border>
    <border>
      <left/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22"/>
      </bottom>
      <diagonal/>
    </border>
    <border>
      <left style="thin">
        <color indexed="64"/>
      </left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/>
      <top style="hair">
        <color indexed="22"/>
      </top>
      <bottom/>
      <diagonal/>
    </border>
    <border>
      <left style="thin">
        <color indexed="64"/>
      </left>
      <right/>
      <top style="hair">
        <color indexed="22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39" fontId="4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" fillId="0" borderId="0"/>
    <xf numFmtId="0" fontId="8" fillId="0" borderId="0"/>
    <xf numFmtId="0" fontId="1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84">
    <xf numFmtId="0" fontId="0" fillId="0" borderId="0" xfId="0"/>
    <xf numFmtId="39" fontId="3" fillId="0" borderId="9" xfId="2" applyFont="1" applyBorder="1" applyAlignment="1">
      <alignment horizontal="center"/>
    </xf>
    <xf numFmtId="39" fontId="3" fillId="0" borderId="18" xfId="2" applyFont="1" applyBorder="1" applyAlignment="1">
      <alignment horizontal="center"/>
    </xf>
    <xf numFmtId="39" fontId="3" fillId="0" borderId="0" xfId="2" applyFont="1"/>
    <xf numFmtId="0" fontId="3" fillId="0" borderId="0" xfId="0" applyFont="1"/>
    <xf numFmtId="39" fontId="3" fillId="0" borderId="58" xfId="2" applyFont="1" applyBorder="1" applyAlignment="1">
      <alignment horizontal="right"/>
    </xf>
    <xf numFmtId="39" fontId="3" fillId="0" borderId="19" xfId="2" applyFont="1" applyBorder="1" applyAlignment="1">
      <alignment horizontal="center"/>
    </xf>
    <xf numFmtId="39" fontId="3" fillId="0" borderId="23" xfId="2" applyFont="1" applyBorder="1" applyAlignment="1">
      <alignment horizontal="center"/>
    </xf>
    <xf numFmtId="1" fontId="5" fillId="0" borderId="47" xfId="2" quotePrefix="1" applyNumberFormat="1" applyFont="1" applyBorder="1"/>
    <xf numFmtId="39" fontId="3" fillId="0" borderId="3" xfId="2" applyFont="1" applyBorder="1" applyAlignment="1">
      <alignment horizontal="center"/>
    </xf>
    <xf numFmtId="39" fontId="3" fillId="0" borderId="4" xfId="2" applyFont="1" applyBorder="1" applyAlignment="1">
      <alignment horizontal="center"/>
    </xf>
    <xf numFmtId="39" fontId="3" fillId="0" borderId="20" xfId="2" applyFont="1" applyBorder="1" applyAlignment="1">
      <alignment horizontal="center"/>
    </xf>
    <xf numFmtId="39" fontId="3" fillId="0" borderId="6" xfId="2" applyFont="1" applyBorder="1" applyAlignment="1">
      <alignment horizontal="center"/>
    </xf>
    <xf numFmtId="39" fontId="3" fillId="0" borderId="7" xfId="2" applyFont="1" applyBorder="1" applyAlignment="1">
      <alignment horizontal="center"/>
    </xf>
    <xf numFmtId="39" fontId="3" fillId="0" borderId="21" xfId="2" applyFont="1" applyBorder="1" applyAlignment="1">
      <alignment horizontal="center"/>
    </xf>
    <xf numFmtId="39" fontId="3" fillId="0" borderId="41" xfId="2" applyFont="1" applyBorder="1" applyAlignment="1">
      <alignment horizontal="right"/>
    </xf>
    <xf numFmtId="39" fontId="3" fillId="0" borderId="41" xfId="2" applyFont="1" applyBorder="1"/>
    <xf numFmtId="39" fontId="3" fillId="0" borderId="34" xfId="2" applyFont="1" applyBorder="1"/>
    <xf numFmtId="39" fontId="3" fillId="0" borderId="35" xfId="2" applyFont="1" applyBorder="1"/>
    <xf numFmtId="39" fontId="3" fillId="0" borderId="44" xfId="2" applyFont="1" applyBorder="1"/>
    <xf numFmtId="39" fontId="3" fillId="0" borderId="30" xfId="2" applyFont="1" applyBorder="1"/>
    <xf numFmtId="39" fontId="3" fillId="0" borderId="36" xfId="2" applyFont="1" applyBorder="1"/>
    <xf numFmtId="39" fontId="3" fillId="0" borderId="29" xfId="2" applyFont="1" applyBorder="1" applyAlignment="1">
      <alignment horizontal="right"/>
    </xf>
    <xf numFmtId="39" fontId="3" fillId="0" borderId="42" xfId="2" applyFont="1" applyBorder="1" applyAlignment="1">
      <alignment horizontal="right"/>
    </xf>
    <xf numFmtId="39" fontId="3" fillId="0" borderId="55" xfId="2" applyFont="1" applyBorder="1" applyAlignment="1">
      <alignment horizontal="right"/>
    </xf>
    <xf numFmtId="1" fontId="2" fillId="0" borderId="32" xfId="2" applyNumberFormat="1" applyFont="1" applyBorder="1" applyAlignment="1">
      <alignment horizontal="center"/>
    </xf>
    <xf numFmtId="39" fontId="3" fillId="0" borderId="52" xfId="2" applyFont="1" applyBorder="1"/>
    <xf numFmtId="39" fontId="3" fillId="0" borderId="53" xfId="2" applyFont="1" applyBorder="1" applyAlignment="1">
      <alignment horizontal="right"/>
    </xf>
    <xf numFmtId="2" fontId="3" fillId="0" borderId="51" xfId="0" applyNumberFormat="1" applyFont="1" applyBorder="1"/>
    <xf numFmtId="39" fontId="3" fillId="0" borderId="54" xfId="2" applyFont="1" applyBorder="1" applyAlignment="1">
      <alignment horizontal="right"/>
    </xf>
    <xf numFmtId="39" fontId="3" fillId="0" borderId="37" xfId="2" applyFont="1" applyBorder="1"/>
    <xf numFmtId="39" fontId="3" fillId="0" borderId="31" xfId="2" applyFont="1" applyBorder="1" applyAlignment="1">
      <alignment horizontal="right"/>
    </xf>
    <xf numFmtId="39" fontId="3" fillId="0" borderId="43" xfId="2" applyFont="1" applyBorder="1" applyAlignment="1">
      <alignment horizontal="right"/>
    </xf>
    <xf numFmtId="39" fontId="3" fillId="0" borderId="56" xfId="2" applyFont="1" applyBorder="1" applyAlignment="1">
      <alignment horizontal="right"/>
    </xf>
    <xf numFmtId="2" fontId="3" fillId="0" borderId="0" xfId="0" applyNumberFormat="1" applyFont="1"/>
    <xf numFmtId="39" fontId="3" fillId="0" borderId="57" xfId="2" applyFont="1" applyBorder="1" applyAlignment="1">
      <alignment horizontal="right"/>
    </xf>
    <xf numFmtId="1" fontId="2" fillId="0" borderId="38" xfId="2" applyNumberFormat="1" applyFont="1" applyBorder="1" applyAlignment="1">
      <alignment horizontal="center"/>
    </xf>
    <xf numFmtId="1" fontId="2" fillId="0" borderId="21" xfId="2" applyNumberFormat="1" applyFont="1" applyBorder="1" applyAlignment="1">
      <alignment horizontal="center"/>
    </xf>
    <xf numFmtId="39" fontId="3" fillId="0" borderId="39" xfId="2" applyFont="1" applyBorder="1"/>
    <xf numFmtId="39" fontId="3" fillId="0" borderId="40" xfId="2" applyFont="1" applyBorder="1" applyAlignment="1">
      <alignment horizontal="right"/>
    </xf>
    <xf numFmtId="39" fontId="3" fillId="0" borderId="45" xfId="2" applyFont="1" applyBorder="1" applyAlignment="1">
      <alignment horizontal="right"/>
    </xf>
    <xf numFmtId="39" fontId="3" fillId="0" borderId="1" xfId="2" applyFont="1" applyBorder="1"/>
    <xf numFmtId="39" fontId="3" fillId="0" borderId="2" xfId="2" applyFont="1" applyBorder="1" applyAlignment="1">
      <alignment horizontal="right"/>
    </xf>
    <xf numFmtId="39" fontId="3" fillId="0" borderId="24" xfId="2" applyFont="1" applyBorder="1" applyAlignment="1">
      <alignment horizontal="right"/>
    </xf>
    <xf numFmtId="39" fontId="3" fillId="0" borderId="1" xfId="2" applyFont="1" applyBorder="1" applyAlignment="1">
      <alignment horizontal="right"/>
    </xf>
    <xf numFmtId="39" fontId="7" fillId="0" borderId="58" xfId="2" applyFont="1" applyBorder="1" applyAlignment="1">
      <alignment horizontal="right"/>
    </xf>
    <xf numFmtId="39" fontId="3" fillId="0" borderId="48" xfId="2" applyFont="1" applyBorder="1"/>
    <xf numFmtId="39" fontId="3" fillId="0" borderId="33" xfId="2" applyFont="1" applyBorder="1" applyAlignment="1">
      <alignment horizontal="right"/>
    </xf>
    <xf numFmtId="39" fontId="3" fillId="0" borderId="46" xfId="2" applyFont="1" applyBorder="1" applyAlignment="1">
      <alignment horizontal="right"/>
    </xf>
    <xf numFmtId="39" fontId="3" fillId="0" borderId="8" xfId="2" applyFont="1" applyBorder="1" applyAlignment="1">
      <alignment horizontal="right"/>
    </xf>
    <xf numFmtId="1" fontId="2" fillId="0" borderId="22" xfId="2" applyNumberFormat="1" applyFont="1" applyBorder="1" applyAlignment="1">
      <alignment horizontal="center"/>
    </xf>
    <xf numFmtId="2" fontId="3" fillId="0" borderId="18" xfId="0" applyNumberFormat="1" applyFont="1" applyBorder="1"/>
    <xf numFmtId="39" fontId="3" fillId="0" borderId="35" xfId="2" applyFont="1" applyBorder="1" applyAlignment="1">
      <alignment horizontal="right"/>
    </xf>
    <xf numFmtId="39" fontId="3" fillId="0" borderId="59" xfId="2" applyFont="1" applyBorder="1" applyAlignment="1">
      <alignment horizontal="right"/>
    </xf>
    <xf numFmtId="39" fontId="3" fillId="0" borderId="60" xfId="2" applyFont="1" applyBorder="1" applyAlignment="1">
      <alignment horizontal="right"/>
    </xf>
    <xf numFmtId="0" fontId="3" fillId="0" borderId="44" xfId="0" applyFont="1" applyBorder="1"/>
    <xf numFmtId="2" fontId="3" fillId="0" borderId="35" xfId="0" applyNumberFormat="1" applyFont="1" applyBorder="1"/>
    <xf numFmtId="0" fontId="3" fillId="0" borderId="35" xfId="0" applyFont="1" applyBorder="1"/>
    <xf numFmtId="39" fontId="3" fillId="0" borderId="61" xfId="2" applyFont="1" applyBorder="1" applyAlignment="1">
      <alignment horizontal="right"/>
    </xf>
    <xf numFmtId="39" fontId="3" fillId="0" borderId="29" xfId="2" applyFont="1" applyBorder="1"/>
    <xf numFmtId="39" fontId="3" fillId="0" borderId="31" xfId="2" applyFont="1" applyBorder="1"/>
    <xf numFmtId="39" fontId="3" fillId="0" borderId="40" xfId="2" applyFont="1" applyBorder="1"/>
    <xf numFmtId="39" fontId="3" fillId="0" borderId="2" xfId="2" applyFont="1" applyBorder="1"/>
    <xf numFmtId="39" fontId="3" fillId="0" borderId="33" xfId="2" applyFont="1" applyBorder="1"/>
    <xf numFmtId="39" fontId="3" fillId="10" borderId="35" xfId="2" applyFont="1" applyFill="1" applyBorder="1"/>
    <xf numFmtId="39" fontId="3" fillId="10" borderId="29" xfId="2" applyFont="1" applyFill="1" applyBorder="1" applyAlignment="1">
      <alignment horizontal="right"/>
    </xf>
    <xf numFmtId="39" fontId="3" fillId="10" borderId="31" xfId="2" applyFont="1" applyFill="1" applyBorder="1" applyAlignment="1">
      <alignment horizontal="right"/>
    </xf>
    <xf numFmtId="39" fontId="3" fillId="10" borderId="40" xfId="2" applyFont="1" applyFill="1" applyBorder="1" applyAlignment="1">
      <alignment horizontal="right"/>
    </xf>
    <xf numFmtId="39" fontId="3" fillId="10" borderId="2" xfId="2" applyFont="1" applyFill="1" applyBorder="1" applyAlignment="1">
      <alignment horizontal="right"/>
    </xf>
    <xf numFmtId="39" fontId="3" fillId="10" borderId="33" xfId="2" applyFont="1" applyFill="1" applyBorder="1" applyAlignment="1">
      <alignment horizontal="right"/>
    </xf>
    <xf numFmtId="39" fontId="3" fillId="10" borderId="35" xfId="2" applyFont="1" applyFill="1" applyBorder="1" applyAlignment="1">
      <alignment horizontal="right"/>
    </xf>
    <xf numFmtId="39" fontId="3" fillId="0" borderId="53" xfId="2" applyFont="1" applyBorder="1"/>
    <xf numFmtId="39" fontId="3" fillId="10" borderId="4" xfId="2" applyFont="1" applyFill="1" applyBorder="1" applyAlignment="1">
      <alignment horizontal="center"/>
    </xf>
    <xf numFmtId="39" fontId="3" fillId="10" borderId="7" xfId="2" applyFont="1" applyFill="1" applyBorder="1" applyAlignment="1">
      <alignment horizontal="center"/>
    </xf>
    <xf numFmtId="39" fontId="3" fillId="10" borderId="53" xfId="2" applyFont="1" applyFill="1" applyBorder="1" applyAlignment="1">
      <alignment horizontal="right"/>
    </xf>
    <xf numFmtId="1" fontId="5" fillId="0" borderId="0" xfId="2" quotePrefix="1" applyNumberFormat="1" applyFont="1"/>
    <xf numFmtId="39" fontId="3" fillId="0" borderId="59" xfId="2" applyFont="1" applyBorder="1"/>
    <xf numFmtId="39" fontId="3" fillId="0" borderId="63" xfId="2" applyFont="1" applyBorder="1"/>
    <xf numFmtId="39" fontId="7" fillId="0" borderId="36" xfId="2" applyFont="1" applyBorder="1"/>
    <xf numFmtId="39" fontId="7" fillId="0" borderId="37" xfId="2" applyFont="1" applyBorder="1"/>
    <xf numFmtId="39" fontId="7" fillId="0" borderId="39" xfId="2" applyFont="1" applyBorder="1"/>
    <xf numFmtId="39" fontId="7" fillId="0" borderId="1" xfId="2" applyFont="1" applyBorder="1"/>
    <xf numFmtId="39" fontId="7" fillId="0" borderId="1" xfId="2" applyFont="1" applyBorder="1" applyAlignment="1">
      <alignment horizontal="right"/>
    </xf>
    <xf numFmtId="39" fontId="7" fillId="0" borderId="48" xfId="2" applyFont="1" applyBorder="1"/>
    <xf numFmtId="39" fontId="7" fillId="0" borderId="41" xfId="2" applyFont="1" applyBorder="1"/>
    <xf numFmtId="39" fontId="7" fillId="0" borderId="129" xfId="2" applyFont="1" applyBorder="1"/>
    <xf numFmtId="39" fontId="7" fillId="0" borderId="130" xfId="2" applyFont="1" applyBorder="1"/>
    <xf numFmtId="39" fontId="7" fillId="0" borderId="131" xfId="2" applyFont="1" applyBorder="1"/>
    <xf numFmtId="39" fontId="7" fillId="0" borderId="17" xfId="2" applyFont="1" applyBorder="1"/>
    <xf numFmtId="39" fontId="7" fillId="0" borderId="132" xfId="2" applyFont="1" applyBorder="1"/>
    <xf numFmtId="39" fontId="7" fillId="0" borderId="34" xfId="2" applyFont="1" applyBorder="1"/>
    <xf numFmtId="39" fontId="7" fillId="0" borderId="29" xfId="2" applyFont="1" applyBorder="1" applyAlignment="1">
      <alignment horizontal="right"/>
    </xf>
    <xf numFmtId="39" fontId="7" fillId="0" borderId="31" xfId="2" applyFont="1" applyBorder="1" applyAlignment="1">
      <alignment horizontal="right"/>
    </xf>
    <xf numFmtId="39" fontId="7" fillId="0" borderId="40" xfId="2" applyFont="1" applyBorder="1" applyAlignment="1">
      <alignment horizontal="right"/>
    </xf>
    <xf numFmtId="39" fontId="7" fillId="0" borderId="2" xfId="2" applyFont="1" applyBorder="1" applyAlignment="1">
      <alignment horizontal="right"/>
    </xf>
    <xf numFmtId="39" fontId="7" fillId="0" borderId="33" xfId="2" applyFont="1" applyBorder="1" applyAlignment="1">
      <alignment horizontal="right"/>
    </xf>
    <xf numFmtId="39" fontId="7" fillId="0" borderId="35" xfId="2" applyFont="1" applyBorder="1" applyAlignment="1">
      <alignment horizontal="right"/>
    </xf>
    <xf numFmtId="39" fontId="7" fillId="0" borderId="29" xfId="2" applyFont="1" applyBorder="1"/>
    <xf numFmtId="39" fontId="7" fillId="0" borderId="31" xfId="2" applyFont="1" applyBorder="1"/>
    <xf numFmtId="39" fontId="7" fillId="0" borderId="40" xfId="2" applyFont="1" applyBorder="1"/>
    <xf numFmtId="39" fontId="7" fillId="0" borderId="2" xfId="2" applyFont="1" applyBorder="1"/>
    <xf numFmtId="39" fontId="7" fillId="0" borderId="33" xfId="2" applyFont="1" applyBorder="1"/>
    <xf numFmtId="39" fontId="7" fillId="0" borderId="35" xfId="2" applyFont="1" applyBorder="1"/>
    <xf numFmtId="39" fontId="7" fillId="10" borderId="29" xfId="2" applyFont="1" applyFill="1" applyBorder="1" applyAlignment="1">
      <alignment horizontal="right"/>
    </xf>
    <xf numFmtId="39" fontId="7" fillId="10" borderId="31" xfId="2" applyFont="1" applyFill="1" applyBorder="1" applyAlignment="1">
      <alignment horizontal="right"/>
    </xf>
    <xf numFmtId="39" fontId="7" fillId="10" borderId="40" xfId="2" applyFont="1" applyFill="1" applyBorder="1" applyAlignment="1">
      <alignment horizontal="right"/>
    </xf>
    <xf numFmtId="39" fontId="7" fillId="10" borderId="2" xfId="2" applyFont="1" applyFill="1" applyBorder="1" applyAlignment="1">
      <alignment horizontal="right"/>
    </xf>
    <xf numFmtId="39" fontId="7" fillId="10" borderId="33" xfId="2" applyFont="1" applyFill="1" applyBorder="1" applyAlignment="1">
      <alignment horizontal="right"/>
    </xf>
    <xf numFmtId="39" fontId="7" fillId="10" borderId="35" xfId="2" applyFont="1" applyFill="1" applyBorder="1" applyAlignment="1">
      <alignment horizontal="right"/>
    </xf>
    <xf numFmtId="39" fontId="7" fillId="0" borderId="133" xfId="2" applyFont="1" applyBorder="1" applyAlignment="1">
      <alignment horizontal="right"/>
    </xf>
    <xf numFmtId="39" fontId="7" fillId="0" borderId="134" xfId="2" applyFont="1" applyBorder="1" applyAlignment="1">
      <alignment horizontal="right"/>
    </xf>
    <xf numFmtId="39" fontId="7" fillId="0" borderId="135" xfId="2" applyFont="1" applyBorder="1" applyAlignment="1">
      <alignment horizontal="right"/>
    </xf>
    <xf numFmtId="39" fontId="7" fillId="0" borderId="26" xfId="2" applyFont="1" applyBorder="1" applyAlignment="1">
      <alignment horizontal="right"/>
    </xf>
    <xf numFmtId="39" fontId="7" fillId="0" borderId="136" xfId="2" applyFont="1" applyBorder="1" applyAlignment="1">
      <alignment horizontal="right"/>
    </xf>
    <xf numFmtId="39" fontId="7" fillId="0" borderId="59" xfId="2" applyFont="1" applyBorder="1" applyAlignment="1">
      <alignment horizontal="right"/>
    </xf>
    <xf numFmtId="39" fontId="7" fillId="0" borderId="55" xfId="2" applyFont="1" applyBorder="1" applyAlignment="1">
      <alignment horizontal="right"/>
    </xf>
    <xf numFmtId="39" fontId="7" fillId="0" borderId="56" xfId="2" applyFont="1" applyBorder="1" applyAlignment="1">
      <alignment horizontal="right"/>
    </xf>
    <xf numFmtId="39" fontId="7" fillId="0" borderId="57" xfId="2" applyFont="1" applyBorder="1" applyAlignment="1">
      <alignment horizontal="right"/>
    </xf>
    <xf numFmtId="39" fontId="7" fillId="0" borderId="8" xfId="2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39" fontId="11" fillId="0" borderId="55" xfId="2" applyFont="1" applyBorder="1" applyAlignment="1">
      <alignment horizontal="right"/>
    </xf>
    <xf numFmtId="39" fontId="12" fillId="0" borderId="55" xfId="2" applyFont="1" applyBorder="1" applyAlignment="1">
      <alignment horizontal="right"/>
    </xf>
    <xf numFmtId="39" fontId="3" fillId="7" borderId="0" xfId="2" applyFont="1" applyFill="1"/>
    <xf numFmtId="39" fontId="3" fillId="7" borderId="9" xfId="2" applyFont="1" applyFill="1" applyBorder="1" applyAlignment="1">
      <alignment horizontal="center"/>
    </xf>
    <xf numFmtId="39" fontId="3" fillId="7" borderId="18" xfId="2" applyFont="1" applyFill="1" applyBorder="1" applyAlignment="1">
      <alignment horizontal="center"/>
    </xf>
    <xf numFmtId="39" fontId="3" fillId="7" borderId="34" xfId="2" applyFont="1" applyFill="1" applyBorder="1"/>
    <xf numFmtId="39" fontId="10" fillId="7" borderId="55" xfId="2" applyFont="1" applyFill="1" applyBorder="1" applyAlignment="1">
      <alignment horizontal="right"/>
    </xf>
    <xf numFmtId="39" fontId="3" fillId="7" borderId="35" xfId="2" applyFont="1" applyFill="1" applyBorder="1" applyAlignment="1">
      <alignment horizontal="right"/>
    </xf>
    <xf numFmtId="0" fontId="3" fillId="7" borderId="0" xfId="0" applyFont="1" applyFill="1"/>
    <xf numFmtId="39" fontId="3" fillId="7" borderId="35" xfId="2" applyFont="1" applyFill="1" applyBorder="1"/>
    <xf numFmtId="39" fontId="3" fillId="4" borderId="0" xfId="2" applyFont="1" applyFill="1"/>
    <xf numFmtId="39" fontId="3" fillId="4" borderId="9" xfId="2" applyFont="1" applyFill="1" applyBorder="1" applyAlignment="1">
      <alignment horizontal="center"/>
    </xf>
    <xf numFmtId="39" fontId="3" fillId="4" borderId="18" xfId="2" applyFont="1" applyFill="1" applyBorder="1" applyAlignment="1">
      <alignment horizontal="center"/>
    </xf>
    <xf numFmtId="39" fontId="3" fillId="4" borderId="35" xfId="2" applyFont="1" applyFill="1" applyBorder="1"/>
    <xf numFmtId="39" fontId="10" fillId="4" borderId="55" xfId="2" applyFont="1" applyFill="1" applyBorder="1" applyAlignment="1">
      <alignment horizontal="right"/>
    </xf>
    <xf numFmtId="39" fontId="3" fillId="4" borderId="35" xfId="2" applyFont="1" applyFill="1" applyBorder="1" applyAlignment="1">
      <alignment horizontal="right"/>
    </xf>
    <xf numFmtId="0" fontId="3" fillId="4" borderId="0" xfId="0" applyFont="1" applyFill="1"/>
    <xf numFmtId="39" fontId="3" fillId="4" borderId="153" xfId="2" applyFont="1" applyFill="1" applyBorder="1" applyAlignment="1">
      <alignment horizontal="center"/>
    </xf>
    <xf numFmtId="39" fontId="3" fillId="4" borderId="19" xfId="2" applyFont="1" applyFill="1" applyBorder="1" applyAlignment="1">
      <alignment horizontal="center"/>
    </xf>
    <xf numFmtId="39" fontId="3" fillId="4" borderId="55" xfId="2" applyFont="1" applyFill="1" applyBorder="1" applyAlignment="1">
      <alignment horizontal="right"/>
    </xf>
    <xf numFmtId="39" fontId="3" fillId="4" borderId="56" xfId="2" applyFont="1" applyFill="1" applyBorder="1" applyAlignment="1">
      <alignment horizontal="right"/>
    </xf>
    <xf numFmtId="39" fontId="3" fillId="4" borderId="151" xfId="2" applyFont="1" applyFill="1" applyBorder="1" applyAlignment="1">
      <alignment horizontal="right"/>
    </xf>
    <xf numFmtId="39" fontId="3" fillId="4" borderId="57" xfId="2" applyFont="1" applyFill="1" applyBorder="1" applyAlignment="1">
      <alignment horizontal="right"/>
    </xf>
    <xf numFmtId="39" fontId="3" fillId="4" borderId="152" xfId="2" applyFont="1" applyFill="1" applyBorder="1" applyAlignment="1">
      <alignment horizontal="right"/>
    </xf>
    <xf numFmtId="39" fontId="3" fillId="4" borderId="58" xfId="2" applyFont="1" applyFill="1" applyBorder="1" applyAlignment="1">
      <alignment horizontal="right"/>
    </xf>
    <xf numFmtId="39" fontId="3" fillId="4" borderId="8" xfId="2" applyFont="1" applyFill="1" applyBorder="1" applyAlignment="1">
      <alignment horizontal="right"/>
    </xf>
    <xf numFmtId="39" fontId="3" fillId="4" borderId="59" xfId="2" applyFont="1" applyFill="1" applyBorder="1" applyAlignment="1">
      <alignment horizontal="right"/>
    </xf>
    <xf numFmtId="39" fontId="3" fillId="4" borderId="44" xfId="2" applyFont="1" applyFill="1" applyBorder="1" applyAlignment="1">
      <alignment horizontal="right"/>
    </xf>
    <xf numFmtId="39" fontId="3" fillId="4" borderId="61" xfId="2" applyFont="1" applyFill="1" applyBorder="1" applyAlignment="1">
      <alignment horizontal="right"/>
    </xf>
    <xf numFmtId="39" fontId="3" fillId="4" borderId="23" xfId="2" applyFont="1" applyFill="1" applyBorder="1" applyAlignment="1">
      <alignment horizontal="center"/>
    </xf>
    <xf numFmtId="39" fontId="3" fillId="4" borderId="34" xfId="2" applyFont="1" applyFill="1" applyBorder="1"/>
    <xf numFmtId="0" fontId="3" fillId="4" borderId="35" xfId="0" applyFont="1" applyFill="1" applyBorder="1"/>
    <xf numFmtId="0" fontId="3" fillId="4" borderId="44" xfId="0" applyFont="1" applyFill="1" applyBorder="1"/>
    <xf numFmtId="39" fontId="3" fillId="4" borderId="60" xfId="2" applyFont="1" applyFill="1" applyBorder="1" applyAlignment="1">
      <alignment horizontal="right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1" applyNumberFormat="1" applyFont="1" applyFill="1" applyBorder="1" applyAlignment="1" applyProtection="1">
      <alignment horizontal="centerContinuous" vertical="center"/>
    </xf>
    <xf numFmtId="0" fontId="14" fillId="0" borderId="0" xfId="1" applyNumberFormat="1" applyFont="1" applyFill="1" applyAlignment="1" applyProtection="1">
      <alignment vertical="center"/>
    </xf>
    <xf numFmtId="0" fontId="14" fillId="0" borderId="0" xfId="1" quotePrefix="1" applyNumberFormat="1" applyFont="1" applyFill="1" applyAlignment="1" applyProtection="1">
      <alignment vertical="center"/>
    </xf>
    <xf numFmtId="0" fontId="14" fillId="0" borderId="0" xfId="0" quotePrefix="1" applyFont="1" applyAlignment="1">
      <alignment horizontal="center" vertical="center" shrinkToFi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 shrinkToFit="1"/>
    </xf>
    <xf numFmtId="0" fontId="14" fillId="0" borderId="0" xfId="1" applyNumberFormat="1" applyFont="1" applyFill="1" applyAlignment="1" applyProtection="1">
      <alignment horizontal="center" vertical="center"/>
    </xf>
    <xf numFmtId="0" fontId="13" fillId="0" borderId="0" xfId="3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Alignment="1">
      <alignment horizontal="center" vertical="center"/>
    </xf>
    <xf numFmtId="43" fontId="14" fillId="0" borderId="0" xfId="0" applyNumberFormat="1" applyFont="1" applyAlignment="1">
      <alignment horizontal="center" vertical="center" shrinkToFit="1"/>
    </xf>
    <xf numFmtId="0" fontId="14" fillId="0" borderId="0" xfId="3" applyNumberFormat="1" applyFont="1" applyFill="1" applyBorder="1" applyAlignment="1" applyProtection="1">
      <alignment vertical="center" shrinkToFit="1"/>
    </xf>
    <xf numFmtId="43" fontId="13" fillId="0" borderId="0" xfId="3" applyFont="1" applyFill="1" applyBorder="1" applyAlignment="1" applyProtection="1">
      <alignment horizontal="center" vertical="center" shrinkToFit="1"/>
    </xf>
    <xf numFmtId="43" fontId="14" fillId="0" borderId="0" xfId="1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right" vertical="center"/>
    </xf>
    <xf numFmtId="17" fontId="14" fillId="0" borderId="0" xfId="0" applyNumberFormat="1" applyFont="1" applyAlignment="1">
      <alignment horizontal="center" vertical="center" shrinkToFit="1"/>
    </xf>
    <xf numFmtId="0" fontId="13" fillId="0" borderId="0" xfId="0" applyFont="1"/>
    <xf numFmtId="0" fontId="14" fillId="0" borderId="0" xfId="0" applyFont="1"/>
    <xf numFmtId="0" fontId="13" fillId="0" borderId="107" xfId="0" applyFont="1" applyBorder="1"/>
    <xf numFmtId="43" fontId="14" fillId="0" borderId="0" xfId="1" quotePrefix="1" applyFont="1" applyFill="1" applyBorder="1"/>
    <xf numFmtId="0" fontId="14" fillId="0" borderId="0" xfId="0" quotePrefix="1" applyFont="1"/>
    <xf numFmtId="43" fontId="13" fillId="0" borderId="0" xfId="1" applyFont="1" applyFill="1" applyBorder="1"/>
    <xf numFmtId="0" fontId="14" fillId="0" borderId="58" xfId="0" applyFont="1" applyBorder="1"/>
    <xf numFmtId="43" fontId="14" fillId="0" borderId="0" xfId="1" applyFont="1" applyFill="1" applyBorder="1"/>
    <xf numFmtId="0" fontId="14" fillId="0" borderId="107" xfId="0" applyFont="1" applyBorder="1"/>
    <xf numFmtId="43" fontId="14" fillId="0" borderId="0" xfId="0" applyNumberFormat="1" applyFont="1"/>
    <xf numFmtId="43" fontId="13" fillId="0" borderId="12" xfId="3" applyFont="1" applyFill="1" applyBorder="1" applyAlignment="1">
      <alignment horizontal="center" vertical="center" shrinkToFit="1"/>
    </xf>
    <xf numFmtId="43" fontId="14" fillId="0" borderId="0" xfId="1" applyFont="1" applyFill="1" applyAlignment="1" applyProtection="1">
      <alignment horizontal="center" vertical="top"/>
    </xf>
    <xf numFmtId="43" fontId="14" fillId="0" borderId="0" xfId="1" applyFont="1" applyFill="1" applyAlignment="1" applyProtection="1">
      <alignment vertical="top"/>
    </xf>
    <xf numFmtId="43" fontId="13" fillId="0" borderId="0" xfId="3" applyFont="1" applyFill="1" applyAlignment="1">
      <alignment horizontal="center" vertical="center" shrinkToFit="1"/>
    </xf>
    <xf numFmtId="174" fontId="14" fillId="0" borderId="0" xfId="0" applyNumberFormat="1" applyFont="1"/>
    <xf numFmtId="43" fontId="14" fillId="0" borderId="0" xfId="1" applyFont="1" applyFill="1" applyBorder="1" applyAlignment="1">
      <alignment shrinkToFit="1"/>
    </xf>
    <xf numFmtId="43" fontId="13" fillId="0" borderId="102" xfId="0" applyNumberFormat="1" applyFont="1" applyBorder="1"/>
    <xf numFmtId="0" fontId="14" fillId="0" borderId="50" xfId="0" applyFont="1" applyBorder="1"/>
    <xf numFmtId="0" fontId="14" fillId="0" borderId="47" xfId="0" applyFont="1" applyBorder="1"/>
    <xf numFmtId="43" fontId="14" fillId="0" borderId="47" xfId="1" applyFont="1" applyFill="1" applyBorder="1"/>
    <xf numFmtId="0" fontId="14" fillId="0" borderId="8" xfId="0" applyFont="1" applyBorder="1"/>
    <xf numFmtId="43" fontId="14" fillId="0" borderId="0" xfId="1" applyFont="1" applyFill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1" applyNumberFormat="1" applyFont="1" applyFill="1" applyBorder="1" applyAlignment="1" applyProtection="1">
      <alignment horizontal="centerContinuous" vertical="center"/>
    </xf>
    <xf numFmtId="0" fontId="19" fillId="0" borderId="0" xfId="1" applyNumberFormat="1" applyFont="1" applyFill="1" applyAlignment="1" applyProtection="1">
      <alignment vertical="center"/>
    </xf>
    <xf numFmtId="0" fontId="19" fillId="0" borderId="0" xfId="1" quotePrefix="1" applyNumberFormat="1" applyFont="1" applyFill="1" applyAlignment="1" applyProtection="1">
      <alignment vertical="center"/>
    </xf>
    <xf numFmtId="0" fontId="19" fillId="0" borderId="0" xfId="0" quotePrefix="1" applyFont="1" applyAlignment="1">
      <alignment horizontal="center" vertical="center" shrinkToFi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Alignment="1">
      <alignment vertical="center" shrinkToFit="1"/>
    </xf>
    <xf numFmtId="0" fontId="19" fillId="0" borderId="0" xfId="1" applyNumberFormat="1" applyFont="1" applyFill="1" applyAlignment="1" applyProtection="1">
      <alignment horizontal="center" vertical="center"/>
    </xf>
    <xf numFmtId="0" fontId="19" fillId="4" borderId="0" xfId="0" applyFont="1" applyFill="1" applyAlignment="1">
      <alignment vertical="center"/>
    </xf>
    <xf numFmtId="0" fontId="18" fillId="0" borderId="0" xfId="3" applyNumberFormat="1" applyFont="1" applyFill="1" applyBorder="1" applyAlignment="1" applyProtection="1">
      <alignment horizontal="left" vertical="center"/>
    </xf>
    <xf numFmtId="2" fontId="19" fillId="0" borderId="0" xfId="0" applyNumberFormat="1" applyFont="1" applyAlignment="1">
      <alignment horizontal="center" vertical="center"/>
    </xf>
    <xf numFmtId="43" fontId="19" fillId="0" borderId="0" xfId="0" applyNumberFormat="1" applyFont="1" applyAlignment="1">
      <alignment horizontal="center" vertical="center" shrinkToFit="1"/>
    </xf>
    <xf numFmtId="0" fontId="19" fillId="0" borderId="0" xfId="3" applyNumberFormat="1" applyFont="1" applyFill="1" applyBorder="1" applyAlignment="1" applyProtection="1">
      <alignment vertical="center" shrinkToFit="1"/>
    </xf>
    <xf numFmtId="43" fontId="18" fillId="0" borderId="0" xfId="3" applyFont="1" applyFill="1" applyBorder="1" applyAlignment="1" applyProtection="1">
      <alignment horizontal="center" vertical="center" shrinkToFit="1"/>
    </xf>
    <xf numFmtId="43" fontId="19" fillId="0" borderId="0" xfId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right" vertical="center"/>
    </xf>
    <xf numFmtId="17" fontId="19" fillId="0" borderId="0" xfId="0" applyNumberFormat="1" applyFont="1" applyAlignment="1">
      <alignment horizontal="center" vertical="center" shrinkToFit="1"/>
    </xf>
    <xf numFmtId="43" fontId="18" fillId="7" borderId="12" xfId="3" applyFont="1" applyFill="1" applyBorder="1" applyAlignment="1">
      <alignment horizontal="center" vertical="center" shrinkToFit="1"/>
    </xf>
    <xf numFmtId="43" fontId="19" fillId="0" borderId="0" xfId="1" applyFont="1" applyFill="1" applyAlignment="1" applyProtection="1">
      <alignment horizontal="center" vertical="top"/>
    </xf>
    <xf numFmtId="43" fontId="19" fillId="0" borderId="0" xfId="1" applyFont="1" applyFill="1" applyAlignment="1" applyProtection="1">
      <alignment vertical="top"/>
    </xf>
    <xf numFmtId="0" fontId="23" fillId="0" borderId="0" xfId="0" applyFont="1"/>
    <xf numFmtId="0" fontId="22" fillId="0" borderId="107" xfId="0" applyFont="1" applyBorder="1"/>
    <xf numFmtId="43" fontId="23" fillId="0" borderId="0" xfId="1" quotePrefix="1" applyFont="1" applyBorder="1"/>
    <xf numFmtId="0" fontId="23" fillId="0" borderId="0" xfId="0" quotePrefix="1" applyFont="1"/>
    <xf numFmtId="43" fontId="25" fillId="16" borderId="0" xfId="1" applyFont="1" applyFill="1" applyBorder="1"/>
    <xf numFmtId="0" fontId="23" fillId="0" borderId="58" xfId="0" applyFont="1" applyBorder="1"/>
    <xf numFmtId="43" fontId="26" fillId="0" borderId="16" xfId="1" applyFont="1" applyFill="1" applyBorder="1" applyAlignment="1" applyProtection="1">
      <alignment horizontal="center" vertical="top"/>
      <protection locked="0"/>
    </xf>
    <xf numFmtId="43" fontId="23" fillId="0" borderId="0" xfId="1" applyFont="1" applyBorder="1"/>
    <xf numFmtId="0" fontId="23" fillId="0" borderId="107" xfId="0" applyFont="1" applyBorder="1"/>
    <xf numFmtId="43" fontId="23" fillId="0" borderId="0" xfId="0" applyNumberFormat="1" applyFont="1"/>
    <xf numFmtId="43" fontId="25" fillId="0" borderId="0" xfId="1" applyFont="1" applyBorder="1"/>
    <xf numFmtId="174" fontId="23" fillId="0" borderId="0" xfId="0" applyNumberFormat="1" applyFont="1"/>
    <xf numFmtId="43" fontId="23" fillId="0" borderId="0" xfId="1" applyFont="1" applyBorder="1" applyAlignment="1">
      <alignment shrinkToFit="1"/>
    </xf>
    <xf numFmtId="43" fontId="19" fillId="16" borderId="0" xfId="1" applyFont="1" applyFill="1" applyBorder="1"/>
    <xf numFmtId="43" fontId="22" fillId="11" borderId="102" xfId="0" applyNumberFormat="1" applyFont="1" applyFill="1" applyBorder="1"/>
    <xf numFmtId="0" fontId="23" fillId="0" borderId="50" xfId="0" applyFont="1" applyBorder="1"/>
    <xf numFmtId="0" fontId="23" fillId="0" borderId="47" xfId="0" applyFont="1" applyBorder="1"/>
    <xf numFmtId="43" fontId="23" fillId="0" borderId="47" xfId="1" applyFont="1" applyBorder="1"/>
    <xf numFmtId="0" fontId="23" fillId="0" borderId="8" xfId="0" applyFont="1" applyBorder="1"/>
    <xf numFmtId="43" fontId="23" fillId="0" borderId="0" xfId="1" applyFont="1"/>
    <xf numFmtId="0" fontId="19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/>
    </xf>
    <xf numFmtId="43" fontId="19" fillId="0" borderId="0" xfId="1" applyFont="1" applyFill="1" applyBorder="1" applyAlignment="1" applyProtection="1">
      <alignment horizontal="left" vertical="top" shrinkToFit="1"/>
    </xf>
    <xf numFmtId="43" fontId="20" fillId="0" borderId="0" xfId="1" applyFont="1" applyFill="1" applyBorder="1" applyAlignment="1" applyProtection="1">
      <alignment horizontal="center" vertical="top" shrinkToFit="1"/>
    </xf>
    <xf numFmtId="43" fontId="20" fillId="0" borderId="0" xfId="1" applyFont="1" applyFill="1" applyBorder="1" applyAlignment="1" applyProtection="1">
      <alignment horizontal="left" vertical="top"/>
    </xf>
    <xf numFmtId="43" fontId="14" fillId="0" borderId="0" xfId="1" applyFont="1" applyFill="1" applyAlignment="1" applyProtection="1">
      <alignment horizontal="center" vertical="top"/>
      <protection locked="0"/>
    </xf>
    <xf numFmtId="43" fontId="19" fillId="0" borderId="0" xfId="0" applyNumberFormat="1" applyFont="1" applyAlignment="1">
      <alignment vertical="top"/>
    </xf>
    <xf numFmtId="0" fontId="19" fillId="0" borderId="0" xfId="0" applyFont="1" applyAlignment="1" applyProtection="1">
      <alignment vertical="top"/>
      <protection locked="0"/>
    </xf>
    <xf numFmtId="43" fontId="19" fillId="0" borderId="0" xfId="1" applyFont="1" applyFill="1" applyBorder="1" applyAlignment="1" applyProtection="1">
      <alignment vertical="top" shrinkToFit="1"/>
      <protection locked="0"/>
    </xf>
    <xf numFmtId="43" fontId="19" fillId="0" borderId="0" xfId="1" applyFont="1" applyFill="1" applyBorder="1" applyAlignment="1" applyProtection="1">
      <alignment horizontal="left" vertical="top"/>
      <protection locked="0"/>
    </xf>
    <xf numFmtId="43" fontId="19" fillId="0" borderId="0" xfId="1" applyFont="1" applyFill="1" applyBorder="1" applyAlignment="1" applyProtection="1">
      <alignment vertical="top"/>
      <protection locked="0"/>
    </xf>
    <xf numFmtId="43" fontId="19" fillId="0" borderId="0" xfId="1" applyFont="1" applyFill="1" applyBorder="1" applyAlignment="1" applyProtection="1">
      <alignment horizontal="center" vertical="top"/>
      <protection locked="0"/>
    </xf>
    <xf numFmtId="43" fontId="19" fillId="0" borderId="0" xfId="1" applyFont="1" applyFill="1" applyBorder="1" applyAlignment="1" applyProtection="1">
      <alignment vertical="top" shrinkToFit="1"/>
    </xf>
    <xf numFmtId="43" fontId="19" fillId="0" borderId="0" xfId="1" applyFont="1" applyFill="1" applyBorder="1" applyAlignment="1" applyProtection="1">
      <alignment horizontal="center" vertical="top" shrinkToFit="1"/>
    </xf>
    <xf numFmtId="43" fontId="19" fillId="0" borderId="0" xfId="1" applyFont="1" applyFill="1" applyBorder="1" applyAlignment="1" applyProtection="1">
      <alignment horizontal="left" vertical="top"/>
    </xf>
    <xf numFmtId="43" fontId="19" fillId="0" borderId="0" xfId="1" applyFont="1" applyFill="1" applyBorder="1" applyAlignment="1" applyProtection="1">
      <alignment horizontal="center" vertical="top"/>
    </xf>
    <xf numFmtId="175" fontId="19" fillId="0" borderId="0" xfId="3" applyNumberFormat="1" applyFont="1" applyFill="1" applyBorder="1" applyAlignment="1" applyProtection="1">
      <alignment horizontal="center" vertical="top"/>
    </xf>
    <xf numFmtId="43" fontId="19" fillId="0" borderId="0" xfId="3" applyFont="1" applyFill="1" applyAlignment="1" applyProtection="1">
      <alignment vertical="top"/>
    </xf>
    <xf numFmtId="0" fontId="18" fillId="0" borderId="0" xfId="0" applyFont="1" applyAlignment="1">
      <alignment vertical="top"/>
    </xf>
    <xf numFmtId="0" fontId="18" fillId="0" borderId="0" xfId="0" applyFont="1" applyAlignment="1" applyProtection="1">
      <alignment vertical="top"/>
      <protection locked="0"/>
    </xf>
    <xf numFmtId="0" fontId="18" fillId="0" borderId="0" xfId="0" applyFont="1" applyAlignment="1" applyProtection="1">
      <alignment horizontal="center" vertical="top"/>
      <protection locked="0"/>
    </xf>
    <xf numFmtId="43" fontId="18" fillId="0" borderId="0" xfId="1" applyFont="1" applyFill="1" applyBorder="1" applyAlignment="1" applyProtection="1">
      <alignment vertical="top" shrinkToFit="1"/>
      <protection locked="0"/>
    </xf>
    <xf numFmtId="43" fontId="19" fillId="0" borderId="0" xfId="1" applyFont="1" applyFill="1" applyBorder="1" applyAlignment="1" applyProtection="1">
      <alignment horizontal="right" vertical="top"/>
    </xf>
    <xf numFmtId="0" fontId="27" fillId="0" borderId="0" xfId="0" applyFont="1" applyAlignment="1">
      <alignment vertical="top"/>
    </xf>
    <xf numFmtId="43" fontId="19" fillId="0" borderId="10" xfId="1" applyFont="1" applyBorder="1" applyAlignment="1">
      <alignment horizontal="center" vertical="center" shrinkToFit="1"/>
    </xf>
    <xf numFmtId="43" fontId="19" fillId="0" borderId="2" xfId="1" applyFont="1" applyBorder="1" applyAlignment="1">
      <alignment horizontal="center" vertical="center" shrinkToFit="1"/>
    </xf>
    <xf numFmtId="43" fontId="19" fillId="0" borderId="15" xfId="1" applyFont="1" applyBorder="1" applyAlignment="1">
      <alignment horizontal="center" vertical="center" shrinkToFit="1"/>
    </xf>
    <xf numFmtId="0" fontId="19" fillId="0" borderId="76" xfId="0" applyFont="1" applyBorder="1" applyAlignment="1">
      <alignment vertical="top"/>
    </xf>
    <xf numFmtId="0" fontId="19" fillId="0" borderId="142" xfId="0" applyFont="1" applyBorder="1" applyAlignment="1">
      <alignment vertical="top"/>
    </xf>
    <xf numFmtId="0" fontId="19" fillId="0" borderId="139" xfId="0" applyFont="1" applyBorder="1" applyAlignment="1">
      <alignment vertical="top"/>
    </xf>
    <xf numFmtId="0" fontId="19" fillId="0" borderId="76" xfId="0" applyFont="1" applyBorder="1" applyAlignment="1">
      <alignment horizontal="center" vertical="top"/>
    </xf>
    <xf numFmtId="43" fontId="19" fillId="11" borderId="76" xfId="1" applyFont="1" applyFill="1" applyBorder="1" applyAlignment="1">
      <alignment vertical="top" shrinkToFit="1"/>
    </xf>
    <xf numFmtId="43" fontId="19" fillId="0" borderId="76" xfId="1" applyFont="1" applyBorder="1" applyAlignment="1">
      <alignment vertical="top" shrinkToFit="1"/>
    </xf>
    <xf numFmtId="43" fontId="18" fillId="0" borderId="76" xfId="1" applyFont="1" applyBorder="1" applyAlignment="1">
      <alignment vertical="top" shrinkToFit="1"/>
    </xf>
    <xf numFmtId="43" fontId="19" fillId="0" borderId="76" xfId="1" applyFont="1" applyBorder="1" applyAlignment="1">
      <alignment horizontal="left" vertical="top" shrinkToFit="1"/>
    </xf>
    <xf numFmtId="0" fontId="19" fillId="0" borderId="75" xfId="0" applyFont="1" applyBorder="1" applyAlignment="1">
      <alignment vertical="top"/>
    </xf>
    <xf numFmtId="0" fontId="19" fillId="0" borderId="74" xfId="0" applyFont="1" applyBorder="1" applyAlignment="1">
      <alignment horizontal="right" vertical="top"/>
    </xf>
    <xf numFmtId="0" fontId="19" fillId="0" borderId="72" xfId="0" applyFont="1" applyBorder="1" applyAlignment="1">
      <alignment vertical="top"/>
    </xf>
    <xf numFmtId="0" fontId="19" fillId="0" borderId="75" xfId="0" applyFont="1" applyBorder="1" applyAlignment="1">
      <alignment horizontal="center" vertical="top"/>
    </xf>
    <xf numFmtId="43" fontId="28" fillId="11" borderId="75" xfId="1" applyFont="1" applyFill="1" applyBorder="1" applyAlignment="1">
      <alignment vertical="top" shrinkToFit="1"/>
    </xf>
    <xf numFmtId="43" fontId="19" fillId="0" borderId="75" xfId="1" applyFont="1" applyBorder="1" applyAlignment="1">
      <alignment vertical="top" shrinkToFit="1"/>
    </xf>
    <xf numFmtId="43" fontId="19" fillId="0" borderId="75" xfId="1" applyFont="1" applyBorder="1" applyAlignment="1">
      <alignment horizontal="left" vertical="top" shrinkToFit="1"/>
    </xf>
    <xf numFmtId="0" fontId="19" fillId="0" borderId="74" xfId="0" applyFont="1" applyBorder="1" applyAlignment="1">
      <alignment vertical="top"/>
    </xf>
    <xf numFmtId="43" fontId="18" fillId="0" borderId="75" xfId="1" applyFont="1" applyBorder="1" applyAlignment="1">
      <alignment vertical="top" shrinkToFit="1"/>
    </xf>
    <xf numFmtId="0" fontId="19" fillId="0" borderId="75" xfId="0" quotePrefix="1" applyFont="1" applyBorder="1" applyAlignment="1">
      <alignment horizontal="right" vertical="top"/>
    </xf>
    <xf numFmtId="43" fontId="28" fillId="0" borderId="75" xfId="1" applyFont="1" applyBorder="1" applyAlignment="1">
      <alignment vertical="top" shrinkToFit="1"/>
    </xf>
    <xf numFmtId="0" fontId="29" fillId="0" borderId="74" xfId="0" applyFont="1" applyBorder="1" applyAlignment="1">
      <alignment vertical="top"/>
    </xf>
    <xf numFmtId="43" fontId="19" fillId="0" borderId="75" xfId="1" applyFont="1" applyBorder="1" applyAlignment="1">
      <alignment horizontal="left" vertical="top" wrapText="1"/>
    </xf>
    <xf numFmtId="43" fontId="19" fillId="0" borderId="75" xfId="1" applyFont="1" applyFill="1" applyBorder="1" applyAlignment="1" applyProtection="1">
      <alignment vertical="top" shrinkToFit="1"/>
    </xf>
    <xf numFmtId="0" fontId="19" fillId="0" borderId="175" xfId="0" applyFont="1" applyBorder="1" applyAlignment="1">
      <alignment vertical="top"/>
    </xf>
    <xf numFmtId="0" fontId="19" fillId="0" borderId="176" xfId="0" applyFont="1" applyBorder="1" applyAlignment="1">
      <alignment vertical="top"/>
    </xf>
    <xf numFmtId="43" fontId="28" fillId="0" borderId="177" xfId="1" applyFont="1" applyBorder="1" applyAlignment="1">
      <alignment vertical="top" shrinkToFit="1"/>
    </xf>
    <xf numFmtId="0" fontId="19" fillId="0" borderId="168" xfId="0" quotePrefix="1" applyFont="1" applyBorder="1" applyAlignment="1">
      <alignment horizontal="right" vertical="top"/>
    </xf>
    <xf numFmtId="0" fontId="19" fillId="0" borderId="169" xfId="0" applyFont="1" applyBorder="1" applyAlignment="1">
      <alignment vertical="top"/>
    </xf>
    <xf numFmtId="0" fontId="19" fillId="0" borderId="171" xfId="0" applyFont="1" applyBorder="1" applyAlignment="1">
      <alignment vertical="top"/>
    </xf>
    <xf numFmtId="0" fontId="19" fillId="0" borderId="168" xfId="0" applyFont="1" applyBorder="1" applyAlignment="1">
      <alignment horizontal="center" vertical="top"/>
    </xf>
    <xf numFmtId="43" fontId="28" fillId="0" borderId="168" xfId="1" applyFont="1" applyBorder="1" applyAlignment="1">
      <alignment vertical="top" shrinkToFit="1"/>
    </xf>
    <xf numFmtId="43" fontId="19" fillId="0" borderId="168" xfId="1" applyFont="1" applyBorder="1" applyAlignment="1">
      <alignment vertical="top" shrinkToFit="1"/>
    </xf>
    <xf numFmtId="43" fontId="19" fillId="0" borderId="168" xfId="1" applyFont="1" applyBorder="1" applyAlignment="1">
      <alignment horizontal="left" vertical="top" shrinkToFit="1"/>
    </xf>
    <xf numFmtId="0" fontId="19" fillId="0" borderId="2" xfId="0" quotePrefix="1" applyFont="1" applyBorder="1" applyAlignment="1">
      <alignment horizontal="right" vertical="top"/>
    </xf>
    <xf numFmtId="0" fontId="19" fillId="0" borderId="26" xfId="0" applyFont="1" applyBorder="1" applyAlignment="1">
      <alignment vertical="top"/>
    </xf>
    <xf numFmtId="0" fontId="19" fillId="0" borderId="17" xfId="0" applyFont="1" applyBorder="1" applyAlignment="1">
      <alignment vertical="top"/>
    </xf>
    <xf numFmtId="0" fontId="19" fillId="0" borderId="2" xfId="0" applyFont="1" applyBorder="1" applyAlignment="1">
      <alignment horizontal="center" vertical="top"/>
    </xf>
    <xf numFmtId="43" fontId="28" fillId="0" borderId="2" xfId="1" applyFont="1" applyBorder="1" applyAlignment="1">
      <alignment vertical="top" shrinkToFit="1"/>
    </xf>
    <xf numFmtId="43" fontId="19" fillId="0" borderId="2" xfId="1" applyFont="1" applyBorder="1" applyAlignment="1">
      <alignment vertical="top" shrinkToFit="1"/>
    </xf>
    <xf numFmtId="43" fontId="19" fillId="0" borderId="2" xfId="1" applyFont="1" applyBorder="1" applyAlignment="1">
      <alignment horizontal="left" vertical="top" shrinkToFit="1"/>
    </xf>
    <xf numFmtId="0" fontId="19" fillId="0" borderId="143" xfId="0" quotePrefix="1" applyFont="1" applyBorder="1" applyAlignment="1">
      <alignment horizontal="right" vertical="top"/>
    </xf>
    <xf numFmtId="0" fontId="19" fillId="0" borderId="144" xfId="0" applyFont="1" applyBorder="1" applyAlignment="1">
      <alignment vertical="top"/>
    </xf>
    <xf numFmtId="0" fontId="19" fillId="0" borderId="145" xfId="0" applyFont="1" applyBorder="1" applyAlignment="1">
      <alignment vertical="top"/>
    </xf>
    <xf numFmtId="0" fontId="19" fillId="0" borderId="143" xfId="0" applyFont="1" applyBorder="1" applyAlignment="1">
      <alignment horizontal="center" vertical="top"/>
    </xf>
    <xf numFmtId="43" fontId="28" fillId="0" borderId="143" xfId="1" applyFont="1" applyBorder="1" applyAlignment="1">
      <alignment vertical="top" shrinkToFit="1"/>
    </xf>
    <xf numFmtId="43" fontId="19" fillId="0" borderId="143" xfId="1" applyFont="1" applyBorder="1" applyAlignment="1">
      <alignment vertical="top" shrinkToFit="1"/>
    </xf>
    <xf numFmtId="43" fontId="19" fillId="0" borderId="143" xfId="1" applyFont="1" applyBorder="1" applyAlignment="1">
      <alignment horizontal="left" vertical="top" shrinkToFit="1"/>
    </xf>
    <xf numFmtId="0" fontId="19" fillId="0" borderId="71" xfId="0" applyFont="1" applyBorder="1" applyAlignment="1">
      <alignment vertical="top"/>
    </xf>
    <xf numFmtId="0" fontId="19" fillId="0" borderId="140" xfId="0" applyFont="1" applyBorder="1" applyAlignment="1">
      <alignment vertical="top"/>
    </xf>
    <xf numFmtId="0" fontId="19" fillId="0" borderId="141" xfId="0" applyFont="1" applyBorder="1" applyAlignment="1">
      <alignment vertical="top"/>
    </xf>
    <xf numFmtId="0" fontId="19" fillId="0" borderId="71" xfId="0" applyFont="1" applyBorder="1" applyAlignment="1">
      <alignment horizontal="center" vertical="top"/>
    </xf>
    <xf numFmtId="43" fontId="19" fillId="0" borderId="71" xfId="1" applyFont="1" applyBorder="1" applyAlignment="1">
      <alignment vertical="top" shrinkToFit="1"/>
    </xf>
    <xf numFmtId="43" fontId="19" fillId="0" borderId="71" xfId="1" applyFont="1" applyBorder="1" applyAlignment="1">
      <alignment horizontal="left" vertical="top"/>
    </xf>
    <xf numFmtId="43" fontId="19" fillId="0" borderId="0" xfId="1" applyFont="1" applyAlignment="1">
      <alignment vertical="top" shrinkToFit="1"/>
    </xf>
    <xf numFmtId="43" fontId="19" fillId="0" borderId="0" xfId="1" applyFont="1" applyAlignment="1">
      <alignment horizontal="left" vertical="top"/>
    </xf>
    <xf numFmtId="0" fontId="16" fillId="0" borderId="0" xfId="0" applyFont="1" applyAlignment="1">
      <alignment horizontal="center"/>
    </xf>
    <xf numFmtId="43" fontId="19" fillId="0" borderId="0" xfId="3" applyFont="1" applyAlignment="1">
      <alignment vertical="center" shrinkToFit="1"/>
    </xf>
    <xf numFmtId="43" fontId="19" fillId="0" borderId="0" xfId="0" applyNumberFormat="1" applyFont="1" applyAlignment="1">
      <alignment horizontal="center"/>
    </xf>
    <xf numFmtId="0" fontId="19" fillId="0" borderId="51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43" fontId="19" fillId="0" borderId="0" xfId="0" applyNumberFormat="1" applyFont="1" applyAlignment="1">
      <alignment horizontal="center" shrinkToFit="1"/>
    </xf>
    <xf numFmtId="0" fontId="19" fillId="0" borderId="107" xfId="0" applyFont="1" applyBorder="1" applyAlignment="1">
      <alignment vertical="center"/>
    </xf>
    <xf numFmtId="0" fontId="19" fillId="0" borderId="58" xfId="0" applyFont="1" applyBorder="1" applyAlignment="1">
      <alignment vertical="center"/>
    </xf>
    <xf numFmtId="43" fontId="19" fillId="0" borderId="12" xfId="3" applyFont="1" applyBorder="1" applyAlignment="1">
      <alignment vertical="center" shrinkToFit="1"/>
    </xf>
    <xf numFmtId="177" fontId="28" fillId="0" borderId="16" xfId="3" applyNumberFormat="1" applyFont="1" applyBorder="1" applyAlignment="1">
      <alignment vertical="center" shrinkToFit="1"/>
    </xf>
    <xf numFmtId="178" fontId="19" fillId="0" borderId="16" xfId="3" applyNumberFormat="1" applyFont="1" applyBorder="1" applyAlignment="1">
      <alignment vertical="center" shrinkToFit="1"/>
    </xf>
    <xf numFmtId="177" fontId="29" fillId="0" borderId="16" xfId="3" applyNumberFormat="1" applyFont="1" applyBorder="1" applyAlignment="1">
      <alignment vertical="center" shrinkToFit="1"/>
    </xf>
    <xf numFmtId="177" fontId="29" fillId="0" borderId="108" xfId="3" applyNumberFormat="1" applyFont="1" applyBorder="1" applyAlignment="1">
      <alignment vertical="center" shrinkToFit="1"/>
    </xf>
    <xf numFmtId="43" fontId="19" fillId="0" borderId="109" xfId="3" applyFont="1" applyBorder="1" applyAlignment="1">
      <alignment vertical="center" shrinkToFit="1"/>
    </xf>
    <xf numFmtId="43" fontId="19" fillId="0" borderId="16" xfId="3" applyFont="1" applyBorder="1" applyAlignment="1">
      <alignment vertical="center" shrinkToFit="1"/>
    </xf>
    <xf numFmtId="177" fontId="19" fillId="0" borderId="0" xfId="3" applyNumberFormat="1" applyFont="1" applyBorder="1" applyAlignment="1">
      <alignment vertical="center" shrinkToFit="1"/>
    </xf>
    <xf numFmtId="177" fontId="19" fillId="0" borderId="58" xfId="3" applyNumberFormat="1" applyFont="1" applyBorder="1" applyAlignment="1">
      <alignment vertical="center" shrinkToFit="1"/>
    </xf>
    <xf numFmtId="0" fontId="19" fillId="0" borderId="0" xfId="0" applyFont="1" applyAlignment="1">
      <alignment horizontal="center"/>
    </xf>
    <xf numFmtId="0" fontId="24" fillId="0" borderId="41" xfId="4" applyFont="1" applyBorder="1" applyAlignment="1">
      <alignment vertical="center"/>
    </xf>
    <xf numFmtId="43" fontId="24" fillId="0" borderId="44" xfId="3" applyFont="1" applyFill="1" applyBorder="1" applyAlignment="1">
      <alignment vertical="center"/>
    </xf>
    <xf numFmtId="0" fontId="18" fillId="0" borderId="0" xfId="0" applyFont="1"/>
    <xf numFmtId="0" fontId="19" fillId="0" borderId="0" xfId="0" applyFont="1"/>
    <xf numFmtId="0" fontId="18" fillId="0" borderId="20" xfId="0" applyFont="1" applyBorder="1" applyAlignment="1">
      <alignment horizontal="center" vertical="center"/>
    </xf>
    <xf numFmtId="0" fontId="19" fillId="0" borderId="20" xfId="4" applyFont="1" applyBorder="1" applyAlignment="1">
      <alignment vertical="center"/>
    </xf>
    <xf numFmtId="0" fontId="31" fillId="0" borderId="0" xfId="0" applyFont="1" applyAlignment="1">
      <alignment horizontal="left"/>
    </xf>
    <xf numFmtId="0" fontId="18" fillId="0" borderId="21" xfId="0" applyFont="1" applyBorder="1" applyAlignment="1">
      <alignment horizontal="center" vertical="center"/>
    </xf>
    <xf numFmtId="0" fontId="19" fillId="0" borderId="21" xfId="4" applyFont="1" applyBorder="1" applyAlignment="1">
      <alignment vertical="center"/>
    </xf>
    <xf numFmtId="179" fontId="32" fillId="0" borderId="0" xfId="5" applyNumberFormat="1" applyFont="1" applyAlignment="1">
      <alignment horizontal="left" vertical="center"/>
    </xf>
    <xf numFmtId="180" fontId="32" fillId="0" borderId="0" xfId="5" applyNumberFormat="1" applyFont="1" applyAlignment="1">
      <alignment horizontal="left" vertical="center"/>
    </xf>
    <xf numFmtId="0" fontId="18" fillId="0" borderId="22" xfId="0" applyFont="1" applyBorder="1" applyAlignment="1">
      <alignment horizontal="center" vertical="center"/>
    </xf>
    <xf numFmtId="0" fontId="19" fillId="0" borderId="22" xfId="4" applyFont="1" applyBorder="1" applyAlignment="1">
      <alignment vertical="center"/>
    </xf>
    <xf numFmtId="177" fontId="19" fillId="0" borderId="16" xfId="3" applyNumberFormat="1" applyFont="1" applyBorder="1" applyAlignment="1">
      <alignment vertical="center" shrinkToFit="1"/>
    </xf>
    <xf numFmtId="181" fontId="32" fillId="0" borderId="0" xfId="5" applyNumberFormat="1" applyFont="1" applyAlignment="1">
      <alignment horizontal="left" vertical="center"/>
    </xf>
    <xf numFmtId="0" fontId="19" fillId="0" borderId="50" xfId="4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182" fontId="32" fillId="0" borderId="0" xfId="5" applyNumberFormat="1" applyFont="1" applyAlignment="1">
      <alignment horizontal="left" vertical="center"/>
    </xf>
    <xf numFmtId="0" fontId="23" fillId="0" borderId="110" xfId="0" applyFont="1" applyBorder="1" applyAlignment="1">
      <alignment horizontal="center" vertical="center"/>
    </xf>
    <xf numFmtId="43" fontId="19" fillId="0" borderId="111" xfId="3" applyFont="1" applyFill="1" applyBorder="1" applyAlignment="1">
      <alignment vertical="center"/>
    </xf>
    <xf numFmtId="0" fontId="19" fillId="0" borderId="0" xfId="0" quotePrefix="1" applyFont="1"/>
    <xf numFmtId="43" fontId="23" fillId="0" borderId="109" xfId="3" applyFont="1" applyFill="1" applyBorder="1" applyAlignment="1">
      <alignment horizontal="left" vertical="center"/>
    </xf>
    <xf numFmtId="43" fontId="23" fillId="0" borderId="108" xfId="3" applyFont="1" applyFill="1" applyBorder="1" applyAlignment="1">
      <alignment horizontal="left" vertical="center"/>
    </xf>
    <xf numFmtId="0" fontId="19" fillId="0" borderId="0" xfId="0" applyFont="1" applyAlignment="1">
      <alignment horizontal="right"/>
    </xf>
    <xf numFmtId="43" fontId="19" fillId="0" borderId="0" xfId="1" applyFont="1" applyBorder="1"/>
    <xf numFmtId="174" fontId="23" fillId="0" borderId="108" xfId="3" applyNumberFormat="1" applyFont="1" applyFill="1" applyBorder="1" applyAlignment="1">
      <alignment horizontal="left" vertical="center"/>
    </xf>
    <xf numFmtId="43" fontId="19" fillId="0" borderId="47" xfId="3" applyFont="1" applyBorder="1" applyAlignment="1">
      <alignment vertical="center" shrinkToFit="1"/>
    </xf>
    <xf numFmtId="177" fontId="19" fillId="0" borderId="47" xfId="3" applyNumberFormat="1" applyFont="1" applyBorder="1" applyAlignment="1">
      <alignment vertical="center" shrinkToFit="1"/>
    </xf>
    <xf numFmtId="178" fontId="19" fillId="0" borderId="47" xfId="3" applyNumberFormat="1" applyFont="1" applyBorder="1" applyAlignment="1">
      <alignment vertical="center" shrinkToFit="1"/>
    </xf>
    <xf numFmtId="43" fontId="19" fillId="0" borderId="63" xfId="3" applyFont="1" applyBorder="1" applyAlignment="1">
      <alignment vertical="center" shrinkToFit="1"/>
    </xf>
    <xf numFmtId="177" fontId="19" fillId="0" borderId="63" xfId="3" applyNumberFormat="1" applyFont="1" applyBorder="1" applyAlignment="1">
      <alignment vertical="center" shrinkToFit="1"/>
    </xf>
    <xf numFmtId="178" fontId="19" fillId="0" borderId="63" xfId="3" applyNumberFormat="1" applyFont="1" applyBorder="1" applyAlignment="1">
      <alignment vertical="center" shrinkToFit="1"/>
    </xf>
    <xf numFmtId="177" fontId="19" fillId="0" borderId="61" xfId="3" applyNumberFormat="1" applyFont="1" applyBorder="1" applyAlignment="1">
      <alignment vertical="center" shrinkToFit="1"/>
    </xf>
    <xf numFmtId="43" fontId="19" fillId="0" borderId="62" xfId="3" applyFont="1" applyBorder="1" applyAlignment="1">
      <alignment vertical="center" shrinkToFit="1"/>
    </xf>
    <xf numFmtId="177" fontId="19" fillId="0" borderId="62" xfId="3" applyNumberFormat="1" applyFont="1" applyBorder="1" applyAlignment="1">
      <alignment vertical="center" shrinkToFit="1"/>
    </xf>
    <xf numFmtId="174" fontId="19" fillId="0" borderId="0" xfId="1" applyNumberFormat="1" applyFont="1"/>
    <xf numFmtId="43" fontId="33" fillId="0" borderId="112" xfId="3" applyFont="1" applyFill="1" applyBorder="1" applyAlignment="1">
      <alignment horizontal="left" vertical="center"/>
    </xf>
    <xf numFmtId="174" fontId="33" fillId="0" borderId="113" xfId="3" applyNumberFormat="1" applyFont="1" applyFill="1" applyBorder="1" applyAlignment="1">
      <alignment horizontal="left" vertical="center"/>
    </xf>
    <xf numFmtId="43" fontId="34" fillId="0" borderId="47" xfId="3" applyFont="1" applyBorder="1" applyAlignment="1">
      <alignment vertical="center" shrinkToFit="1"/>
    </xf>
    <xf numFmtId="0" fontId="34" fillId="0" borderId="47" xfId="0" applyFont="1" applyBorder="1" applyAlignment="1">
      <alignment vertical="center" shrinkToFit="1"/>
    </xf>
    <xf numFmtId="0" fontId="34" fillId="0" borderId="8" xfId="0" applyFont="1" applyBorder="1" applyAlignment="1">
      <alignment vertical="center" shrinkToFit="1"/>
    </xf>
    <xf numFmtId="43" fontId="19" fillId="0" borderId="0" xfId="3" applyFont="1" applyBorder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 shrinkToFit="1"/>
    </xf>
    <xf numFmtId="43" fontId="19" fillId="0" borderId="0" xfId="3" applyFont="1" applyFill="1" applyAlignment="1">
      <alignment vertical="center" shrinkToFit="1"/>
    </xf>
    <xf numFmtId="0" fontId="18" fillId="0" borderId="0" xfId="0" applyFont="1" applyAlignment="1">
      <alignment horizontal="right"/>
    </xf>
    <xf numFmtId="174" fontId="18" fillId="0" borderId="102" xfId="0" applyNumberFormat="1" applyFont="1" applyBorder="1"/>
    <xf numFmtId="0" fontId="23" fillId="0" borderId="0" xfId="0" applyFont="1" applyAlignment="1">
      <alignment vertical="center"/>
    </xf>
    <xf numFmtId="43" fontId="23" fillId="0" borderId="0" xfId="3" applyFont="1" applyFill="1" applyAlignment="1">
      <alignment vertical="center"/>
    </xf>
    <xf numFmtId="43" fontId="23" fillId="0" borderId="0" xfId="3" applyFont="1" applyFill="1" applyAlignment="1">
      <alignment vertical="center" shrinkToFit="1"/>
    </xf>
    <xf numFmtId="0" fontId="23" fillId="0" borderId="0" xfId="0" applyFont="1" applyAlignment="1">
      <alignment vertical="center" shrinkToFit="1"/>
    </xf>
    <xf numFmtId="0" fontId="19" fillId="0" borderId="114" xfId="0" applyFont="1" applyBorder="1"/>
    <xf numFmtId="1" fontId="13" fillId="0" borderId="49" xfId="2" quotePrefix="1" applyNumberFormat="1" applyFont="1" applyBorder="1"/>
    <xf numFmtId="39" fontId="14" fillId="6" borderId="51" xfId="2" applyFont="1" applyFill="1" applyBorder="1"/>
    <xf numFmtId="39" fontId="14" fillId="0" borderId="5" xfId="2" applyFont="1" applyBorder="1"/>
    <xf numFmtId="39" fontId="36" fillId="0" borderId="49" xfId="2" applyFont="1" applyBorder="1"/>
    <xf numFmtId="0" fontId="14" fillId="0" borderId="5" xfId="0" applyFont="1" applyBorder="1"/>
    <xf numFmtId="39" fontId="35" fillId="0" borderId="0" xfId="2" applyFont="1" applyAlignment="1">
      <alignment horizontal="left"/>
    </xf>
    <xf numFmtId="39" fontId="14" fillId="0" borderId="0" xfId="2" applyFont="1" applyAlignment="1">
      <alignment horizontal="left"/>
    </xf>
    <xf numFmtId="39" fontId="14" fillId="0" borderId="0" xfId="2" applyFont="1" applyAlignment="1">
      <alignment horizontal="center"/>
    </xf>
    <xf numFmtId="0" fontId="14" fillId="17" borderId="28" xfId="0" applyFont="1" applyFill="1" applyBorder="1"/>
    <xf numFmtId="2" fontId="14" fillId="17" borderId="28" xfId="0" applyNumberFormat="1" applyFont="1" applyFill="1" applyBorder="1" applyAlignment="1">
      <alignment horizontal="center"/>
    </xf>
    <xf numFmtId="0" fontId="14" fillId="17" borderId="28" xfId="0" applyFont="1" applyFill="1" applyBorder="1" applyAlignment="1">
      <alignment horizontal="center"/>
    </xf>
    <xf numFmtId="0" fontId="14" fillId="17" borderId="0" xfId="0" applyFont="1" applyFill="1"/>
    <xf numFmtId="39" fontId="13" fillId="2" borderId="0" xfId="2" applyFont="1" applyFill="1" applyAlignment="1">
      <alignment horizontal="centerContinuous"/>
    </xf>
    <xf numFmtId="39" fontId="14" fillId="2" borderId="0" xfId="2" applyFont="1" applyFill="1" applyAlignment="1">
      <alignment horizontal="centerContinuous"/>
    </xf>
    <xf numFmtId="1" fontId="14" fillId="0" borderId="50" xfId="2" applyNumberFormat="1" applyFont="1" applyBorder="1" applyAlignment="1">
      <alignment horizontal="left"/>
    </xf>
    <xf numFmtId="2" fontId="13" fillId="6" borderId="47" xfId="0" applyNumberFormat="1" applyFont="1" applyFill="1" applyBorder="1" applyAlignment="1">
      <alignment horizontal="center"/>
    </xf>
    <xf numFmtId="39" fontId="14" fillId="0" borderId="8" xfId="2" applyFont="1" applyBorder="1" applyAlignment="1">
      <alignment horizontal="center"/>
    </xf>
    <xf numFmtId="2" fontId="13" fillId="0" borderId="50" xfId="0" applyNumberFormat="1" applyFont="1" applyBorder="1" applyAlignment="1">
      <alignment horizontal="center"/>
    </xf>
    <xf numFmtId="39" fontId="14" fillId="0" borderId="10" xfId="2" applyFont="1" applyBorder="1" applyAlignment="1">
      <alignment horizontal="center"/>
    </xf>
    <xf numFmtId="39" fontId="14" fillId="0" borderId="11" xfId="2" applyFont="1" applyBorder="1" applyAlignment="1">
      <alignment horizontal="center"/>
    </xf>
    <xf numFmtId="39" fontId="14" fillId="0" borderId="0" xfId="2" applyFont="1"/>
    <xf numFmtId="1" fontId="14" fillId="0" borderId="3" xfId="2" applyNumberFormat="1" applyFont="1" applyBorder="1" applyAlignment="1">
      <alignment horizontal="center"/>
    </xf>
    <xf numFmtId="39" fontId="14" fillId="6" borderId="19" xfId="2" applyFont="1" applyFill="1" applyBorder="1" applyAlignment="1">
      <alignment horizontal="center"/>
    </xf>
    <xf numFmtId="39" fontId="14" fillId="0" borderId="19" xfId="2" applyFont="1" applyBorder="1" applyAlignment="1">
      <alignment horizontal="center"/>
    </xf>
    <xf numFmtId="0" fontId="14" fillId="0" borderId="15" xfId="0" applyFont="1" applyBorder="1"/>
    <xf numFmtId="0" fontId="14" fillId="0" borderId="15" xfId="0" applyFont="1" applyBorder="1" applyAlignment="1">
      <alignment horizontal="center"/>
    </xf>
    <xf numFmtId="2" fontId="13" fillId="0" borderId="14" xfId="2" applyNumberFormat="1" applyFont="1" applyBorder="1" applyAlignment="1">
      <alignment horizontal="center"/>
    </xf>
    <xf numFmtId="2" fontId="13" fillId="17" borderId="14" xfId="2" applyNumberFormat="1" applyFont="1" applyFill="1" applyBorder="1" applyAlignment="1">
      <alignment horizontal="center"/>
    </xf>
    <xf numFmtId="2" fontId="13" fillId="8" borderId="14" xfId="2" applyNumberFormat="1" applyFont="1" applyFill="1" applyBorder="1" applyAlignment="1">
      <alignment horizontal="center"/>
    </xf>
    <xf numFmtId="1" fontId="14" fillId="0" borderId="6" xfId="2" applyNumberFormat="1" applyFont="1" applyBorder="1" applyAlignment="1">
      <alignment horizontal="center"/>
    </xf>
    <xf numFmtId="39" fontId="14" fillId="6" borderId="23" xfId="2" quotePrefix="1" applyFont="1" applyFill="1" applyBorder="1" applyAlignment="1">
      <alignment horizontal="center"/>
    </xf>
    <xf numFmtId="39" fontId="14" fillId="0" borderId="23" xfId="2" quotePrefix="1" applyFont="1" applyBorder="1" applyAlignment="1">
      <alignment horizontal="center"/>
    </xf>
    <xf numFmtId="39" fontId="14" fillId="0" borderId="0" xfId="2" quotePrefix="1" applyFont="1" applyAlignment="1">
      <alignment horizontal="center"/>
    </xf>
    <xf numFmtId="39" fontId="13" fillId="0" borderId="10" xfId="2" applyFont="1" applyBorder="1"/>
    <xf numFmtId="39" fontId="14" fillId="0" borderId="10" xfId="2" applyFont="1" applyBorder="1" applyAlignment="1">
      <alignment horizontal="right"/>
    </xf>
    <xf numFmtId="0" fontId="14" fillId="17" borderId="10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14" fillId="8" borderId="10" xfId="0" applyFont="1" applyFill="1" applyBorder="1" applyAlignment="1">
      <alignment horizontal="center"/>
    </xf>
    <xf numFmtId="1" fontId="14" fillId="0" borderId="1" xfId="2" applyNumberFormat="1" applyFont="1" applyBorder="1" applyAlignment="1">
      <alignment horizontal="center"/>
    </xf>
    <xf numFmtId="169" fontId="14" fillId="6" borderId="24" xfId="0" applyNumberFormat="1" applyFont="1" applyFill="1" applyBorder="1" applyAlignment="1">
      <alignment horizontal="center"/>
    </xf>
    <xf numFmtId="169" fontId="14" fillId="0" borderId="24" xfId="0" applyNumberFormat="1" applyFont="1" applyBorder="1" applyAlignment="1">
      <alignment horizontal="center"/>
    </xf>
    <xf numFmtId="169" fontId="14" fillId="0" borderId="19" xfId="0" applyNumberFormat="1" applyFont="1" applyBorder="1" applyAlignment="1">
      <alignment horizontal="center"/>
    </xf>
    <xf numFmtId="0" fontId="14" fillId="0" borderId="2" xfId="0" applyFont="1" applyBorder="1"/>
    <xf numFmtId="39" fontId="14" fillId="0" borderId="2" xfId="2" applyFont="1" applyBorder="1" applyAlignment="1">
      <alignment horizontal="center"/>
    </xf>
    <xf numFmtId="0" fontId="14" fillId="17" borderId="2" xfId="0" applyFont="1" applyFill="1" applyBorder="1"/>
    <xf numFmtId="2" fontId="14" fillId="8" borderId="2" xfId="2" applyNumberFormat="1" applyFont="1" applyFill="1" applyBorder="1" applyAlignment="1">
      <alignment horizontal="center"/>
    </xf>
    <xf numFmtId="39" fontId="14" fillId="0" borderId="2" xfId="2" applyFont="1" applyBorder="1" applyAlignment="1">
      <alignment horizontal="right"/>
    </xf>
    <xf numFmtId="2" fontId="14" fillId="17" borderId="2" xfId="0" applyNumberFormat="1" applyFont="1" applyFill="1" applyBorder="1"/>
    <xf numFmtId="2" fontId="14" fillId="0" borderId="2" xfId="0" applyNumberFormat="1" applyFont="1" applyBorder="1"/>
    <xf numFmtId="0" fontId="37" fillId="0" borderId="2" xfId="0" applyFont="1" applyBorder="1"/>
    <xf numFmtId="2" fontId="37" fillId="0" borderId="2" xfId="0" applyNumberFormat="1" applyFont="1" applyBorder="1"/>
    <xf numFmtId="0" fontId="13" fillId="0" borderId="2" xfId="0" applyFont="1" applyBorder="1"/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horizontal="right"/>
    </xf>
    <xf numFmtId="0" fontId="14" fillId="8" borderId="2" xfId="0" applyFont="1" applyFill="1" applyBorder="1"/>
    <xf numFmtId="39" fontId="14" fillId="0" borderId="3" xfId="2" applyFont="1" applyBorder="1" applyAlignment="1">
      <alignment horizontal="center"/>
    </xf>
    <xf numFmtId="39" fontId="14" fillId="0" borderId="9" xfId="2" applyFont="1" applyBorder="1" applyAlignment="1">
      <alignment horizontal="center"/>
    </xf>
    <xf numFmtId="39" fontId="14" fillId="0" borderId="4" xfId="2" applyFont="1" applyBorder="1" applyAlignment="1">
      <alignment horizontal="center"/>
    </xf>
    <xf numFmtId="39" fontId="14" fillId="0" borderId="5" xfId="2" applyFont="1" applyBorder="1" applyAlignment="1">
      <alignment horizontal="center"/>
    </xf>
    <xf numFmtId="39" fontId="14" fillId="0" borderId="6" xfId="2" applyFont="1" applyBorder="1" applyAlignment="1">
      <alignment horizontal="center"/>
    </xf>
    <xf numFmtId="37" fontId="14" fillId="0" borderId="18" xfId="2" applyNumberFormat="1" applyFont="1" applyBorder="1" applyAlignment="1">
      <alignment horizontal="center"/>
    </xf>
    <xf numFmtId="37" fontId="14" fillId="0" borderId="23" xfId="2" applyNumberFormat="1" applyFont="1" applyBorder="1" applyAlignment="1">
      <alignment horizontal="center"/>
    </xf>
    <xf numFmtId="39" fontId="14" fillId="0" borderId="7" xfId="2" applyFont="1" applyBorder="1" applyAlignment="1">
      <alignment horizontal="center"/>
    </xf>
    <xf numFmtId="39" fontId="14" fillId="0" borderId="18" xfId="2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39" fontId="14" fillId="0" borderId="1" xfId="2" applyFont="1" applyBorder="1" applyAlignment="1">
      <alignment horizontal="center"/>
    </xf>
    <xf numFmtId="39" fontId="14" fillId="0" borderId="24" xfId="2" applyFont="1" applyBorder="1" applyAlignment="1">
      <alignment horizontal="center"/>
    </xf>
    <xf numFmtId="39" fontId="14" fillId="0" borderId="17" xfId="2" applyFont="1" applyBorder="1" applyAlignment="1">
      <alignment horizontal="center"/>
    </xf>
    <xf numFmtId="170" fontId="14" fillId="0" borderId="17" xfId="2" applyNumberFormat="1" applyFont="1" applyBorder="1" applyAlignment="1">
      <alignment horizontal="center"/>
    </xf>
    <xf numFmtId="165" fontId="13" fillId="0" borderId="9" xfId="0" applyNumberFormat="1" applyFont="1" applyBorder="1" applyAlignment="1">
      <alignment horizontal="center" vertical="center"/>
    </xf>
    <xf numFmtId="170" fontId="14" fillId="0" borderId="2" xfId="2" applyNumberFormat="1" applyFont="1" applyBorder="1" applyAlignment="1">
      <alignment horizontal="center"/>
    </xf>
    <xf numFmtId="167" fontId="35" fillId="9" borderId="9" xfId="0" applyNumberFormat="1" applyFont="1" applyFill="1" applyBorder="1" applyAlignment="1">
      <alignment horizontal="center"/>
    </xf>
    <xf numFmtId="165" fontId="35" fillId="9" borderId="19" xfId="0" applyNumberFormat="1" applyFont="1" applyFill="1" applyBorder="1" applyAlignment="1">
      <alignment horizontal="center"/>
    </xf>
    <xf numFmtId="165" fontId="14" fillId="0" borderId="0" xfId="0" applyNumberFormat="1" applyFont="1"/>
    <xf numFmtId="171" fontId="14" fillId="0" borderId="1" xfId="2" applyNumberFormat="1" applyFont="1" applyBorder="1" applyAlignment="1">
      <alignment horizontal="center"/>
    </xf>
    <xf numFmtId="165" fontId="13" fillId="0" borderId="2" xfId="0" applyNumberFormat="1" applyFont="1" applyBorder="1" applyAlignment="1">
      <alignment horizontal="center" vertical="center"/>
    </xf>
    <xf numFmtId="165" fontId="14" fillId="0" borderId="17" xfId="2" applyNumberFormat="1" applyFont="1" applyBorder="1" applyAlignment="1">
      <alignment horizontal="center"/>
    </xf>
    <xf numFmtId="167" fontId="35" fillId="9" borderId="2" xfId="0" applyNumberFormat="1" applyFont="1" applyFill="1" applyBorder="1" applyAlignment="1">
      <alignment horizontal="center"/>
    </xf>
    <xf numFmtId="165" fontId="35" fillId="9" borderId="24" xfId="0" applyNumberFormat="1" applyFont="1" applyFill="1" applyBorder="1" applyAlignment="1">
      <alignment horizontal="center"/>
    </xf>
    <xf numFmtId="2" fontId="14" fillId="0" borderId="2" xfId="0" applyNumberFormat="1" applyFont="1" applyBorder="1" applyAlignment="1">
      <alignment horizontal="right"/>
    </xf>
    <xf numFmtId="170" fontId="14" fillId="0" borderId="1" xfId="2" applyNumberFormat="1" applyFont="1" applyBorder="1" applyAlignment="1">
      <alignment horizontal="center"/>
    </xf>
    <xf numFmtId="39" fontId="13" fillId="0" borderId="2" xfId="2" applyFont="1" applyBorder="1"/>
    <xf numFmtId="39" fontId="14" fillId="0" borderId="2" xfId="2" applyFont="1" applyBorder="1"/>
    <xf numFmtId="164" fontId="14" fillId="17" borderId="2" xfId="2" applyNumberFormat="1" applyFont="1" applyFill="1" applyBorder="1"/>
    <xf numFmtId="164" fontId="14" fillId="0" borderId="2" xfId="2" applyNumberFormat="1" applyFont="1" applyBorder="1"/>
    <xf numFmtId="164" fontId="37" fillId="0" borderId="2" xfId="2" applyNumberFormat="1" applyFont="1" applyBorder="1"/>
    <xf numFmtId="170" fontId="14" fillId="0" borderId="24" xfId="2" applyNumberFormat="1" applyFont="1" applyBorder="1" applyAlignment="1">
      <alignment horizontal="center"/>
    </xf>
    <xf numFmtId="170" fontId="38" fillId="3" borderId="1" xfId="2" applyNumberFormat="1" applyFont="1" applyFill="1" applyBorder="1" applyAlignment="1">
      <alignment horizontal="center"/>
    </xf>
    <xf numFmtId="170" fontId="38" fillId="3" borderId="2" xfId="2" applyNumberFormat="1" applyFont="1" applyFill="1" applyBorder="1" applyAlignment="1">
      <alignment horizontal="center"/>
    </xf>
    <xf numFmtId="170" fontId="38" fillId="3" borderId="24" xfId="2" applyNumberFormat="1" applyFont="1" applyFill="1" applyBorder="1" applyAlignment="1">
      <alignment horizontal="center"/>
    </xf>
    <xf numFmtId="0" fontId="14" fillId="8" borderId="2" xfId="0" applyFont="1" applyFill="1" applyBorder="1" applyAlignment="1">
      <alignment horizontal="center"/>
    </xf>
    <xf numFmtId="170" fontId="38" fillId="0" borderId="1" xfId="2" applyNumberFormat="1" applyFont="1" applyBorder="1" applyAlignment="1">
      <alignment horizontal="center"/>
    </xf>
    <xf numFmtId="170" fontId="38" fillId="0" borderId="2" xfId="2" applyNumberFormat="1" applyFont="1" applyBorder="1" applyAlignment="1">
      <alignment horizontal="center"/>
    </xf>
    <xf numFmtId="170" fontId="38" fillId="0" borderId="24" xfId="2" applyNumberFormat="1" applyFont="1" applyBorder="1" applyAlignment="1">
      <alignment horizontal="center"/>
    </xf>
    <xf numFmtId="39" fontId="14" fillId="0" borderId="1" xfId="2" applyFont="1" applyBorder="1"/>
    <xf numFmtId="39" fontId="14" fillId="0" borderId="24" xfId="2" applyFont="1" applyBorder="1"/>
    <xf numFmtId="39" fontId="14" fillId="0" borderId="6" xfId="2" applyFont="1" applyBorder="1"/>
    <xf numFmtId="39" fontId="14" fillId="0" borderId="18" xfId="2" applyFont="1" applyBorder="1"/>
    <xf numFmtId="39" fontId="14" fillId="0" borderId="23" xfId="2" applyFont="1" applyBorder="1"/>
    <xf numFmtId="170" fontId="14" fillId="0" borderId="7" xfId="2" applyNumberFormat="1" applyFont="1" applyBorder="1" applyAlignment="1">
      <alignment horizontal="center"/>
    </xf>
    <xf numFmtId="165" fontId="13" fillId="0" borderId="18" xfId="0" applyNumberFormat="1" applyFont="1" applyBorder="1" applyAlignment="1">
      <alignment horizontal="center" vertical="center"/>
    </xf>
    <xf numFmtId="165" fontId="14" fillId="0" borderId="7" xfId="2" applyNumberFormat="1" applyFont="1" applyBorder="1" applyAlignment="1">
      <alignment horizontal="center"/>
    </xf>
    <xf numFmtId="170" fontId="14" fillId="0" borderId="18" xfId="2" applyNumberFormat="1" applyFont="1" applyBorder="1" applyAlignment="1">
      <alignment horizontal="center"/>
    </xf>
    <xf numFmtId="167" fontId="35" fillId="9" borderId="18" xfId="0" applyNumberFormat="1" applyFont="1" applyFill="1" applyBorder="1" applyAlignment="1">
      <alignment horizontal="center"/>
    </xf>
    <xf numFmtId="165" fontId="35" fillId="9" borderId="23" xfId="0" applyNumberFormat="1" applyFont="1" applyFill="1" applyBorder="1" applyAlignment="1">
      <alignment horizontal="center"/>
    </xf>
    <xf numFmtId="39" fontId="14" fillId="0" borderId="16" xfId="2" applyFont="1" applyBorder="1" applyAlignment="1">
      <alignment horizontal="centerContinuous"/>
    </xf>
    <xf numFmtId="39" fontId="14" fillId="0" borderId="16" xfId="2" applyFont="1" applyBorder="1" applyAlignment="1">
      <alignment horizontal="center"/>
    </xf>
    <xf numFmtId="39" fontId="14" fillId="0" borderId="12" xfId="2" applyFont="1" applyBorder="1" applyAlignment="1">
      <alignment horizontal="center"/>
    </xf>
    <xf numFmtId="173" fontId="14" fillId="0" borderId="0" xfId="0" applyNumberFormat="1" applyFont="1"/>
    <xf numFmtId="2" fontId="14" fillId="0" borderId="17" xfId="2" applyNumberFormat="1" applyFont="1" applyBorder="1" applyAlignment="1">
      <alignment horizontal="center"/>
    </xf>
    <xf numFmtId="2" fontId="14" fillId="0" borderId="0" xfId="2" applyNumberFormat="1" applyFont="1" applyAlignment="1">
      <alignment horizontal="centerContinuous"/>
    </xf>
    <xf numFmtId="39" fontId="14" fillId="0" borderId="15" xfId="2" applyFont="1" applyBorder="1"/>
    <xf numFmtId="39" fontId="14" fillId="0" borderId="15" xfId="2" applyFont="1" applyBorder="1" applyAlignment="1">
      <alignment horizontal="center"/>
    </xf>
    <xf numFmtId="2" fontId="14" fillId="0" borderId="14" xfId="2" applyNumberFormat="1" applyFont="1" applyBorder="1" applyAlignment="1">
      <alignment horizontal="center"/>
    </xf>
    <xf numFmtId="0" fontId="14" fillId="6" borderId="63" xfId="0" applyFont="1" applyFill="1" applyBorder="1" applyAlignment="1">
      <alignment horizontal="center"/>
    </xf>
    <xf numFmtId="166" fontId="13" fillId="6" borderId="61" xfId="2" applyNumberFormat="1" applyFont="1" applyFill="1" applyBorder="1" applyAlignment="1">
      <alignment horizontal="center"/>
    </xf>
    <xf numFmtId="0" fontId="14" fillId="11" borderId="2" xfId="0" applyFont="1" applyFill="1" applyBorder="1"/>
    <xf numFmtId="2" fontId="14" fillId="17" borderId="2" xfId="2" applyNumberFormat="1" applyFont="1" applyFill="1" applyBorder="1"/>
    <xf numFmtId="2" fontId="14" fillId="0" borderId="2" xfId="2" applyNumberFormat="1" applyFont="1" applyBorder="1"/>
    <xf numFmtId="2" fontId="37" fillId="0" borderId="2" xfId="2" applyNumberFormat="1" applyFont="1" applyBorder="1"/>
    <xf numFmtId="189" fontId="14" fillId="17" borderId="2" xfId="2" applyNumberFormat="1" applyFont="1" applyFill="1" applyBorder="1" applyAlignment="1">
      <alignment shrinkToFit="1"/>
    </xf>
    <xf numFmtId="189" fontId="14" fillId="11" borderId="2" xfId="2" applyNumberFormat="1" applyFont="1" applyFill="1" applyBorder="1" applyAlignment="1">
      <alignment shrinkToFit="1"/>
    </xf>
    <xf numFmtId="0" fontId="14" fillId="17" borderId="15" xfId="0" applyFont="1" applyFill="1" applyBorder="1"/>
    <xf numFmtId="0" fontId="14" fillId="0" borderId="0" xfId="0" applyFont="1" applyAlignment="1">
      <alignment horizontal="center"/>
    </xf>
    <xf numFmtId="169" fontId="14" fillId="0" borderId="60" xfId="0" applyNumberFormat="1" applyFont="1" applyBorder="1" applyAlignment="1">
      <alignment horizontal="center"/>
    </xf>
    <xf numFmtId="169" fontId="14" fillId="0" borderId="44" xfId="0" applyNumberFormat="1" applyFont="1" applyBorder="1" applyAlignment="1">
      <alignment horizontal="center"/>
    </xf>
    <xf numFmtId="2" fontId="14" fillId="6" borderId="0" xfId="0" applyNumberFormat="1" applyFont="1" applyFill="1" applyAlignment="1">
      <alignment horizontal="center"/>
    </xf>
    <xf numFmtId="0" fontId="14" fillId="6" borderId="0" xfId="0" applyFont="1" applyFill="1"/>
    <xf numFmtId="0" fontId="18" fillId="0" borderId="0" xfId="0" applyFont="1" applyAlignment="1" applyProtection="1">
      <alignment vertical="center"/>
      <protection locked="0"/>
    </xf>
    <xf numFmtId="43" fontId="19" fillId="0" borderId="0" xfId="3" applyFont="1" applyFill="1" applyAlignment="1">
      <alignment horizontal="center" vertical="center" shrinkToFit="1"/>
    </xf>
    <xf numFmtId="43" fontId="18" fillId="0" borderId="0" xfId="3" applyFont="1" applyFill="1" applyAlignment="1">
      <alignment horizontal="center" vertical="center" shrinkToFit="1"/>
    </xf>
    <xf numFmtId="43" fontId="19" fillId="0" borderId="157" xfId="3" applyFont="1" applyFill="1" applyBorder="1" applyAlignment="1">
      <alignment horizontal="center" vertical="center" shrinkToFit="1"/>
    </xf>
    <xf numFmtId="43" fontId="19" fillId="0" borderId="15" xfId="3" applyFont="1" applyFill="1" applyBorder="1" applyAlignment="1">
      <alignment horizontal="center" vertical="center" shrinkToFit="1"/>
    </xf>
    <xf numFmtId="43" fontId="29" fillId="11" borderId="158" xfId="3" applyFont="1" applyFill="1" applyBorder="1" applyAlignment="1">
      <alignment horizontal="center" vertical="center" shrinkToFit="1"/>
    </xf>
    <xf numFmtId="43" fontId="19" fillId="0" borderId="14" xfId="3" applyFont="1" applyFill="1" applyBorder="1" applyAlignment="1">
      <alignment horizontal="center" vertical="center" shrinkToFit="1"/>
    </xf>
    <xf numFmtId="43" fontId="19" fillId="0" borderId="112" xfId="3" applyFont="1" applyFill="1" applyBorder="1" applyAlignment="1">
      <alignment horizontal="center" vertical="center" shrinkToFit="1"/>
    </xf>
    <xf numFmtId="43" fontId="19" fillId="0" borderId="121" xfId="3" applyFont="1" applyFill="1" applyBorder="1" applyAlignment="1">
      <alignment horizontal="center" vertical="center" shrinkToFit="1"/>
    </xf>
    <xf numFmtId="43" fontId="29" fillId="11" borderId="113" xfId="3" applyFont="1" applyFill="1" applyBorder="1" applyAlignment="1">
      <alignment horizontal="center" vertical="center" shrinkToFit="1"/>
    </xf>
    <xf numFmtId="43" fontId="19" fillId="0" borderId="122" xfId="3" applyFont="1" applyFill="1" applyBorder="1" applyAlignment="1">
      <alignment horizontal="center" vertical="center" shrinkToFit="1"/>
    </xf>
    <xf numFmtId="172" fontId="19" fillId="0" borderId="82" xfId="3" applyNumberFormat="1" applyFont="1" applyFill="1" applyBorder="1" applyAlignment="1">
      <alignment horizontal="center" vertical="center" shrinkToFit="1"/>
    </xf>
    <xf numFmtId="43" fontId="19" fillId="0" borderId="117" xfId="3" applyFont="1" applyFill="1" applyBorder="1" applyAlignment="1">
      <alignment horizontal="left" vertical="center" shrinkToFit="1"/>
    </xf>
    <xf numFmtId="43" fontId="19" fillId="0" borderId="82" xfId="3" applyFont="1" applyFill="1" applyBorder="1" applyAlignment="1">
      <alignment horizontal="center" vertical="center" shrinkToFit="1"/>
    </xf>
    <xf numFmtId="43" fontId="19" fillId="0" borderId="118" xfId="3" applyFont="1" applyFill="1" applyBorder="1" applyAlignment="1">
      <alignment horizontal="center" vertical="center" shrinkToFit="1"/>
    </xf>
    <xf numFmtId="43" fontId="24" fillId="11" borderId="119" xfId="3" applyFont="1" applyFill="1" applyBorder="1" applyAlignment="1">
      <alignment horizontal="center" vertical="center" shrinkToFit="1"/>
    </xf>
    <xf numFmtId="43" fontId="19" fillId="0" borderId="154" xfId="3" applyFont="1" applyFill="1" applyBorder="1" applyAlignment="1">
      <alignment horizontal="center" vertical="center" shrinkToFit="1"/>
    </xf>
    <xf numFmtId="43" fontId="19" fillId="0" borderId="155" xfId="3" applyFont="1" applyFill="1" applyBorder="1" applyAlignment="1">
      <alignment horizontal="center" vertical="center" shrinkToFit="1"/>
    </xf>
    <xf numFmtId="43" fontId="24" fillId="11" borderId="156" xfId="3" applyFont="1" applyFill="1" applyBorder="1" applyAlignment="1">
      <alignment horizontal="center" vertical="center" shrinkToFit="1"/>
    </xf>
    <xf numFmtId="172" fontId="19" fillId="0" borderId="81" xfId="3" applyNumberFormat="1" applyFont="1" applyFill="1" applyBorder="1" applyAlignment="1">
      <alignment horizontal="center" vertical="center" shrinkToFit="1"/>
    </xf>
    <xf numFmtId="43" fontId="19" fillId="0" borderId="74" xfId="3" applyFont="1" applyFill="1" applyBorder="1" applyAlignment="1">
      <alignment horizontal="left" vertical="center" shrinkToFit="1"/>
    </xf>
    <xf numFmtId="43" fontId="19" fillId="0" borderId="81" xfId="3" applyFont="1" applyFill="1" applyBorder="1" applyAlignment="1">
      <alignment horizontal="center" vertical="center" shrinkToFit="1"/>
    </xf>
    <xf numFmtId="43" fontId="19" fillId="0" borderId="75" xfId="3" applyFont="1" applyFill="1" applyBorder="1" applyAlignment="1">
      <alignment horizontal="center" vertical="center" shrinkToFit="1"/>
    </xf>
    <xf numFmtId="43" fontId="24" fillId="11" borderId="80" xfId="3" applyFont="1" applyFill="1" applyBorder="1" applyAlignment="1">
      <alignment horizontal="center" vertical="center" shrinkToFit="1"/>
    </xf>
    <xf numFmtId="43" fontId="19" fillId="0" borderId="178" xfId="3" applyFont="1" applyFill="1" applyBorder="1" applyAlignment="1">
      <alignment horizontal="center" vertical="center" shrinkToFit="1"/>
    </xf>
    <xf numFmtId="172" fontId="19" fillId="0" borderId="79" xfId="3" applyNumberFormat="1" applyFont="1" applyFill="1" applyBorder="1" applyAlignment="1">
      <alignment horizontal="center" vertical="center" shrinkToFit="1"/>
    </xf>
    <xf numFmtId="43" fontId="19" fillId="0" borderId="116" xfId="3" applyFont="1" applyFill="1" applyBorder="1" applyAlignment="1">
      <alignment horizontal="left" vertical="center" shrinkToFit="1"/>
    </xf>
    <xf numFmtId="43" fontId="19" fillId="0" borderId="79" xfId="3" applyFont="1" applyFill="1" applyBorder="1" applyAlignment="1">
      <alignment horizontal="center" vertical="center" shrinkToFit="1"/>
    </xf>
    <xf numFmtId="43" fontId="19" fillId="0" borderId="78" xfId="3" applyFont="1" applyFill="1" applyBorder="1" applyAlignment="1">
      <alignment horizontal="center" vertical="center" shrinkToFit="1"/>
    </xf>
    <xf numFmtId="43" fontId="24" fillId="11" borderId="77" xfId="3" applyFont="1" applyFill="1" applyBorder="1" applyAlignment="1">
      <alignment horizontal="center" vertical="center" shrinkToFit="1"/>
    </xf>
    <xf numFmtId="43" fontId="19" fillId="0" borderId="179" xfId="3" applyFont="1" applyFill="1" applyBorder="1" applyAlignment="1">
      <alignment horizontal="center" vertical="center" shrinkToFit="1"/>
    </xf>
    <xf numFmtId="43" fontId="19" fillId="0" borderId="180" xfId="3" applyFont="1" applyFill="1" applyBorder="1" applyAlignment="1">
      <alignment horizontal="center" vertical="center" shrinkToFit="1"/>
    </xf>
    <xf numFmtId="43" fontId="24" fillId="11" borderId="181" xfId="3" applyFont="1" applyFill="1" applyBorder="1" applyAlignment="1">
      <alignment horizontal="center" vertical="center" shrinkToFit="1"/>
    </xf>
    <xf numFmtId="43" fontId="18" fillId="0" borderId="0" xfId="3" applyFont="1" applyFill="1" applyBorder="1" applyAlignment="1">
      <alignment horizontal="center" vertical="center" shrinkToFit="1"/>
    </xf>
    <xf numFmtId="43" fontId="18" fillId="7" borderId="0" xfId="3" applyFont="1" applyFill="1" applyBorder="1" applyAlignment="1">
      <alignment horizontal="center" vertical="center" shrinkToFit="1"/>
    </xf>
    <xf numFmtId="172" fontId="19" fillId="0" borderId="0" xfId="3" applyNumberFormat="1" applyFont="1" applyFill="1" applyBorder="1" applyAlignment="1">
      <alignment horizontal="center" vertical="center" shrinkToFit="1"/>
    </xf>
    <xf numFmtId="43" fontId="19" fillId="0" borderId="0" xfId="3" applyFont="1" applyFill="1" applyBorder="1" applyAlignment="1">
      <alignment horizontal="right" vertical="center" shrinkToFit="1"/>
    </xf>
    <xf numFmtId="43" fontId="19" fillId="0" borderId="0" xfId="3" applyFont="1" applyFill="1" applyBorder="1" applyAlignment="1">
      <alignment horizontal="left" vertical="center"/>
    </xf>
    <xf numFmtId="43" fontId="19" fillId="0" borderId="0" xfId="3" applyFont="1" applyFill="1" applyBorder="1" applyAlignment="1">
      <alignment horizontal="center" vertical="center" shrinkToFit="1"/>
    </xf>
    <xf numFmtId="43" fontId="24" fillId="0" borderId="0" xfId="3" applyFont="1" applyFill="1" applyBorder="1" applyAlignment="1">
      <alignment horizontal="center" vertical="center" shrinkToFit="1"/>
    </xf>
    <xf numFmtId="43" fontId="18" fillId="0" borderId="16" xfId="3" applyFont="1" applyFill="1" applyBorder="1" applyAlignment="1">
      <alignment horizontal="center" vertical="center" shrinkToFit="1"/>
    </xf>
    <xf numFmtId="43" fontId="25" fillId="5" borderId="16" xfId="3" applyFont="1" applyFill="1" applyBorder="1" applyAlignment="1">
      <alignment horizontal="center" vertical="center" shrinkToFit="1"/>
    </xf>
    <xf numFmtId="172" fontId="19" fillId="0" borderId="76" xfId="3" applyNumberFormat="1" applyFont="1" applyFill="1" applyBorder="1" applyAlignment="1">
      <alignment horizontal="center" vertical="center" shrinkToFit="1"/>
    </xf>
    <xf numFmtId="43" fontId="19" fillId="0" borderId="76" xfId="3" applyFont="1" applyFill="1" applyBorder="1" applyAlignment="1">
      <alignment horizontal="left" vertical="center" shrinkToFit="1"/>
    </xf>
    <xf numFmtId="43" fontId="19" fillId="0" borderId="76" xfId="3" applyFont="1" applyFill="1" applyBorder="1" applyAlignment="1">
      <alignment horizontal="center" vertical="center" shrinkToFit="1"/>
    </xf>
    <xf numFmtId="43" fontId="25" fillId="5" borderId="76" xfId="3" applyFont="1" applyFill="1" applyBorder="1" applyAlignment="1">
      <alignment horizontal="center" vertical="center" shrinkToFit="1"/>
    </xf>
    <xf numFmtId="172" fontId="19" fillId="0" borderId="75" xfId="3" applyNumberFormat="1" applyFont="1" applyFill="1" applyBorder="1" applyAlignment="1">
      <alignment horizontal="center" vertical="center" shrinkToFit="1"/>
    </xf>
    <xf numFmtId="43" fontId="19" fillId="0" borderId="75" xfId="3" applyFont="1" applyFill="1" applyBorder="1" applyAlignment="1">
      <alignment horizontal="left" vertical="center" shrinkToFit="1"/>
    </xf>
    <xf numFmtId="43" fontId="25" fillId="5" borderId="75" xfId="3" applyFont="1" applyFill="1" applyBorder="1" applyAlignment="1">
      <alignment horizontal="center" vertical="center" shrinkToFit="1"/>
    </xf>
    <xf numFmtId="172" fontId="19" fillId="0" borderId="168" xfId="3" applyNumberFormat="1" applyFont="1" applyFill="1" applyBorder="1" applyAlignment="1">
      <alignment horizontal="center" vertical="center" shrinkToFit="1"/>
    </xf>
    <xf numFmtId="43" fontId="19" fillId="0" borderId="168" xfId="3" applyFont="1" applyFill="1" applyBorder="1" applyAlignment="1">
      <alignment horizontal="left" vertical="center" shrinkToFit="1"/>
    </xf>
    <xf numFmtId="43" fontId="19" fillId="0" borderId="168" xfId="3" applyFont="1" applyFill="1" applyBorder="1" applyAlignment="1">
      <alignment horizontal="center" vertical="center" shrinkToFit="1"/>
    </xf>
    <xf numFmtId="43" fontId="25" fillId="5" borderId="168" xfId="3" applyFont="1" applyFill="1" applyBorder="1" applyAlignment="1">
      <alignment horizontal="center" vertical="center" shrinkToFit="1"/>
    </xf>
    <xf numFmtId="0" fontId="39" fillId="0" borderId="94" xfId="0" applyFont="1" applyBorder="1" applyAlignment="1">
      <alignment vertical="center"/>
    </xf>
    <xf numFmtId="175" fontId="19" fillId="0" borderId="93" xfId="0" applyNumberFormat="1" applyFont="1" applyBorder="1"/>
    <xf numFmtId="175" fontId="19" fillId="0" borderId="91" xfId="0" applyNumberFormat="1" applyFont="1" applyBorder="1"/>
    <xf numFmtId="175" fontId="19" fillId="0" borderId="0" xfId="0" applyNumberFormat="1" applyFont="1"/>
    <xf numFmtId="43" fontId="24" fillId="0" borderId="0" xfId="3" applyFont="1" applyFill="1" applyAlignment="1">
      <alignment vertical="center"/>
    </xf>
    <xf numFmtId="0" fontId="39" fillId="0" borderId="97" xfId="0" applyFont="1" applyBorder="1" applyAlignment="1">
      <alignment vertical="center"/>
    </xf>
    <xf numFmtId="175" fontId="24" fillId="13" borderId="146" xfId="0" applyNumberFormat="1" applyFont="1" applyFill="1" applyBorder="1"/>
    <xf numFmtId="175" fontId="29" fillId="13" borderId="73" xfId="0" applyNumberFormat="1" applyFont="1" applyFill="1" applyBorder="1"/>
    <xf numFmtId="175" fontId="29" fillId="13" borderId="95" xfId="0" applyNumberFormat="1" applyFont="1" applyFill="1" applyBorder="1"/>
    <xf numFmtId="0" fontId="29" fillId="0" borderId="0" xfId="0" applyFont="1" applyAlignment="1">
      <alignment vertical="center"/>
    </xf>
    <xf numFmtId="0" fontId="40" fillId="5" borderId="101" xfId="0" applyFont="1" applyFill="1" applyBorder="1" applyAlignment="1">
      <alignment vertical="center"/>
    </xf>
    <xf numFmtId="2" fontId="24" fillId="13" borderId="100" xfId="0" applyNumberFormat="1" applyFont="1" applyFill="1" applyBorder="1" applyAlignment="1">
      <alignment vertical="center"/>
    </xf>
    <xf numFmtId="0" fontId="29" fillId="13" borderId="100" xfId="0" applyFont="1" applyFill="1" applyBorder="1" applyAlignment="1">
      <alignment vertical="center"/>
    </xf>
    <xf numFmtId="0" fontId="29" fillId="13" borderId="98" xfId="0" applyFont="1" applyFill="1" applyBorder="1" applyAlignment="1">
      <alignment vertical="center"/>
    </xf>
    <xf numFmtId="0" fontId="18" fillId="0" borderId="41" xfId="0" applyFont="1" applyBorder="1" applyAlignment="1">
      <alignment horizontal="right"/>
    </xf>
    <xf numFmtId="43" fontId="25" fillId="5" borderId="35" xfId="3" applyFont="1" applyFill="1" applyBorder="1"/>
    <xf numFmtId="0" fontId="19" fillId="5" borderId="35" xfId="0" applyFont="1" applyFill="1" applyBorder="1" applyAlignment="1">
      <alignment vertical="center"/>
    </xf>
    <xf numFmtId="0" fontId="19" fillId="0" borderId="44" xfId="0" applyFont="1" applyBorder="1"/>
    <xf numFmtId="0" fontId="18" fillId="0" borderId="62" xfId="0" applyFont="1" applyBorder="1"/>
    <xf numFmtId="0" fontId="18" fillId="0" borderId="63" xfId="0" applyFont="1" applyBorder="1" applyAlignment="1">
      <alignment horizontal="center"/>
    </xf>
    <xf numFmtId="0" fontId="18" fillId="0" borderId="63" xfId="0" applyFont="1" applyBorder="1"/>
    <xf numFmtId="0" fontId="18" fillId="0" borderId="61" xfId="0" applyFont="1" applyBorder="1"/>
    <xf numFmtId="2" fontId="19" fillId="15" borderId="94" xfId="0" applyNumberFormat="1" applyFont="1" applyFill="1" applyBorder="1" applyAlignment="1">
      <alignment vertical="center"/>
    </xf>
    <xf numFmtId="0" fontId="19" fillId="15" borderId="93" xfId="0" applyFont="1" applyFill="1" applyBorder="1"/>
    <xf numFmtId="43" fontId="24" fillId="15" borderId="92" xfId="3" applyFont="1" applyFill="1" applyBorder="1" applyAlignment="1">
      <alignment vertical="center" shrinkToFit="1"/>
    </xf>
    <xf numFmtId="0" fontId="19" fillId="15" borderId="91" xfId="0" applyFont="1" applyFill="1" applyBorder="1" applyAlignment="1">
      <alignment vertical="center"/>
    </xf>
    <xf numFmtId="0" fontId="19" fillId="15" borderId="97" xfId="0" applyFont="1" applyFill="1" applyBorder="1" applyAlignment="1">
      <alignment vertical="center"/>
    </xf>
    <xf numFmtId="0" fontId="19" fillId="15" borderId="73" xfId="0" applyFont="1" applyFill="1" applyBorder="1"/>
    <xf numFmtId="0" fontId="24" fillId="15" borderId="146" xfId="0" applyFont="1" applyFill="1" applyBorder="1"/>
    <xf numFmtId="43" fontId="24" fillId="15" borderId="96" xfId="3" applyFont="1" applyFill="1" applyBorder="1" applyAlignment="1">
      <alignment vertical="center" shrinkToFit="1"/>
    </xf>
    <xf numFmtId="0" fontId="19" fillId="15" borderId="95" xfId="0" applyFont="1" applyFill="1" applyBorder="1" applyAlignment="1">
      <alignment vertical="center"/>
    </xf>
    <xf numFmtId="0" fontId="19" fillId="15" borderId="101" xfId="0" applyFont="1" applyFill="1" applyBorder="1" applyAlignment="1">
      <alignment vertical="center"/>
    </xf>
    <xf numFmtId="0" fontId="19" fillId="15" borderId="100" xfId="0" applyFont="1" applyFill="1" applyBorder="1"/>
    <xf numFmtId="43" fontId="24" fillId="15" borderId="99" xfId="3" applyFont="1" applyFill="1" applyBorder="1" applyAlignment="1">
      <alignment vertical="center" shrinkToFit="1"/>
    </xf>
    <xf numFmtId="0" fontId="19" fillId="15" borderId="98" xfId="0" applyFont="1" applyFill="1" applyBorder="1" applyAlignment="1">
      <alignment vertical="center"/>
    </xf>
    <xf numFmtId="0" fontId="19" fillId="5" borderId="94" xfId="0" applyFont="1" applyFill="1" applyBorder="1" applyAlignment="1">
      <alignment horizontal="left" vertical="center"/>
    </xf>
    <xf numFmtId="0" fontId="19" fillId="5" borderId="93" xfId="0" applyFont="1" applyFill="1" applyBorder="1"/>
    <xf numFmtId="0" fontId="25" fillId="5" borderId="93" xfId="0" applyFont="1" applyFill="1" applyBorder="1"/>
    <xf numFmtId="43" fontId="24" fillId="5" borderId="92" xfId="3" applyFont="1" applyFill="1" applyBorder="1" applyAlignment="1">
      <alignment vertical="center" shrinkToFit="1"/>
    </xf>
    <xf numFmtId="0" fontId="19" fillId="5" borderId="91" xfId="0" applyFont="1" applyFill="1" applyBorder="1" applyAlignment="1">
      <alignment vertical="center"/>
    </xf>
    <xf numFmtId="0" fontId="19" fillId="5" borderId="147" xfId="0" applyFont="1" applyFill="1" applyBorder="1" applyAlignment="1">
      <alignment horizontal="left" vertical="center"/>
    </xf>
    <xf numFmtId="0" fontId="19" fillId="5" borderId="89" xfId="0" applyFont="1" applyFill="1" applyBorder="1"/>
    <xf numFmtId="0" fontId="25" fillId="5" borderId="89" xfId="0" applyFont="1" applyFill="1" applyBorder="1"/>
    <xf numFmtId="43" fontId="24" fillId="5" borderId="148" xfId="3" applyFont="1" applyFill="1" applyBorder="1" applyAlignment="1">
      <alignment vertical="center" shrinkToFit="1"/>
    </xf>
    <xf numFmtId="0" fontId="19" fillId="5" borderId="149" xfId="0" applyFont="1" applyFill="1" applyBorder="1" applyAlignment="1">
      <alignment vertical="center"/>
    </xf>
    <xf numFmtId="0" fontId="19" fillId="5" borderId="97" xfId="0" applyFont="1" applyFill="1" applyBorder="1" applyAlignment="1">
      <alignment horizontal="left" vertical="center"/>
    </xf>
    <xf numFmtId="0" fontId="19" fillId="5" borderId="73" xfId="0" applyFont="1" applyFill="1" applyBorder="1"/>
    <xf numFmtId="0" fontId="25" fillId="5" borderId="146" xfId="0" applyFont="1" applyFill="1" applyBorder="1"/>
    <xf numFmtId="0" fontId="19" fillId="5" borderId="95" xfId="0" applyFont="1" applyFill="1" applyBorder="1" applyAlignment="1">
      <alignment vertical="center"/>
    </xf>
    <xf numFmtId="0" fontId="19" fillId="14" borderId="101" xfId="0" applyFont="1" applyFill="1" applyBorder="1" applyAlignment="1">
      <alignment horizontal="left" vertical="center"/>
    </xf>
    <xf numFmtId="0" fontId="19" fillId="14" borderId="100" xfId="0" applyFont="1" applyFill="1" applyBorder="1"/>
    <xf numFmtId="0" fontId="25" fillId="14" borderId="100" xfId="0" applyFont="1" applyFill="1" applyBorder="1"/>
    <xf numFmtId="43" fontId="24" fillId="14" borderId="99" xfId="3" applyFont="1" applyFill="1" applyBorder="1" applyAlignment="1">
      <alignment vertical="center" shrinkToFit="1"/>
    </xf>
    <xf numFmtId="0" fontId="19" fillId="14" borderId="98" xfId="0" applyFont="1" applyFill="1" applyBorder="1" applyAlignment="1">
      <alignment vertical="center"/>
    </xf>
    <xf numFmtId="0" fontId="19" fillId="8" borderId="90" xfId="0" applyFont="1" applyFill="1" applyBorder="1" applyAlignment="1">
      <alignment horizontal="left" vertical="center"/>
    </xf>
    <xf numFmtId="0" fontId="19" fillId="8" borderId="89" xfId="0" applyFont="1" applyFill="1" applyBorder="1"/>
    <xf numFmtId="43" fontId="24" fillId="8" borderId="88" xfId="3" applyFont="1" applyFill="1" applyBorder="1" applyAlignment="1">
      <alignment vertical="center" shrinkToFit="1"/>
    </xf>
    <xf numFmtId="0" fontId="19" fillId="8" borderId="87" xfId="0" applyFont="1" applyFill="1" applyBorder="1" applyAlignment="1">
      <alignment vertical="center"/>
    </xf>
    <xf numFmtId="0" fontId="19" fillId="8" borderId="86" xfId="0" applyFont="1" applyFill="1" applyBorder="1" applyAlignment="1">
      <alignment horizontal="left" vertical="center"/>
    </xf>
    <xf numFmtId="0" fontId="19" fillId="8" borderId="85" xfId="0" applyFont="1" applyFill="1" applyBorder="1"/>
    <xf numFmtId="0" fontId="19" fillId="8" borderId="137" xfId="0" applyFont="1" applyFill="1" applyBorder="1"/>
    <xf numFmtId="43" fontId="24" fillId="8" borderId="84" xfId="3" applyFont="1" applyFill="1" applyBorder="1" applyAlignment="1">
      <alignment vertical="center" shrinkToFit="1"/>
    </xf>
    <xf numFmtId="0" fontId="19" fillId="8" borderId="83" xfId="0" applyFont="1" applyFill="1" applyBorder="1" applyAlignment="1">
      <alignment vertical="center"/>
    </xf>
    <xf numFmtId="43" fontId="18" fillId="0" borderId="62" xfId="0" applyNumberFormat="1" applyFont="1" applyBorder="1"/>
    <xf numFmtId="43" fontId="18" fillId="12" borderId="60" xfId="0" applyNumberFormat="1" applyFont="1" applyFill="1" applyBorder="1"/>
    <xf numFmtId="43" fontId="18" fillId="0" borderId="61" xfId="0" applyNumberFormat="1" applyFont="1" applyBorder="1"/>
    <xf numFmtId="4" fontId="18" fillId="0" borderId="25" xfId="0" applyNumberFormat="1" applyFont="1" applyBorder="1"/>
    <xf numFmtId="0" fontId="18" fillId="0" borderId="28" xfId="0" applyFont="1" applyBorder="1"/>
    <xf numFmtId="0" fontId="3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43" fontId="19" fillId="0" borderId="0" xfId="1" applyFont="1" applyFill="1" applyBorder="1" applyAlignment="1" applyProtection="1">
      <alignment horizontal="left" vertical="center"/>
    </xf>
    <xf numFmtId="174" fontId="20" fillId="0" borderId="0" xfId="1" applyNumberFormat="1" applyFont="1" applyFill="1" applyBorder="1" applyAlignment="1" applyProtection="1">
      <alignment horizontal="center" vertical="center"/>
    </xf>
    <xf numFmtId="43" fontId="20" fillId="0" borderId="0" xfId="1" applyFont="1" applyFill="1" applyBorder="1" applyAlignment="1" applyProtection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175" fontId="19" fillId="0" borderId="0" xfId="3" applyNumberFormat="1" applyFont="1" applyFill="1" applyAlignment="1" applyProtection="1">
      <alignment vertical="center"/>
    </xf>
    <xf numFmtId="43" fontId="19" fillId="0" borderId="0" xfId="1" applyFont="1" applyFill="1" applyAlignment="1" applyProtection="1">
      <alignment vertical="center"/>
    </xf>
    <xf numFmtId="43" fontId="19" fillId="0" borderId="0" xfId="0" applyNumberFormat="1" applyFont="1" applyAlignment="1">
      <alignment vertical="center"/>
    </xf>
    <xf numFmtId="0" fontId="19" fillId="0" borderId="0" xfId="0" applyFont="1" applyAlignment="1" applyProtection="1">
      <alignment vertical="center"/>
      <protection locked="0"/>
    </xf>
    <xf numFmtId="43" fontId="19" fillId="0" borderId="0" xfId="1" applyFont="1" applyFill="1" applyBorder="1" applyAlignment="1" applyProtection="1">
      <alignment vertical="center"/>
      <protection locked="0"/>
    </xf>
    <xf numFmtId="174" fontId="19" fillId="0" borderId="0" xfId="1" applyNumberFormat="1" applyFont="1" applyFill="1" applyBorder="1" applyAlignment="1" applyProtection="1">
      <alignment vertical="center"/>
      <protection locked="0"/>
    </xf>
    <xf numFmtId="43" fontId="19" fillId="0" borderId="0" xfId="1" applyFont="1" applyFill="1" applyBorder="1" applyAlignment="1" applyProtection="1">
      <alignment horizontal="center" vertical="center"/>
      <protection locked="0"/>
    </xf>
    <xf numFmtId="196" fontId="19" fillId="0" borderId="0" xfId="0" applyNumberFormat="1" applyFont="1" applyAlignment="1">
      <alignment vertical="center"/>
    </xf>
    <xf numFmtId="175" fontId="19" fillId="0" borderId="0" xfId="0" applyNumberFormat="1" applyFont="1" applyAlignment="1">
      <alignment vertical="center"/>
    </xf>
    <xf numFmtId="191" fontId="18" fillId="0" borderId="0" xfId="1" applyNumberFormat="1" applyFont="1" applyFill="1" applyAlignment="1" applyProtection="1">
      <alignment horizontal="left"/>
    </xf>
    <xf numFmtId="193" fontId="18" fillId="0" borderId="0" xfId="1" applyNumberFormat="1" applyFont="1" applyFill="1" applyAlignment="1" applyProtection="1"/>
    <xf numFmtId="43" fontId="18" fillId="0" borderId="0" xfId="0" applyNumberFormat="1" applyFont="1" applyAlignment="1">
      <alignment shrinkToFit="1"/>
    </xf>
    <xf numFmtId="175" fontId="18" fillId="0" borderId="0" xfId="0" applyNumberFormat="1" applyFont="1" applyAlignment="1">
      <alignment horizontal="left" vertical="center"/>
    </xf>
    <xf numFmtId="43" fontId="18" fillId="0" borderId="0" xfId="1" applyFont="1" applyFill="1" applyAlignment="1">
      <alignment horizontal="left" vertical="center"/>
    </xf>
    <xf numFmtId="15" fontId="18" fillId="0" borderId="0" xfId="0" applyNumberFormat="1" applyFont="1" applyAlignment="1">
      <alignment horizontal="left" vertical="center"/>
    </xf>
    <xf numFmtId="43" fontId="19" fillId="0" borderId="0" xfId="1" applyFont="1" applyFill="1" applyBorder="1" applyAlignment="1" applyProtection="1">
      <alignment vertical="center"/>
    </xf>
    <xf numFmtId="174" fontId="19" fillId="0" borderId="0" xfId="1" applyNumberFormat="1" applyFont="1" applyFill="1" applyBorder="1" applyAlignment="1" applyProtection="1">
      <alignment horizontal="center" vertical="center"/>
    </xf>
    <xf numFmtId="43" fontId="19" fillId="0" borderId="0" xfId="1" applyFont="1" applyFill="1" applyBorder="1" applyAlignment="1" applyProtection="1">
      <alignment horizontal="right" vertical="center"/>
    </xf>
    <xf numFmtId="43" fontId="18" fillId="0" borderId="0" xfId="1" applyFont="1" applyFill="1" applyBorder="1" applyAlignment="1" applyProtection="1">
      <alignment horizontal="center" vertical="center"/>
    </xf>
    <xf numFmtId="175" fontId="19" fillId="0" borderId="0" xfId="3" applyNumberFormat="1" applyFont="1" applyFill="1" applyBorder="1" applyAlignment="1" applyProtection="1">
      <alignment horizontal="left" vertical="center"/>
    </xf>
    <xf numFmtId="43" fontId="19" fillId="0" borderId="0" xfId="3" applyFont="1" applyFill="1" applyAlignment="1" applyProtection="1">
      <alignment vertical="center"/>
    </xf>
    <xf numFmtId="0" fontId="19" fillId="0" borderId="114" xfId="0" applyFont="1" applyBorder="1" applyAlignment="1">
      <alignment vertical="center"/>
    </xf>
    <xf numFmtId="0" fontId="18" fillId="0" borderId="114" xfId="0" applyFont="1" applyBorder="1" applyAlignment="1" applyProtection="1">
      <alignment vertical="center"/>
      <protection locked="0"/>
    </xf>
    <xf numFmtId="43" fontId="19" fillId="0" borderId="114" xfId="1" applyFont="1" applyFill="1" applyBorder="1" applyAlignment="1" applyProtection="1">
      <alignment vertical="center"/>
    </xf>
    <xf numFmtId="43" fontId="19" fillId="0" borderId="114" xfId="1" applyFont="1" applyFill="1" applyBorder="1" applyAlignment="1" applyProtection="1">
      <alignment horizontal="center" vertical="center"/>
    </xf>
    <xf numFmtId="174" fontId="19" fillId="0" borderId="114" xfId="1" applyNumberFormat="1" applyFont="1" applyFill="1" applyBorder="1" applyAlignment="1" applyProtection="1">
      <alignment vertical="center"/>
    </xf>
    <xf numFmtId="43" fontId="19" fillId="0" borderId="114" xfId="1" applyFont="1" applyFill="1" applyBorder="1" applyAlignment="1" applyProtection="1">
      <alignment horizontal="right" vertical="center"/>
    </xf>
    <xf numFmtId="43" fontId="19" fillId="0" borderId="114" xfId="0" applyNumberFormat="1" applyFont="1" applyBorder="1" applyAlignment="1">
      <alignment vertical="center"/>
    </xf>
    <xf numFmtId="0" fontId="18" fillId="0" borderId="66" xfId="0" applyFont="1" applyBorder="1" applyAlignment="1">
      <alignment horizontal="center" vertical="center" shrinkToFit="1"/>
    </xf>
    <xf numFmtId="43" fontId="18" fillId="0" borderId="66" xfId="1" applyFont="1" applyFill="1" applyBorder="1" applyAlignment="1" applyProtection="1">
      <alignment horizontal="center" vertical="center" shrinkToFit="1"/>
    </xf>
    <xf numFmtId="43" fontId="18" fillId="0" borderId="66" xfId="1" applyFont="1" applyFill="1" applyBorder="1" applyAlignment="1" applyProtection="1">
      <alignment horizontal="center" vertical="center" shrinkToFit="1"/>
      <protection locked="0"/>
    </xf>
    <xf numFmtId="0" fontId="18" fillId="0" borderId="0" xfId="0" applyFont="1" applyAlignment="1">
      <alignment horizontal="center" vertical="center" shrinkToFit="1"/>
    </xf>
    <xf numFmtId="0" fontId="18" fillId="0" borderId="69" xfId="0" applyFont="1" applyBorder="1" applyAlignment="1">
      <alignment horizontal="center" vertical="center" shrinkToFit="1"/>
    </xf>
    <xf numFmtId="43" fontId="18" fillId="0" borderId="69" xfId="1" applyFont="1" applyFill="1" applyBorder="1" applyAlignment="1" applyProtection="1">
      <alignment horizontal="center" vertical="center" shrinkToFit="1"/>
    </xf>
    <xf numFmtId="43" fontId="18" fillId="0" borderId="69" xfId="1" applyFont="1" applyFill="1" applyBorder="1" applyAlignment="1" applyProtection="1">
      <alignment horizontal="center" vertical="center" shrinkToFit="1"/>
      <protection locked="0"/>
    </xf>
    <xf numFmtId="0" fontId="18" fillId="0" borderId="159" xfId="0" applyFont="1" applyBorder="1" applyAlignment="1">
      <alignment horizontal="center" vertical="center" shrinkToFit="1"/>
    </xf>
    <xf numFmtId="0" fontId="18" fillId="0" borderId="160" xfId="0" applyFont="1" applyBorder="1" applyAlignment="1">
      <alignment horizontal="left" vertical="center"/>
    </xf>
    <xf numFmtId="0" fontId="18" fillId="0" borderId="161" xfId="0" applyFont="1" applyBorder="1" applyAlignment="1">
      <alignment horizontal="center" vertical="center" shrinkToFit="1"/>
    </xf>
    <xf numFmtId="0" fontId="18" fillId="0" borderId="162" xfId="0" applyFont="1" applyBorder="1" applyAlignment="1">
      <alignment horizontal="center" vertical="center" shrinkToFit="1"/>
    </xf>
    <xf numFmtId="43" fontId="18" fillId="0" borderId="159" xfId="1" applyFont="1" applyFill="1" applyBorder="1" applyAlignment="1">
      <alignment horizontal="center" vertical="center" shrinkToFit="1"/>
    </xf>
    <xf numFmtId="43" fontId="18" fillId="0" borderId="159" xfId="1" applyFont="1" applyFill="1" applyBorder="1" applyAlignment="1" applyProtection="1">
      <alignment horizontal="center" vertical="center" shrinkToFit="1"/>
    </xf>
    <xf numFmtId="174" fontId="18" fillId="0" borderId="159" xfId="1" applyNumberFormat="1" applyFont="1" applyFill="1" applyBorder="1" applyAlignment="1" applyProtection="1">
      <alignment horizontal="center" vertical="center" shrinkToFit="1"/>
    </xf>
    <xf numFmtId="43" fontId="18" fillId="0" borderId="159" xfId="1" applyFont="1" applyFill="1" applyBorder="1" applyAlignment="1" applyProtection="1">
      <alignment horizontal="center" vertical="center" shrinkToFit="1"/>
      <protection locked="0"/>
    </xf>
    <xf numFmtId="0" fontId="18" fillId="0" borderId="75" xfId="0" applyFont="1" applyBorder="1" applyAlignment="1">
      <alignment horizontal="right" vertical="center"/>
    </xf>
    <xf numFmtId="0" fontId="18" fillId="0" borderId="74" xfId="0" applyFont="1" applyBorder="1" applyAlignment="1">
      <alignment vertical="center"/>
    </xf>
    <xf numFmtId="0" fontId="19" fillId="0" borderId="163" xfId="0" applyFont="1" applyBorder="1" applyAlignment="1">
      <alignment vertical="center"/>
    </xf>
    <xf numFmtId="0" fontId="19" fillId="0" borderId="72" xfId="0" applyFont="1" applyBorder="1" applyAlignment="1">
      <alignment vertical="center"/>
    </xf>
    <xf numFmtId="43" fontId="19" fillId="0" borderId="75" xfId="1" applyFont="1" applyFill="1" applyBorder="1" applyAlignment="1" applyProtection="1">
      <alignment vertical="center" shrinkToFit="1"/>
    </xf>
    <xf numFmtId="174" fontId="19" fillId="0" borderId="75" xfId="1" applyNumberFormat="1" applyFont="1" applyFill="1" applyBorder="1" applyAlignment="1" applyProtection="1">
      <alignment vertical="center" shrinkToFit="1"/>
    </xf>
    <xf numFmtId="0" fontId="19" fillId="0" borderId="75" xfId="0" applyFont="1" applyBorder="1" applyAlignment="1">
      <alignment vertical="center" shrinkToFit="1"/>
    </xf>
    <xf numFmtId="0" fontId="19" fillId="0" borderId="75" xfId="0" quotePrefix="1" applyFont="1" applyBorder="1" applyAlignment="1">
      <alignment horizontal="right" vertical="center"/>
    </xf>
    <xf numFmtId="0" fontId="19" fillId="0" borderId="74" xfId="0" quotePrefix="1" applyFont="1" applyBorder="1" applyAlignment="1">
      <alignment vertical="center"/>
    </xf>
    <xf numFmtId="43" fontId="19" fillId="0" borderId="75" xfId="1" applyFont="1" applyFill="1" applyBorder="1" applyAlignment="1" applyProtection="1">
      <alignment horizontal="center" vertical="center" shrinkToFit="1"/>
    </xf>
    <xf numFmtId="0" fontId="19" fillId="0" borderId="75" xfId="0" applyFont="1" applyBorder="1" applyAlignment="1">
      <alignment horizontal="center" vertical="center" shrinkToFit="1"/>
    </xf>
    <xf numFmtId="43" fontId="19" fillId="0" borderId="0" xfId="1" applyFont="1" applyAlignment="1">
      <alignment vertical="center" shrinkToFit="1"/>
    </xf>
    <xf numFmtId="194" fontId="19" fillId="0" borderId="75" xfId="0" applyNumberFormat="1" applyFont="1" applyBorder="1" applyAlignment="1">
      <alignment horizontal="center" vertical="center" shrinkToFit="1"/>
    </xf>
    <xf numFmtId="0" fontId="19" fillId="7" borderId="75" xfId="0" quotePrefix="1" applyFont="1" applyFill="1" applyBorder="1" applyAlignment="1">
      <alignment horizontal="right" vertical="center"/>
    </xf>
    <xf numFmtId="0" fontId="19" fillId="7" borderId="74" xfId="0" quotePrefix="1" applyFont="1" applyFill="1" applyBorder="1" applyAlignment="1">
      <alignment vertical="center"/>
    </xf>
    <xf numFmtId="0" fontId="19" fillId="7" borderId="163" xfId="0" applyFont="1" applyFill="1" applyBorder="1" applyAlignment="1">
      <alignment vertical="center"/>
    </xf>
    <xf numFmtId="0" fontId="19" fillId="7" borderId="72" xfId="0" applyFont="1" applyFill="1" applyBorder="1" applyAlignment="1">
      <alignment vertical="center"/>
    </xf>
    <xf numFmtId="43" fontId="19" fillId="7" borderId="75" xfId="1" applyFont="1" applyFill="1" applyBorder="1" applyAlignment="1" applyProtection="1">
      <alignment horizontal="center" vertical="center" shrinkToFit="1"/>
    </xf>
    <xf numFmtId="43" fontId="19" fillId="7" borderId="75" xfId="1" applyFont="1" applyFill="1" applyBorder="1" applyAlignment="1" applyProtection="1">
      <alignment vertical="center" shrinkToFit="1"/>
    </xf>
    <xf numFmtId="174" fontId="19" fillId="7" borderId="75" xfId="1" applyNumberFormat="1" applyFont="1" applyFill="1" applyBorder="1" applyAlignment="1" applyProtection="1">
      <alignment vertical="center" shrinkToFit="1"/>
    </xf>
    <xf numFmtId="0" fontId="19" fillId="7" borderId="75" xfId="0" applyFont="1" applyFill="1" applyBorder="1" applyAlignment="1">
      <alignment horizontal="center" vertical="center" shrinkToFit="1"/>
    </xf>
    <xf numFmtId="199" fontId="19" fillId="0" borderId="75" xfId="0" applyNumberFormat="1" applyFont="1" applyBorder="1" applyAlignment="1">
      <alignment horizontal="center" vertical="center" shrinkToFit="1"/>
    </xf>
    <xf numFmtId="194" fontId="19" fillId="0" borderId="0" xfId="0" applyNumberFormat="1" applyFont="1" applyAlignment="1">
      <alignment horizontal="center" vertical="center" shrinkToFit="1"/>
    </xf>
    <xf numFmtId="43" fontId="19" fillId="0" borderId="0" xfId="1" applyFont="1" applyAlignment="1">
      <alignment horizontal="center" vertical="center" shrinkToFit="1"/>
    </xf>
    <xf numFmtId="176" fontId="29" fillId="0" borderId="75" xfId="0" applyNumberFormat="1" applyFont="1" applyBorder="1" applyAlignment="1">
      <alignment horizontal="center" vertical="center" shrinkToFit="1"/>
    </xf>
    <xf numFmtId="43" fontId="29" fillId="0" borderId="0" xfId="1" applyFont="1" applyBorder="1" applyAlignment="1">
      <alignment horizontal="center" vertical="center" shrinkToFit="1"/>
    </xf>
    <xf numFmtId="172" fontId="19" fillId="0" borderId="0" xfId="1" applyNumberFormat="1" applyFont="1" applyFill="1" applyAlignment="1" applyProtection="1">
      <alignment vertical="center"/>
    </xf>
    <xf numFmtId="176" fontId="19" fillId="0" borderId="75" xfId="0" applyNumberFormat="1" applyFont="1" applyBorder="1" applyAlignment="1">
      <alignment horizontal="center" vertical="center" shrinkToFit="1"/>
    </xf>
    <xf numFmtId="176" fontId="19" fillId="0" borderId="0" xfId="0" applyNumberFormat="1" applyFont="1" applyAlignment="1">
      <alignment horizontal="center" vertical="center" shrinkToFit="1"/>
    </xf>
    <xf numFmtId="0" fontId="19" fillId="0" borderId="16" xfId="0" applyFont="1" applyBorder="1" applyAlignment="1">
      <alignment vertical="center"/>
    </xf>
    <xf numFmtId="0" fontId="18" fillId="0" borderId="75" xfId="0" applyFont="1" applyBorder="1" applyAlignment="1">
      <alignment horizontal="center" vertical="center"/>
    </xf>
    <xf numFmtId="0" fontId="18" fillId="0" borderId="163" xfId="0" applyFont="1" applyBorder="1" applyAlignment="1">
      <alignment vertical="center"/>
    </xf>
    <xf numFmtId="0" fontId="18" fillId="0" borderId="72" xfId="0" applyFont="1" applyBorder="1" applyAlignment="1">
      <alignment vertical="center"/>
    </xf>
    <xf numFmtId="190" fontId="19" fillId="0" borderId="75" xfId="1" quotePrefix="1" applyNumberFormat="1" applyFont="1" applyFill="1" applyBorder="1" applyAlignment="1" applyProtection="1">
      <alignment horizontal="right" vertical="center"/>
    </xf>
    <xf numFmtId="43" fontId="19" fillId="0" borderId="0" xfId="0" applyNumberFormat="1" applyFont="1" applyAlignment="1">
      <alignment vertical="center" shrinkToFit="1"/>
    </xf>
    <xf numFmtId="0" fontId="19" fillId="0" borderId="27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75" xfId="0" applyFont="1" applyBorder="1" applyAlignment="1">
      <alignment horizontal="right" vertical="center"/>
    </xf>
    <xf numFmtId="0" fontId="29" fillId="0" borderId="74" xfId="0" quotePrefix="1" applyFont="1" applyBorder="1" applyAlignment="1">
      <alignment vertical="center"/>
    </xf>
    <xf numFmtId="0" fontId="19" fillId="0" borderId="0" xfId="0" applyFont="1" applyAlignment="1">
      <alignment horizontal="center" vertical="center" shrinkToFit="1"/>
    </xf>
    <xf numFmtId="164" fontId="19" fillId="0" borderId="2" xfId="0" applyNumberFormat="1" applyFont="1" applyBorder="1" applyAlignment="1">
      <alignment vertical="center"/>
    </xf>
    <xf numFmtId="183" fontId="19" fillId="0" borderId="75" xfId="0" applyNumberFormat="1" applyFont="1" applyBorder="1" applyAlignment="1">
      <alignment horizontal="center" vertical="center" shrinkToFit="1"/>
    </xf>
    <xf numFmtId="183" fontId="19" fillId="0" borderId="17" xfId="0" applyNumberFormat="1" applyFont="1" applyBorder="1" applyAlignment="1">
      <alignment horizontal="center" vertical="center" shrinkToFit="1"/>
    </xf>
    <xf numFmtId="43" fontId="19" fillId="0" borderId="17" xfId="1" applyFont="1" applyBorder="1" applyAlignment="1">
      <alignment horizontal="center" vertical="center" shrinkToFit="1"/>
    </xf>
    <xf numFmtId="43" fontId="25" fillId="0" borderId="12" xfId="0" applyNumberFormat="1" applyFont="1" applyBorder="1" applyAlignment="1">
      <alignment vertical="center"/>
    </xf>
    <xf numFmtId="43" fontId="18" fillId="0" borderId="0" xfId="0" applyNumberFormat="1" applyFont="1" applyAlignment="1">
      <alignment vertical="center"/>
    </xf>
    <xf numFmtId="190" fontId="19" fillId="0" borderId="75" xfId="1" applyNumberFormat="1" applyFont="1" applyFill="1" applyBorder="1" applyAlignment="1" applyProtection="1">
      <alignment horizontal="right" vertical="center"/>
    </xf>
    <xf numFmtId="43" fontId="19" fillId="0" borderId="163" xfId="1" applyFont="1" applyFill="1" applyBorder="1" applyAlignment="1" applyProtection="1">
      <protection locked="0"/>
    </xf>
    <xf numFmtId="43" fontId="19" fillId="0" borderId="163" xfId="1" quotePrefix="1" applyFont="1" applyFill="1" applyBorder="1" applyAlignment="1" applyProtection="1">
      <protection locked="0"/>
    </xf>
    <xf numFmtId="43" fontId="19" fillId="0" borderId="74" xfId="1" quotePrefix="1" applyFont="1" applyFill="1" applyBorder="1" applyAlignment="1" applyProtection="1">
      <alignment vertical="center"/>
    </xf>
    <xf numFmtId="10" fontId="19" fillId="0" borderId="115" xfId="0" applyNumberFormat="1" applyFont="1" applyBorder="1" applyAlignment="1">
      <alignment vertical="center"/>
    </xf>
    <xf numFmtId="0" fontId="19" fillId="0" borderId="115" xfId="0" applyFont="1" applyBorder="1" applyAlignment="1">
      <alignment vertical="center"/>
    </xf>
    <xf numFmtId="43" fontId="19" fillId="0" borderId="115" xfId="1" applyFont="1" applyFill="1" applyBorder="1" applyAlignment="1" applyProtection="1">
      <alignment vertical="top"/>
    </xf>
    <xf numFmtId="43" fontId="19" fillId="0" borderId="115" xfId="0" applyNumberFormat="1" applyFont="1" applyBorder="1" applyAlignment="1">
      <alignment vertical="center"/>
    </xf>
    <xf numFmtId="0" fontId="19" fillId="0" borderId="111" xfId="0" applyFont="1" applyBorder="1" applyAlignment="1">
      <alignment vertical="center"/>
    </xf>
    <xf numFmtId="43" fontId="19" fillId="0" borderId="75" xfId="1" applyFont="1" applyFill="1" applyBorder="1" applyAlignment="1">
      <alignment vertical="top" shrinkToFit="1"/>
    </xf>
    <xf numFmtId="10" fontId="24" fillId="0" borderId="122" xfId="0" applyNumberFormat="1" applyFont="1" applyBorder="1" applyAlignment="1">
      <alignment vertical="center"/>
    </xf>
    <xf numFmtId="0" fontId="19" fillId="0" borderId="121" xfId="0" applyFont="1" applyBorder="1" applyAlignment="1">
      <alignment vertical="center"/>
    </xf>
    <xf numFmtId="43" fontId="19" fillId="0" borderId="113" xfId="0" applyNumberFormat="1" applyFont="1" applyBorder="1" applyAlignment="1">
      <alignment vertical="center"/>
    </xf>
    <xf numFmtId="39" fontId="19" fillId="0" borderId="74" xfId="0" quotePrefix="1" applyNumberFormat="1" applyFont="1" applyBorder="1" applyAlignment="1">
      <alignment horizontal="left" vertical="center"/>
    </xf>
    <xf numFmtId="43" fontId="19" fillId="6" borderId="75" xfId="1" applyFont="1" applyFill="1" applyBorder="1" applyAlignment="1">
      <alignment vertical="center" shrinkToFit="1"/>
    </xf>
    <xf numFmtId="186" fontId="19" fillId="0" borderId="75" xfId="0" applyNumberFormat="1" applyFont="1" applyBorder="1" applyAlignment="1">
      <alignment horizontal="center" vertical="center"/>
    </xf>
    <xf numFmtId="186" fontId="19" fillId="0" borderId="0" xfId="0" applyNumberFormat="1" applyFont="1" applyAlignment="1">
      <alignment horizontal="center" vertical="center"/>
    </xf>
    <xf numFmtId="43" fontId="19" fillId="0" borderId="0" xfId="1" applyFont="1" applyAlignment="1">
      <alignment horizontal="center" vertical="center"/>
    </xf>
    <xf numFmtId="43" fontId="24" fillId="0" borderId="0" xfId="1" applyFont="1" applyFill="1" applyAlignment="1" applyProtection="1">
      <alignment vertical="center"/>
    </xf>
    <xf numFmtId="4" fontId="24" fillId="0" borderId="0" xfId="0" applyNumberFormat="1" applyFont="1" applyAlignment="1">
      <alignment vertical="center"/>
    </xf>
    <xf numFmtId="43" fontId="19" fillId="0" borderId="75" xfId="1" applyFont="1" applyFill="1" applyBorder="1" applyAlignment="1">
      <alignment vertical="center" shrinkToFit="1"/>
    </xf>
    <xf numFmtId="187" fontId="19" fillId="0" borderId="75" xfId="0" applyNumberFormat="1" applyFont="1" applyBorder="1" applyAlignment="1">
      <alignment horizontal="center" vertical="center"/>
    </xf>
    <xf numFmtId="187" fontId="19" fillId="0" borderId="0" xfId="0" applyNumberFormat="1" applyFont="1" applyAlignment="1">
      <alignment horizontal="center" vertical="center"/>
    </xf>
    <xf numFmtId="0" fontId="18" fillId="0" borderId="75" xfId="0" applyFont="1" applyBorder="1" applyAlignment="1">
      <alignment vertical="center"/>
    </xf>
    <xf numFmtId="0" fontId="19" fillId="0" borderId="75" xfId="0" applyFont="1" applyBorder="1" applyAlignment="1">
      <alignment vertical="center"/>
    </xf>
    <xf numFmtId="39" fontId="19" fillId="0" borderId="74" xfId="0" applyNumberFormat="1" applyFont="1" applyBorder="1" applyAlignment="1">
      <alignment horizontal="left" vertical="center"/>
    </xf>
    <xf numFmtId="39" fontId="18" fillId="0" borderId="74" xfId="0" applyNumberFormat="1" applyFont="1" applyBorder="1" applyAlignment="1">
      <alignment horizontal="left" vertical="center"/>
    </xf>
    <xf numFmtId="43" fontId="19" fillId="0" borderId="75" xfId="1" applyFont="1" applyFill="1" applyBorder="1" applyAlignment="1" applyProtection="1">
      <alignment horizontal="right" vertical="center" shrinkToFit="1"/>
    </xf>
    <xf numFmtId="0" fontId="19" fillId="0" borderId="163" xfId="0" applyFont="1" applyBorder="1" applyAlignment="1" applyProtection="1">
      <alignment vertical="center"/>
      <protection locked="0"/>
    </xf>
    <xf numFmtId="0" fontId="19" fillId="0" borderId="16" xfId="0" applyFont="1" applyBorder="1" applyAlignment="1" applyProtection="1">
      <alignment vertical="center"/>
      <protection locked="0"/>
    </xf>
    <xf numFmtId="0" fontId="19" fillId="0" borderId="163" xfId="0" applyFont="1" applyBorder="1" applyAlignment="1" applyProtection="1">
      <alignment horizontal="left" vertical="center"/>
      <protection locked="0"/>
    </xf>
    <xf numFmtId="43" fontId="41" fillId="0" borderId="0" xfId="0" applyNumberFormat="1" applyFont="1"/>
    <xf numFmtId="43" fontId="41" fillId="0" borderId="0" xfId="1" applyFont="1"/>
    <xf numFmtId="39" fontId="19" fillId="0" borderId="163" xfId="0" applyNumberFormat="1" applyFont="1" applyBorder="1" applyAlignment="1">
      <alignment horizontal="left" vertical="center"/>
    </xf>
    <xf numFmtId="39" fontId="19" fillId="0" borderId="72" xfId="0" applyNumberFormat="1" applyFont="1" applyBorder="1" applyAlignment="1">
      <alignment horizontal="left" vertical="center"/>
    </xf>
    <xf numFmtId="168" fontId="19" fillId="0" borderId="0" xfId="0" applyNumberFormat="1" applyFont="1" applyAlignment="1">
      <alignment vertical="center"/>
    </xf>
    <xf numFmtId="0" fontId="19" fillId="0" borderId="164" xfId="0" applyFont="1" applyBorder="1" applyAlignment="1">
      <alignment vertical="center"/>
    </xf>
    <xf numFmtId="39" fontId="19" fillId="0" borderId="165" xfId="0" applyNumberFormat="1" applyFont="1" applyBorder="1" applyAlignment="1">
      <alignment horizontal="left" vertical="center"/>
    </xf>
    <xf numFmtId="39" fontId="19" fillId="0" borderId="166" xfId="0" applyNumberFormat="1" applyFont="1" applyBorder="1" applyAlignment="1">
      <alignment horizontal="left" vertical="center"/>
    </xf>
    <xf numFmtId="39" fontId="19" fillId="0" borderId="167" xfId="0" applyNumberFormat="1" applyFont="1" applyBorder="1" applyAlignment="1">
      <alignment horizontal="left" vertical="center"/>
    </xf>
    <xf numFmtId="43" fontId="19" fillId="0" borderId="164" xfId="1" applyFont="1" applyFill="1" applyBorder="1" applyAlignment="1" applyProtection="1">
      <alignment horizontal="center" vertical="center" shrinkToFit="1"/>
    </xf>
    <xf numFmtId="43" fontId="19" fillId="0" borderId="164" xfId="1" applyFont="1" applyFill="1" applyBorder="1" applyAlignment="1" applyProtection="1">
      <alignment vertical="center" shrinkToFit="1"/>
    </xf>
    <xf numFmtId="0" fontId="19" fillId="0" borderId="164" xfId="0" applyFont="1" applyBorder="1" applyAlignment="1">
      <alignment vertical="center" shrinkToFit="1"/>
    </xf>
    <xf numFmtId="0" fontId="19" fillId="0" borderId="159" xfId="0" applyFont="1" applyBorder="1" applyAlignment="1">
      <alignment vertical="center"/>
    </xf>
    <xf numFmtId="39" fontId="19" fillId="0" borderId="160" xfId="0" applyNumberFormat="1" applyFont="1" applyBorder="1" applyAlignment="1">
      <alignment horizontal="left" vertical="center"/>
    </xf>
    <xf numFmtId="39" fontId="19" fillId="0" borderId="161" xfId="0" applyNumberFormat="1" applyFont="1" applyBorder="1" applyAlignment="1">
      <alignment horizontal="left" vertical="center"/>
    </xf>
    <xf numFmtId="39" fontId="19" fillId="0" borderId="162" xfId="0" applyNumberFormat="1" applyFont="1" applyBorder="1" applyAlignment="1">
      <alignment horizontal="left" vertical="center"/>
    </xf>
    <xf numFmtId="43" fontId="19" fillId="0" borderId="159" xfId="1" applyFont="1" applyFill="1" applyBorder="1" applyAlignment="1" applyProtection="1">
      <alignment horizontal="center" vertical="center" shrinkToFit="1"/>
    </xf>
    <xf numFmtId="43" fontId="19" fillId="0" borderId="159" xfId="1" applyFont="1" applyFill="1" applyBorder="1" applyAlignment="1" applyProtection="1">
      <alignment vertical="center" shrinkToFit="1"/>
    </xf>
    <xf numFmtId="0" fontId="19" fillId="0" borderId="159" xfId="0" applyFont="1" applyBorder="1" applyAlignment="1">
      <alignment vertical="center" shrinkToFit="1"/>
    </xf>
    <xf numFmtId="0" fontId="19" fillId="0" borderId="172" xfId="0" applyFont="1" applyBorder="1" applyAlignment="1">
      <alignment vertical="center"/>
    </xf>
    <xf numFmtId="39" fontId="19" fillId="0" borderId="173" xfId="0" applyNumberFormat="1" applyFont="1" applyBorder="1" applyAlignment="1">
      <alignment horizontal="left" vertical="center"/>
    </xf>
    <xf numFmtId="39" fontId="19" fillId="0" borderId="89" xfId="0" applyNumberFormat="1" applyFont="1" applyBorder="1" applyAlignment="1">
      <alignment horizontal="left" vertical="center"/>
    </xf>
    <xf numFmtId="39" fontId="19" fillId="0" borderId="174" xfId="0" applyNumberFormat="1" applyFont="1" applyBorder="1" applyAlignment="1">
      <alignment horizontal="left" vertical="center"/>
    </xf>
    <xf numFmtId="43" fontId="19" fillId="0" borderId="172" xfId="1" applyFont="1" applyFill="1" applyBorder="1" applyAlignment="1" applyProtection="1">
      <alignment horizontal="center" vertical="center" shrinkToFit="1"/>
    </xf>
    <xf numFmtId="43" fontId="19" fillId="0" borderId="172" xfId="1" applyFont="1" applyFill="1" applyBorder="1" applyAlignment="1" applyProtection="1">
      <alignment vertical="center" shrinkToFit="1"/>
    </xf>
    <xf numFmtId="0" fontId="19" fillId="0" borderId="172" xfId="0" applyFont="1" applyBorder="1" applyAlignment="1">
      <alignment vertical="center" shrinkToFit="1"/>
    </xf>
    <xf numFmtId="0" fontId="18" fillId="0" borderId="74" xfId="0" applyFont="1" applyBorder="1" applyAlignment="1" applyProtection="1">
      <alignment vertical="center"/>
      <protection locked="0"/>
    </xf>
    <xf numFmtId="0" fontId="19" fillId="0" borderId="163" xfId="0" applyFont="1" applyBorder="1" applyAlignment="1" applyProtection="1">
      <alignment vertical="center" shrinkToFit="1"/>
      <protection locked="0"/>
    </xf>
    <xf numFmtId="43" fontId="19" fillId="0" borderId="2" xfId="1" applyFont="1" applyFill="1" applyBorder="1" applyAlignment="1">
      <alignment vertical="center" shrinkToFit="1"/>
    </xf>
    <xf numFmtId="0" fontId="19" fillId="0" borderId="168" xfId="0" applyFont="1" applyBorder="1" applyAlignment="1">
      <alignment vertical="center"/>
    </xf>
    <xf numFmtId="0" fontId="19" fillId="0" borderId="169" xfId="0" applyFont="1" applyBorder="1" applyAlignment="1">
      <alignment vertical="center"/>
    </xf>
    <xf numFmtId="0" fontId="19" fillId="0" borderId="170" xfId="0" applyFont="1" applyBorder="1" applyAlignment="1">
      <alignment vertical="center"/>
    </xf>
    <xf numFmtId="0" fontId="19" fillId="0" borderId="171" xfId="0" applyFont="1" applyBorder="1" applyAlignment="1">
      <alignment vertical="center"/>
    </xf>
    <xf numFmtId="43" fontId="19" fillId="0" borderId="168" xfId="1" applyFont="1" applyFill="1" applyBorder="1" applyAlignment="1" applyProtection="1">
      <alignment vertical="center" shrinkToFit="1"/>
    </xf>
    <xf numFmtId="43" fontId="19" fillId="0" borderId="168" xfId="1" applyFont="1" applyFill="1" applyBorder="1" applyAlignment="1" applyProtection="1">
      <alignment horizontal="center" vertical="center" shrinkToFit="1"/>
    </xf>
    <xf numFmtId="174" fontId="19" fillId="0" borderId="168" xfId="1" applyNumberFormat="1" applyFont="1" applyFill="1" applyBorder="1" applyAlignment="1" applyProtection="1">
      <alignment vertical="center" shrinkToFit="1"/>
    </xf>
    <xf numFmtId="0" fontId="19" fillId="0" borderId="168" xfId="0" applyFont="1" applyBorder="1" applyAlignment="1">
      <alignment vertical="center" shrinkToFit="1"/>
    </xf>
    <xf numFmtId="43" fontId="19" fillId="0" borderId="0" xfId="1" applyFont="1" applyFill="1" applyBorder="1" applyAlignment="1" applyProtection="1">
      <alignment vertical="center" shrinkToFit="1"/>
    </xf>
    <xf numFmtId="0" fontId="18" fillId="0" borderId="64" xfId="0" applyFont="1" applyBorder="1" applyAlignment="1">
      <alignment vertical="center"/>
    </xf>
    <xf numFmtId="0" fontId="19" fillId="0" borderId="102" xfId="0" applyFont="1" applyBorder="1" applyAlignment="1">
      <alignment vertical="center"/>
    </xf>
    <xf numFmtId="0" fontId="18" fillId="0" borderId="102" xfId="0" applyFont="1" applyBorder="1" applyAlignment="1">
      <alignment horizontal="center" vertical="center"/>
    </xf>
    <xf numFmtId="43" fontId="18" fillId="0" borderId="102" xfId="1" applyFont="1" applyFill="1" applyBorder="1" applyAlignment="1" applyProtection="1">
      <alignment vertical="center" shrinkToFit="1"/>
    </xf>
    <xf numFmtId="43" fontId="18" fillId="0" borderId="64" xfId="1" applyFont="1" applyFill="1" applyBorder="1" applyAlignment="1" applyProtection="1">
      <alignment vertical="center" shrinkToFit="1"/>
    </xf>
    <xf numFmtId="43" fontId="18" fillId="0" borderId="65" xfId="1" applyFont="1" applyFill="1" applyBorder="1" applyAlignment="1">
      <alignment horizontal="center" vertical="center" shrinkToFit="1"/>
    </xf>
    <xf numFmtId="0" fontId="39" fillId="0" borderId="124" xfId="0" applyFont="1" applyBorder="1" applyAlignment="1">
      <alignment horizontal="center" vertical="center" shrinkToFit="1"/>
    </xf>
    <xf numFmtId="0" fontId="19" fillId="0" borderId="125" xfId="0" applyFont="1" applyBorder="1" applyAlignment="1">
      <alignment vertical="center"/>
    </xf>
    <xf numFmtId="0" fontId="19" fillId="0" borderId="126" xfId="0" applyFont="1" applyBorder="1" applyAlignment="1">
      <alignment vertical="center"/>
    </xf>
    <xf numFmtId="0" fontId="18" fillId="0" borderId="126" xfId="0" applyFont="1" applyBorder="1" applyAlignment="1">
      <alignment vertical="center"/>
    </xf>
    <xf numFmtId="43" fontId="18" fillId="0" borderId="126" xfId="1" applyFont="1" applyFill="1" applyBorder="1" applyAlignment="1">
      <alignment vertical="center"/>
    </xf>
    <xf numFmtId="43" fontId="19" fillId="0" borderId="126" xfId="1" applyFont="1" applyFill="1" applyBorder="1" applyAlignment="1">
      <alignment vertical="center" shrinkToFit="1"/>
    </xf>
    <xf numFmtId="43" fontId="18" fillId="0" borderId="125" xfId="1" applyFont="1" applyFill="1" applyBorder="1" applyAlignment="1">
      <alignment vertical="center" shrinkToFit="1"/>
    </xf>
    <xf numFmtId="43" fontId="18" fillId="6" borderId="128" xfId="0" applyNumberFormat="1" applyFont="1" applyFill="1" applyBorder="1" applyAlignment="1">
      <alignment vertical="center"/>
    </xf>
    <xf numFmtId="164" fontId="19" fillId="0" borderId="0" xfId="0" applyNumberFormat="1" applyFont="1" applyAlignment="1">
      <alignment vertical="center"/>
    </xf>
    <xf numFmtId="43" fontId="19" fillId="0" borderId="124" xfId="0" applyNumberFormat="1" applyFont="1" applyBorder="1" applyAlignment="1">
      <alignment vertical="center" shrinkToFit="1"/>
    </xf>
    <xf numFmtId="0" fontId="19" fillId="0" borderId="124" xfId="0" applyFont="1" applyBorder="1" applyAlignment="1">
      <alignment vertical="center"/>
    </xf>
    <xf numFmtId="43" fontId="19" fillId="0" borderId="126" xfId="1" applyFont="1" applyFill="1" applyBorder="1" applyAlignment="1">
      <alignment vertical="center"/>
    </xf>
    <xf numFmtId="174" fontId="19" fillId="0" borderId="126" xfId="1" applyNumberFormat="1" applyFont="1" applyFill="1" applyBorder="1" applyAlignment="1">
      <alignment vertical="center"/>
    </xf>
    <xf numFmtId="43" fontId="18" fillId="0" borderId="126" xfId="1" applyFont="1" applyFill="1" applyBorder="1" applyAlignment="1">
      <alignment horizontal="right" vertical="center"/>
    </xf>
    <xf numFmtId="43" fontId="18" fillId="6" borderId="127" xfId="0" applyNumberFormat="1" applyFont="1" applyFill="1" applyBorder="1" applyAlignment="1">
      <alignment vertical="center"/>
    </xf>
    <xf numFmtId="0" fontId="19" fillId="0" borderId="103" xfId="0" applyFont="1" applyBorder="1" applyAlignment="1">
      <alignment vertical="center"/>
    </xf>
    <xf numFmtId="0" fontId="39" fillId="0" borderId="68" xfId="0" applyFont="1" applyBorder="1" applyAlignment="1">
      <alignment horizontal="center" vertical="center"/>
    </xf>
    <xf numFmtId="0" fontId="39" fillId="0" borderId="0" xfId="0" quotePrefix="1" applyFont="1" applyAlignment="1">
      <alignment horizontal="center" vertical="center"/>
    </xf>
    <xf numFmtId="2" fontId="19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43" fontId="19" fillId="0" borderId="0" xfId="1" applyFont="1" applyFill="1" applyBorder="1" applyAlignment="1">
      <alignment horizontal="left" vertical="center"/>
    </xf>
    <xf numFmtId="43" fontId="19" fillId="0" borderId="0" xfId="1" applyFont="1" applyFill="1" applyAlignment="1">
      <alignment vertical="center"/>
    </xf>
    <xf numFmtId="174" fontId="19" fillId="0" borderId="0" xfId="1" applyNumberFormat="1" applyFont="1" applyFill="1" applyAlignment="1">
      <alignment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Alignment="1">
      <alignment horizontal="center" vertical="center"/>
    </xf>
    <xf numFmtId="0" fontId="19" fillId="0" borderId="0" xfId="0" quotePrefix="1" applyFont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174" fontId="19" fillId="0" borderId="0" xfId="1" applyNumberFormat="1" applyFont="1" applyFill="1" applyBorder="1" applyAlignment="1">
      <alignment vertical="center"/>
    </xf>
    <xf numFmtId="43" fontId="19" fillId="0" borderId="0" xfId="3" applyFont="1" applyFill="1" applyBorder="1" applyAlignment="1">
      <alignment vertical="center"/>
    </xf>
    <xf numFmtId="43" fontId="18" fillId="0" borderId="0" xfId="1" applyFont="1" applyFill="1" applyAlignment="1" applyProtection="1">
      <alignment vertical="center"/>
    </xf>
    <xf numFmtId="174" fontId="19" fillId="0" borderId="0" xfId="1" applyNumberFormat="1" applyFont="1" applyFill="1" applyAlignment="1" applyProtection="1">
      <alignment vertical="center"/>
    </xf>
    <xf numFmtId="43" fontId="13" fillId="0" borderId="0" xfId="1" applyFont="1" applyFill="1" applyBorder="1" applyAlignment="1" applyProtection="1">
      <alignment horizontal="center" vertical="top"/>
    </xf>
    <xf numFmtId="43" fontId="14" fillId="0" borderId="0" xfId="1" applyFont="1" applyFill="1" applyBorder="1" applyAlignment="1" applyProtection="1">
      <alignment vertical="top"/>
    </xf>
    <xf numFmtId="43" fontId="42" fillId="0" borderId="0" xfId="1" applyFont="1" applyFill="1" applyBorder="1" applyAlignment="1" applyProtection="1">
      <alignment horizontal="center" vertical="top"/>
      <protection locked="0"/>
    </xf>
    <xf numFmtId="43" fontId="14" fillId="0" borderId="0" xfId="1" applyFont="1" applyFill="1" applyBorder="1" applyAlignment="1" applyProtection="1">
      <alignment horizontal="center" vertical="top"/>
    </xf>
    <xf numFmtId="43" fontId="13" fillId="0" borderId="0" xfId="1" applyFont="1" applyFill="1" applyBorder="1" applyAlignment="1" applyProtection="1">
      <alignment vertical="top"/>
    </xf>
    <xf numFmtId="43" fontId="43" fillId="0" borderId="0" xfId="1" applyFont="1" applyFill="1" applyBorder="1" applyAlignment="1" applyProtection="1">
      <alignment horizontal="center" vertical="top"/>
    </xf>
    <xf numFmtId="43" fontId="13" fillId="0" borderId="0" xfId="1" applyFont="1" applyFill="1" applyBorder="1" applyAlignment="1" applyProtection="1">
      <alignment vertical="top"/>
      <protection locked="0"/>
    </xf>
    <xf numFmtId="43" fontId="43" fillId="0" borderId="0" xfId="1" applyFont="1" applyFill="1" applyBorder="1" applyAlignment="1" applyProtection="1">
      <alignment vertical="top"/>
    </xf>
    <xf numFmtId="43" fontId="14" fillId="0" borderId="0" xfId="1" applyFont="1" applyFill="1" applyBorder="1" applyAlignment="1" applyProtection="1">
      <alignment vertical="top"/>
      <protection locked="0"/>
    </xf>
    <xf numFmtId="43" fontId="14" fillId="0" borderId="28" xfId="1" applyFont="1" applyFill="1" applyBorder="1" applyAlignment="1" applyProtection="1">
      <alignment vertical="top"/>
    </xf>
    <xf numFmtId="43" fontId="14" fillId="0" borderId="28" xfId="1" applyFont="1" applyFill="1" applyBorder="1" applyAlignment="1" applyProtection="1">
      <alignment vertical="top"/>
      <protection locked="0"/>
    </xf>
    <xf numFmtId="43" fontId="14" fillId="0" borderId="28" xfId="1" applyFont="1" applyFill="1" applyBorder="1" applyAlignment="1" applyProtection="1">
      <alignment horizontal="left" vertical="top"/>
    </xf>
    <xf numFmtId="43" fontId="14" fillId="0" borderId="28" xfId="1" applyFont="1" applyFill="1" applyBorder="1" applyAlignment="1" applyProtection="1">
      <alignment horizontal="center" vertical="top"/>
      <protection locked="0"/>
    </xf>
    <xf numFmtId="43" fontId="14" fillId="0" borderId="28" xfId="1" applyFont="1" applyFill="1" applyBorder="1" applyAlignment="1" applyProtection="1">
      <alignment horizontal="right" vertical="top"/>
      <protection locked="0"/>
    </xf>
    <xf numFmtId="43" fontId="14" fillId="0" borderId="0" xfId="1" applyFont="1" applyFill="1" applyBorder="1" applyAlignment="1" applyProtection="1">
      <alignment horizontal="left" vertical="top"/>
    </xf>
    <xf numFmtId="43" fontId="14" fillId="0" borderId="0" xfId="1" applyFont="1" applyFill="1" applyBorder="1" applyAlignment="1" applyProtection="1">
      <alignment horizontal="center" vertical="top"/>
      <protection locked="0"/>
    </xf>
    <xf numFmtId="43" fontId="15" fillId="0" borderId="0" xfId="1" applyFont="1" applyFill="1" applyBorder="1" applyAlignment="1" applyProtection="1">
      <alignment vertical="top"/>
    </xf>
    <xf numFmtId="43" fontId="44" fillId="0" borderId="0" xfId="1" applyFont="1" applyFill="1" applyBorder="1" applyAlignment="1" applyProtection="1">
      <alignment vertical="top"/>
    </xf>
    <xf numFmtId="43" fontId="45" fillId="0" borderId="0" xfId="1" applyFont="1" applyFill="1" applyBorder="1" applyAlignment="1" applyProtection="1">
      <alignment vertical="top"/>
    </xf>
    <xf numFmtId="43" fontId="45" fillId="0" borderId="0" xfId="1" applyFont="1" applyFill="1" applyBorder="1" applyAlignment="1" applyProtection="1">
      <alignment horizontal="left" vertical="top"/>
    </xf>
    <xf numFmtId="43" fontId="45" fillId="0" borderId="0" xfId="1" applyFont="1" applyFill="1" applyBorder="1" applyAlignment="1" applyProtection="1">
      <alignment horizontal="center" vertical="top"/>
    </xf>
    <xf numFmtId="43" fontId="13" fillId="0" borderId="0" xfId="1" applyFont="1" applyFill="1" applyBorder="1" applyAlignment="1" applyProtection="1">
      <alignment horizontal="left" vertical="top"/>
    </xf>
    <xf numFmtId="43" fontId="14" fillId="0" borderId="0" xfId="1" applyFont="1" applyFill="1" applyBorder="1" applyAlignment="1" applyProtection="1">
      <alignment vertical="top" shrinkToFit="1"/>
    </xf>
    <xf numFmtId="172" fontId="44" fillId="0" borderId="0" xfId="1" applyNumberFormat="1" applyFont="1" applyFill="1" applyBorder="1" applyAlignment="1" applyProtection="1">
      <alignment horizontal="center" vertical="top"/>
    </xf>
    <xf numFmtId="197" fontId="44" fillId="0" borderId="0" xfId="1" applyNumberFormat="1" applyFont="1" applyFill="1" applyBorder="1" applyAlignment="1" applyProtection="1">
      <alignment horizontal="center" vertical="top"/>
    </xf>
    <xf numFmtId="0" fontId="14" fillId="0" borderId="0" xfId="1" applyNumberFormat="1" applyFont="1" applyFill="1" applyBorder="1" applyAlignment="1" applyProtection="1">
      <alignment horizontal="center" vertical="top"/>
    </xf>
    <xf numFmtId="43" fontId="42" fillId="0" borderId="0" xfId="1" applyFont="1" applyFill="1" applyBorder="1" applyAlignment="1" applyProtection="1">
      <alignment horizontal="left" vertical="top"/>
    </xf>
    <xf numFmtId="43" fontId="42" fillId="0" borderId="0" xfId="1" applyFont="1" applyFill="1" applyBorder="1" applyAlignment="1" applyProtection="1">
      <alignment vertical="top"/>
    </xf>
    <xf numFmtId="43" fontId="46" fillId="0" borderId="0" xfId="1" applyFont="1" applyFill="1" applyBorder="1" applyAlignment="1" applyProtection="1">
      <alignment vertical="top"/>
    </xf>
    <xf numFmtId="184" fontId="14" fillId="0" borderId="0" xfId="1" applyNumberFormat="1" applyFont="1" applyFill="1" applyBorder="1" applyAlignment="1" applyProtection="1">
      <alignment vertical="top"/>
    </xf>
    <xf numFmtId="43" fontId="14" fillId="0" borderId="0" xfId="1" quotePrefix="1" applyFont="1" applyFill="1" applyBorder="1" applyAlignment="1" applyProtection="1">
      <alignment vertical="top"/>
    </xf>
    <xf numFmtId="43" fontId="13" fillId="0" borderId="0" xfId="1" applyFont="1" applyFill="1" applyBorder="1" applyAlignment="1">
      <alignment vertical="center"/>
    </xf>
    <xf numFmtId="43" fontId="13" fillId="0" borderId="0" xfId="1" applyFont="1" applyFill="1" applyBorder="1" applyAlignment="1" applyProtection="1">
      <alignment vertical="center"/>
    </xf>
    <xf numFmtId="43" fontId="13" fillId="0" borderId="0" xfId="1" applyFont="1" applyFill="1" applyBorder="1" applyAlignment="1" applyProtection="1">
      <alignment horizontal="right" vertical="center"/>
    </xf>
    <xf numFmtId="43" fontId="13" fillId="0" borderId="102" xfId="1" applyFont="1" applyFill="1" applyBorder="1" applyAlignment="1" applyProtection="1">
      <alignment vertical="top"/>
    </xf>
    <xf numFmtId="43" fontId="13" fillId="0" borderId="0" xfId="1" applyFont="1" applyFill="1" applyBorder="1" applyAlignment="1" applyProtection="1">
      <alignment vertical="top" shrinkToFit="1"/>
    </xf>
    <xf numFmtId="43" fontId="44" fillId="0" borderId="0" xfId="1" quotePrefix="1" applyFont="1" applyFill="1" applyBorder="1" applyAlignment="1" applyProtection="1">
      <alignment vertical="top"/>
    </xf>
    <xf numFmtId="184" fontId="14" fillId="0" borderId="0" xfId="1" applyNumberFormat="1" applyFont="1" applyFill="1" applyBorder="1" applyAlignment="1" applyProtection="1">
      <alignment horizontal="left" vertical="top"/>
    </xf>
    <xf numFmtId="43" fontId="37" fillId="0" borderId="0" xfId="1" applyFont="1" applyFill="1" applyBorder="1" applyAlignment="1" applyProtection="1">
      <alignment vertical="top"/>
    </xf>
    <xf numFmtId="175" fontId="14" fillId="0" borderId="0" xfId="1" applyNumberFormat="1" applyFont="1" applyFill="1" applyBorder="1" applyAlignment="1" applyProtection="1">
      <alignment vertical="top"/>
    </xf>
    <xf numFmtId="43" fontId="13" fillId="0" borderId="0" xfId="1" applyFont="1" applyFill="1" applyBorder="1" applyAlignment="1" applyProtection="1">
      <alignment horizontal="right" vertical="top"/>
    </xf>
    <xf numFmtId="43" fontId="47" fillId="0" borderId="0" xfId="1" applyFont="1" applyFill="1" applyBorder="1" applyAlignment="1" applyProtection="1">
      <alignment vertical="top"/>
    </xf>
    <xf numFmtId="43" fontId="14" fillId="0" borderId="0" xfId="1" applyFont="1" applyFill="1" applyBorder="1" applyAlignment="1">
      <alignment horizontal="center" vertical="top"/>
    </xf>
    <xf numFmtId="188" fontId="46" fillId="0" borderId="0" xfId="1" applyNumberFormat="1" applyFont="1" applyFill="1" applyBorder="1" applyAlignment="1" applyProtection="1">
      <alignment vertical="top"/>
    </xf>
    <xf numFmtId="174" fontId="14" fillId="0" borderId="0" xfId="1" applyNumberFormat="1" applyFont="1" applyFill="1" applyBorder="1" applyAlignment="1" applyProtection="1">
      <alignment vertical="top"/>
    </xf>
    <xf numFmtId="43" fontId="13" fillId="0" borderId="0" xfId="1" quotePrefix="1" applyFont="1" applyFill="1" applyBorder="1" applyAlignment="1" applyProtection="1">
      <alignment vertical="top"/>
    </xf>
    <xf numFmtId="43" fontId="13" fillId="0" borderId="0" xfId="1" applyFont="1" applyFill="1" applyBorder="1" applyAlignment="1">
      <alignment vertical="top"/>
    </xf>
    <xf numFmtId="0" fontId="14" fillId="0" borderId="0" xfId="0" applyFont="1" applyAlignment="1">
      <alignment vertical="top"/>
    </xf>
    <xf numFmtId="0" fontId="48" fillId="0" borderId="0" xfId="3" applyNumberFormat="1" applyFont="1" applyFill="1" applyBorder="1" applyAlignment="1" applyProtection="1">
      <alignment horizontal="center" vertical="center"/>
    </xf>
    <xf numFmtId="39" fontId="14" fillId="0" borderId="0" xfId="0" applyNumberFormat="1" applyFont="1" applyAlignment="1">
      <alignment horizontal="left" vertical="center"/>
    </xf>
    <xf numFmtId="43" fontId="14" fillId="0" borderId="0" xfId="0" applyNumberFormat="1" applyFont="1" applyAlignment="1">
      <alignment vertical="center"/>
    </xf>
    <xf numFmtId="43" fontId="14" fillId="0" borderId="0" xfId="1" applyFont="1" applyFill="1" applyBorder="1" applyAlignment="1" applyProtection="1">
      <alignment vertical="center"/>
    </xf>
    <xf numFmtId="39" fontId="14" fillId="0" borderId="0" xfId="0" applyNumberFormat="1" applyFont="1" applyAlignment="1">
      <alignment vertical="center"/>
    </xf>
    <xf numFmtId="0" fontId="49" fillId="0" borderId="0" xfId="3" applyNumberFormat="1" applyFont="1" applyFill="1" applyBorder="1" applyAlignment="1" applyProtection="1">
      <alignment horizontal="center" vertical="center"/>
    </xf>
    <xf numFmtId="43" fontId="13" fillId="0" borderId="102" xfId="1" applyFont="1" applyFill="1" applyBorder="1" applyAlignment="1" applyProtection="1">
      <alignment vertical="center"/>
    </xf>
    <xf numFmtId="43" fontId="13" fillId="0" borderId="0" xfId="1" applyFont="1" applyFill="1" applyBorder="1" applyAlignment="1" applyProtection="1">
      <alignment vertical="center" shrinkToFit="1"/>
    </xf>
    <xf numFmtId="39" fontId="13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 shrinkToFit="1"/>
    </xf>
    <xf numFmtId="43" fontId="13" fillId="0" borderId="102" xfId="0" applyNumberFormat="1" applyFont="1" applyBorder="1" applyAlignment="1">
      <alignment vertical="center"/>
    </xf>
    <xf numFmtId="43" fontId="13" fillId="0" borderId="0" xfId="1" applyFont="1" applyFill="1" applyBorder="1" applyAlignment="1" applyProtection="1">
      <alignment horizontal="center" vertical="center"/>
    </xf>
    <xf numFmtId="43" fontId="13" fillId="0" borderId="0" xfId="1" applyFont="1" applyFill="1" applyBorder="1" applyAlignment="1" applyProtection="1">
      <alignment horizontal="left" vertical="center" shrinkToFit="1"/>
    </xf>
    <xf numFmtId="39" fontId="14" fillId="0" borderId="0" xfId="2" applyFont="1" applyAlignment="1">
      <alignment horizontal="left" vertical="center"/>
    </xf>
    <xf numFmtId="43" fontId="14" fillId="0" borderId="0" xfId="1" applyFont="1" applyFill="1" applyBorder="1" applyAlignment="1" applyProtection="1">
      <alignment vertical="center"/>
      <protection locked="0"/>
    </xf>
    <xf numFmtId="43" fontId="46" fillId="0" borderId="0" xfId="1" applyFont="1" applyFill="1" applyBorder="1" applyAlignment="1" applyProtection="1">
      <alignment vertical="center"/>
    </xf>
    <xf numFmtId="165" fontId="14" fillId="0" borderId="0" xfId="0" applyNumberFormat="1" applyFont="1" applyAlignment="1">
      <alignment horizontal="center" vertical="center"/>
    </xf>
    <xf numFmtId="184" fontId="46" fillId="0" borderId="0" xfId="1" applyNumberFormat="1" applyFont="1" applyFill="1" applyBorder="1" applyAlignment="1" applyProtection="1">
      <alignment horizontal="left" vertical="center"/>
    </xf>
    <xf numFmtId="184" fontId="14" fillId="0" borderId="0" xfId="1" applyNumberFormat="1" applyFont="1" applyFill="1" applyBorder="1" applyAlignment="1" applyProtection="1">
      <alignment horizontal="left" vertical="center"/>
    </xf>
    <xf numFmtId="43" fontId="47" fillId="0" borderId="0" xfId="1" applyFont="1" applyFill="1" applyBorder="1" applyAlignment="1" applyProtection="1">
      <alignment horizontal="center" vertical="top"/>
    </xf>
    <xf numFmtId="185" fontId="14" fillId="0" borderId="0" xfId="1" applyNumberFormat="1" applyFont="1" applyFill="1" applyBorder="1" applyAlignment="1" applyProtection="1">
      <alignment vertical="top"/>
    </xf>
    <xf numFmtId="0" fontId="14" fillId="0" borderId="0" xfId="0" applyFont="1" applyAlignment="1">
      <alignment vertical="top" wrapText="1"/>
    </xf>
    <xf numFmtId="43" fontId="14" fillId="0" borderId="0" xfId="1" applyFont="1" applyFill="1" applyBorder="1" applyAlignment="1" applyProtection="1">
      <alignment horizontal="left" vertical="top" wrapText="1"/>
    </xf>
    <xf numFmtId="43" fontId="14" fillId="0" borderId="0" xfId="3" applyFont="1" applyFill="1" applyBorder="1" applyAlignment="1">
      <alignment horizontal="left" vertical="center"/>
    </xf>
    <xf numFmtId="43" fontId="47" fillId="0" borderId="0" xfId="3" applyFont="1" applyFill="1" applyBorder="1" applyAlignment="1">
      <alignment horizontal="center" vertical="center" shrinkToFit="1"/>
    </xf>
    <xf numFmtId="43" fontId="14" fillId="0" borderId="0" xfId="1" applyFont="1" applyFill="1" applyBorder="1" applyAlignment="1" applyProtection="1">
      <alignment horizontal="right" vertical="top"/>
    </xf>
    <xf numFmtId="43" fontId="47" fillId="0" borderId="0" xfId="1" applyFont="1" applyFill="1" applyBorder="1" applyAlignment="1" applyProtection="1">
      <alignment horizontal="center" vertical="top"/>
      <protection locked="0"/>
    </xf>
    <xf numFmtId="185" fontId="14" fillId="0" borderId="0" xfId="1" applyNumberFormat="1" applyFont="1" applyFill="1" applyBorder="1" applyAlignment="1" applyProtection="1">
      <alignment horizontal="left" vertical="top"/>
    </xf>
    <xf numFmtId="0" fontId="50" fillId="0" borderId="0" xfId="0" applyFont="1" applyAlignment="1">
      <alignment horizontal="center"/>
    </xf>
    <xf numFmtId="0" fontId="50" fillId="0" borderId="0" xfId="0" applyFont="1"/>
    <xf numFmtId="0" fontId="45" fillId="0" borderId="0" xfId="0" applyFont="1"/>
    <xf numFmtId="43" fontId="50" fillId="0" borderId="0" xfId="1" applyFont="1" applyFill="1"/>
    <xf numFmtId="0" fontId="45" fillId="0" borderId="0" xfId="0" applyFont="1" applyAlignment="1">
      <alignment horizontal="right"/>
    </xf>
    <xf numFmtId="43" fontId="42" fillId="0" borderId="0" xfId="1" applyFont="1" applyFill="1" applyBorder="1"/>
    <xf numFmtId="43" fontId="45" fillId="0" borderId="0" xfId="1" applyFont="1" applyFill="1" applyBorder="1"/>
    <xf numFmtId="43" fontId="45" fillId="0" borderId="28" xfId="1" applyFont="1" applyFill="1" applyBorder="1"/>
    <xf numFmtId="43" fontId="45" fillId="0" borderId="13" xfId="1" applyFont="1" applyFill="1" applyBorder="1"/>
    <xf numFmtId="1" fontId="45" fillId="0" borderId="0" xfId="0" applyNumberFormat="1" applyFont="1"/>
    <xf numFmtId="0" fontId="45" fillId="0" borderId="0" xfId="0" applyFont="1" applyAlignment="1">
      <alignment horizontal="center"/>
    </xf>
    <xf numFmtId="43" fontId="45" fillId="0" borderId="0" xfId="0" applyNumberFormat="1" applyFont="1"/>
    <xf numFmtId="198" fontId="45" fillId="0" borderId="0" xfId="0" quotePrefix="1" applyNumberFormat="1" applyFont="1" applyAlignment="1">
      <alignment horizontal="center"/>
    </xf>
    <xf numFmtId="43" fontId="45" fillId="0" borderId="0" xfId="1" applyFont="1" applyFill="1"/>
    <xf numFmtId="174" fontId="45" fillId="0" borderId="0" xfId="1" applyNumberFormat="1" applyFont="1" applyFill="1" applyBorder="1"/>
    <xf numFmtId="0" fontId="50" fillId="0" borderId="0" xfId="0" applyFont="1" applyAlignment="1">
      <alignment horizontal="right"/>
    </xf>
    <xf numFmtId="43" fontId="50" fillId="0" borderId="102" xfId="1" applyFont="1" applyFill="1" applyBorder="1"/>
    <xf numFmtId="43" fontId="50" fillId="0" borderId="0" xfId="1" applyFont="1" applyFill="1" applyBorder="1"/>
    <xf numFmtId="43" fontId="14" fillId="0" borderId="0" xfId="1" applyFont="1" applyFill="1" applyBorder="1" applyAlignment="1" applyProtection="1">
      <alignment horizontal="left" vertical="top"/>
      <protection locked="0"/>
    </xf>
    <xf numFmtId="0" fontId="13" fillId="0" borderId="0" xfId="0" applyFont="1" applyAlignment="1">
      <alignment vertical="top"/>
    </xf>
    <xf numFmtId="184" fontId="13" fillId="0" borderId="0" xfId="1" applyNumberFormat="1" applyFont="1" applyFill="1" applyBorder="1" applyAlignment="1" applyProtection="1">
      <alignment horizontal="left" vertical="top"/>
    </xf>
    <xf numFmtId="0" fontId="19" fillId="0" borderId="146" xfId="0" applyFont="1" applyBorder="1" applyAlignment="1">
      <alignment vertical="center"/>
    </xf>
    <xf numFmtId="43" fontId="23" fillId="0" borderId="0" xfId="1" applyFont="1" applyFill="1" applyAlignment="1">
      <alignment vertical="center"/>
    </xf>
    <xf numFmtId="0" fontId="22" fillId="0" borderId="0" xfId="0" applyFont="1" applyAlignment="1">
      <alignment vertical="center"/>
    </xf>
    <xf numFmtId="0" fontId="23" fillId="0" borderId="114" xfId="0" applyFont="1" applyBorder="1" applyAlignment="1">
      <alignment vertical="center"/>
    </xf>
    <xf numFmtId="2" fontId="23" fillId="0" borderId="114" xfId="0" applyNumberFormat="1" applyFont="1" applyBorder="1" applyAlignment="1">
      <alignment vertical="center"/>
    </xf>
    <xf numFmtId="0" fontId="22" fillId="0" borderId="159" xfId="0" applyFont="1" applyBorder="1" applyAlignment="1">
      <alignment horizontal="center" vertical="center"/>
    </xf>
    <xf numFmtId="0" fontId="22" fillId="0" borderId="161" xfId="0" applyFont="1" applyBorder="1" applyAlignment="1">
      <alignment horizontal="center" vertical="center"/>
    </xf>
    <xf numFmtId="43" fontId="22" fillId="0" borderId="159" xfId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43" fontId="23" fillId="0" borderId="2" xfId="1" applyFont="1" applyFill="1" applyBorder="1" applyAlignment="1">
      <alignment vertical="center"/>
    </xf>
    <xf numFmtId="174" fontId="23" fillId="0" borderId="2" xfId="1" applyNumberFormat="1" applyFont="1" applyFill="1" applyBorder="1" applyAlignment="1">
      <alignment vertical="center"/>
    </xf>
    <xf numFmtId="0" fontId="23" fillId="0" borderId="17" xfId="0" applyFont="1" applyBorder="1" applyAlignment="1">
      <alignment vertical="center" shrinkToFit="1"/>
    </xf>
    <xf numFmtId="43" fontId="24" fillId="0" borderId="0" xfId="1" applyFont="1" applyFill="1" applyAlignment="1">
      <alignment vertical="center"/>
    </xf>
    <xf numFmtId="43" fontId="23" fillId="0" borderId="0" xfId="0" applyNumberFormat="1" applyFont="1" applyAlignment="1">
      <alignment vertical="center"/>
    </xf>
    <xf numFmtId="174" fontId="23" fillId="0" borderId="0" xfId="0" applyNumberFormat="1" applyFont="1" applyAlignment="1">
      <alignment vertical="center"/>
    </xf>
    <xf numFmtId="43" fontId="22" fillId="0" borderId="0" xfId="0" applyNumberFormat="1" applyFont="1" applyAlignment="1">
      <alignment vertical="center"/>
    </xf>
    <xf numFmtId="0" fontId="23" fillId="0" borderId="69" xfId="0" applyFont="1" applyBorder="1" applyAlignment="1">
      <alignment vertical="center"/>
    </xf>
    <xf numFmtId="43" fontId="23" fillId="0" borderId="69" xfId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43" fontId="22" fillId="0" borderId="69" xfId="1" applyFont="1" applyFill="1" applyBorder="1" applyAlignment="1">
      <alignment vertical="center" shrinkToFit="1"/>
    </xf>
    <xf numFmtId="0" fontId="22" fillId="0" borderId="17" xfId="0" applyFont="1" applyBorder="1" applyAlignment="1">
      <alignment vertical="center" shrinkToFit="1"/>
    </xf>
    <xf numFmtId="43" fontId="22" fillId="0" borderId="0" xfId="1" applyFont="1" applyFill="1" applyAlignment="1">
      <alignment vertical="center"/>
    </xf>
    <xf numFmtId="174" fontId="2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43" fontId="22" fillId="0" borderId="126" xfId="1" applyFont="1" applyFill="1" applyBorder="1" applyAlignment="1">
      <alignment vertical="center"/>
    </xf>
    <xf numFmtId="0" fontId="23" fillId="0" borderId="0" xfId="0" applyFont="1" applyAlignment="1">
      <alignment horizontal="center" vertical="center"/>
    </xf>
    <xf numFmtId="43" fontId="18" fillId="0" borderId="68" xfId="1" applyFont="1" applyFill="1" applyBorder="1" applyAlignment="1">
      <alignment horizontal="right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43" fontId="23" fillId="0" borderId="0" xfId="1" applyFont="1" applyFill="1"/>
    <xf numFmtId="0" fontId="23" fillId="0" borderId="0" xfId="0" applyFont="1" applyAlignment="1">
      <alignment horizontal="left"/>
    </xf>
    <xf numFmtId="164" fontId="19" fillId="0" borderId="0" xfId="1" applyNumberFormat="1" applyFont="1" applyFill="1" applyBorder="1" applyAlignment="1">
      <alignment vertical="center"/>
    </xf>
    <xf numFmtId="177" fontId="19" fillId="0" borderId="0" xfId="1" applyNumberFormat="1" applyFont="1" applyFill="1" applyAlignment="1">
      <alignment vertical="center"/>
    </xf>
    <xf numFmtId="175" fontId="29" fillId="13" borderId="146" xfId="0" applyNumberFormat="1" applyFont="1" applyFill="1" applyBorder="1"/>
    <xf numFmtId="0" fontId="24" fillId="13" borderId="163" xfId="0" applyFont="1" applyFill="1" applyBorder="1"/>
    <xf numFmtId="0" fontId="24" fillId="13" borderId="146" xfId="0" applyFont="1" applyFill="1" applyBorder="1"/>
    <xf numFmtId="0" fontId="24" fillId="13" borderId="150" xfId="0" applyFont="1" applyFill="1" applyBorder="1"/>
    <xf numFmtId="0" fontId="24" fillId="13" borderId="100" xfId="0" applyFont="1" applyFill="1" applyBorder="1" applyAlignment="1">
      <alignment vertical="center"/>
    </xf>
    <xf numFmtId="0" fontId="8" fillId="0" borderId="0" xfId="7"/>
    <xf numFmtId="0" fontId="17" fillId="0" borderId="0" xfId="6" applyFont="1"/>
    <xf numFmtId="0" fontId="17" fillId="0" borderId="0" xfId="8" applyFont="1"/>
    <xf numFmtId="4" fontId="17" fillId="0" borderId="0" xfId="8" applyNumberFormat="1" applyFont="1" applyAlignment="1">
      <alignment horizontal="center"/>
    </xf>
    <xf numFmtId="0" fontId="16" fillId="0" borderId="0" xfId="8" applyFont="1"/>
    <xf numFmtId="4" fontId="16" fillId="0" borderId="0" xfId="8" applyNumberFormat="1" applyFont="1"/>
    <xf numFmtId="0" fontId="17" fillId="0" borderId="0" xfId="8" applyFont="1" applyAlignment="1">
      <alignment horizontal="left"/>
    </xf>
    <xf numFmtId="0" fontId="17" fillId="0" borderId="10" xfId="8" applyFont="1" applyBorder="1" applyAlignment="1">
      <alignment horizontal="left"/>
    </xf>
    <xf numFmtId="0" fontId="17" fillId="0" borderId="10" xfId="7" applyFont="1" applyBorder="1"/>
    <xf numFmtId="0" fontId="16" fillId="0" borderId="2" xfId="7" applyFont="1" applyBorder="1" applyAlignment="1">
      <alignment horizontal="center"/>
    </xf>
    <xf numFmtId="0" fontId="17" fillId="0" borderId="2" xfId="8" applyFont="1" applyBorder="1" applyAlignment="1">
      <alignment horizontal="left"/>
    </xf>
    <xf numFmtId="0" fontId="17" fillId="0" borderId="182" xfId="7" applyFont="1" applyBorder="1" applyAlignment="1">
      <alignment horizontal="center"/>
    </xf>
    <xf numFmtId="0" fontId="52" fillId="0" borderId="13" xfId="7" applyFont="1" applyBorder="1" applyAlignment="1">
      <alignment horizontal="left" vertical="center"/>
    </xf>
    <xf numFmtId="43" fontId="17" fillId="0" borderId="16" xfId="9" applyFont="1" applyBorder="1" applyAlignment="1">
      <alignment horizontal="right"/>
    </xf>
    <xf numFmtId="0" fontId="17" fillId="0" borderId="76" xfId="7" applyFont="1" applyBorder="1" applyAlignment="1">
      <alignment horizontal="center"/>
    </xf>
    <xf numFmtId="43" fontId="17" fillId="0" borderId="75" xfId="9" applyFont="1" applyBorder="1" applyAlignment="1">
      <alignment horizontal="left"/>
    </xf>
    <xf numFmtId="0" fontId="17" fillId="0" borderId="10" xfId="7" applyFont="1" applyBorder="1" applyAlignment="1">
      <alignment horizontal="center"/>
    </xf>
    <xf numFmtId="0" fontId="17" fillId="0" borderId="76" xfId="6" applyFont="1" applyBorder="1" applyAlignment="1">
      <alignment horizontal="center"/>
    </xf>
    <xf numFmtId="43" fontId="17" fillId="0" borderId="76" xfId="9" applyFont="1" applyBorder="1" applyAlignment="1">
      <alignment horizontal="center"/>
    </xf>
    <xf numFmtId="0" fontId="17" fillId="0" borderId="76" xfId="6" applyFont="1" applyBorder="1" applyAlignment="1">
      <alignment horizontal="center" vertical="center"/>
    </xf>
    <xf numFmtId="0" fontId="17" fillId="0" borderId="75" xfId="7" applyFont="1" applyBorder="1" applyAlignment="1">
      <alignment horizontal="center"/>
    </xf>
    <xf numFmtId="0" fontId="17" fillId="0" borderId="75" xfId="6" applyFont="1" applyBorder="1" applyAlignment="1">
      <alignment horizontal="center"/>
    </xf>
    <xf numFmtId="43" fontId="17" fillId="0" borderId="75" xfId="9" applyFont="1" applyBorder="1" applyAlignment="1">
      <alignment horizontal="center"/>
    </xf>
    <xf numFmtId="0" fontId="17" fillId="0" borderId="75" xfId="6" applyFont="1" applyBorder="1" applyAlignment="1">
      <alignment horizontal="center" vertical="center"/>
    </xf>
    <xf numFmtId="0" fontId="17" fillId="0" borderId="75" xfId="9" applyNumberFormat="1" applyFont="1" applyBorder="1" applyAlignment="1">
      <alignment horizontal="center"/>
    </xf>
    <xf numFmtId="0" fontId="17" fillId="0" borderId="75" xfId="7" applyFont="1" applyBorder="1"/>
    <xf numFmtId="0" fontId="17" fillId="0" borderId="121" xfId="6" applyFont="1" applyBorder="1" applyAlignment="1">
      <alignment horizontal="center" vertical="center"/>
    </xf>
    <xf numFmtId="0" fontId="17" fillId="0" borderId="121" xfId="6" applyFont="1" applyBorder="1" applyAlignment="1">
      <alignment horizontal="center"/>
    </xf>
    <xf numFmtId="43" fontId="17" fillId="0" borderId="121" xfId="9" applyFont="1" applyBorder="1" applyAlignment="1">
      <alignment horizontal="center" vertical="center"/>
    </xf>
    <xf numFmtId="43" fontId="17" fillId="0" borderId="121" xfId="9" applyFont="1" applyBorder="1" applyAlignment="1">
      <alignment horizontal="center"/>
    </xf>
    <xf numFmtId="0" fontId="17" fillId="0" borderId="104" xfId="8" applyFont="1" applyBorder="1" applyAlignment="1">
      <alignment horizontal="center"/>
    </xf>
    <xf numFmtId="0" fontId="16" fillId="0" borderId="105" xfId="8" applyFont="1" applyBorder="1" applyAlignment="1">
      <alignment horizontal="center"/>
    </xf>
    <xf numFmtId="4" fontId="17" fillId="0" borderId="105" xfId="8" applyNumberFormat="1" applyFont="1" applyBorder="1" applyAlignment="1">
      <alignment horizontal="center"/>
    </xf>
    <xf numFmtId="0" fontId="17" fillId="0" borderId="105" xfId="8" applyFont="1" applyBorder="1" applyAlignment="1">
      <alignment horizontal="center"/>
    </xf>
    <xf numFmtId="4" fontId="17" fillId="0" borderId="105" xfId="10" applyNumberFormat="1" applyFont="1" applyBorder="1"/>
    <xf numFmtId="4" fontId="16" fillId="0" borderId="105" xfId="8" applyNumberFormat="1" applyFont="1" applyBorder="1" applyAlignment="1">
      <alignment horizontal="center"/>
    </xf>
    <xf numFmtId="43" fontId="17" fillId="0" borderId="105" xfId="10" applyFont="1" applyBorder="1"/>
    <xf numFmtId="43" fontId="16" fillId="0" borderId="183" xfId="10" applyFont="1" applyBorder="1" applyAlignment="1">
      <alignment horizontal="center"/>
    </xf>
    <xf numFmtId="164" fontId="16" fillId="0" borderId="115" xfId="8" applyNumberFormat="1" applyFont="1" applyBorder="1"/>
    <xf numFmtId="164" fontId="17" fillId="0" borderId="106" xfId="8" applyNumberFormat="1" applyFont="1" applyBorder="1"/>
    <xf numFmtId="0" fontId="17" fillId="0" borderId="184" xfId="8" applyFont="1" applyBorder="1" applyAlignment="1">
      <alignment horizontal="center"/>
    </xf>
    <xf numFmtId="164" fontId="17" fillId="0" borderId="13" xfId="8" applyNumberFormat="1" applyFont="1" applyBorder="1"/>
    <xf numFmtId="4" fontId="17" fillId="0" borderId="13" xfId="8" applyNumberFormat="1" applyFont="1" applyBorder="1" applyAlignment="1">
      <alignment horizontal="center"/>
    </xf>
    <xf numFmtId="0" fontId="17" fillId="0" borderId="13" xfId="8" applyFont="1" applyBorder="1" applyAlignment="1">
      <alignment horizontal="left"/>
    </xf>
    <xf numFmtId="0" fontId="17" fillId="0" borderId="12" xfId="8" applyFont="1" applyBorder="1" applyAlignment="1">
      <alignment horizontal="left"/>
    </xf>
    <xf numFmtId="43" fontId="17" fillId="0" borderId="16" xfId="10" applyFont="1" applyBorder="1" applyAlignment="1"/>
    <xf numFmtId="0" fontId="17" fillId="0" borderId="185" xfId="8" applyFont="1" applyBorder="1"/>
    <xf numFmtId="43" fontId="17" fillId="0" borderId="13" xfId="9" applyFont="1" applyFill="1" applyBorder="1" applyAlignment="1">
      <alignment horizontal="left"/>
    </xf>
    <xf numFmtId="43" fontId="17" fillId="0" borderId="12" xfId="9" applyFont="1" applyFill="1" applyBorder="1" applyAlignment="1">
      <alignment horizontal="left"/>
    </xf>
    <xf numFmtId="0" fontId="16" fillId="0" borderId="184" xfId="8" applyFont="1" applyBorder="1" applyAlignment="1">
      <alignment horizontal="center"/>
    </xf>
    <xf numFmtId="0" fontId="17" fillId="0" borderId="13" xfId="7" applyFont="1" applyBorder="1"/>
    <xf numFmtId="43" fontId="16" fillId="0" borderId="16" xfId="10" applyFont="1" applyBorder="1" applyAlignment="1"/>
    <xf numFmtId="0" fontId="16" fillId="0" borderId="185" xfId="8" applyFont="1" applyBorder="1"/>
    <xf numFmtId="0" fontId="16" fillId="0" borderId="50" xfId="8" applyFont="1" applyBorder="1" applyAlignment="1">
      <alignment horizontal="center"/>
    </xf>
    <xf numFmtId="0" fontId="17" fillId="0" borderId="47" xfId="7" applyFont="1" applyBorder="1"/>
    <xf numFmtId="4" fontId="17" fillId="0" borderId="47" xfId="8" applyNumberFormat="1" applyFont="1" applyBorder="1" applyAlignment="1">
      <alignment horizontal="center"/>
    </xf>
    <xf numFmtId="0" fontId="16" fillId="0" borderId="47" xfId="8" applyFont="1" applyBorder="1" applyAlignment="1">
      <alignment horizontal="center"/>
    </xf>
    <xf numFmtId="43" fontId="16" fillId="0" borderId="121" xfId="10" applyFont="1" applyBorder="1" applyAlignment="1"/>
    <xf numFmtId="0" fontId="16" fillId="0" borderId="8" xfId="8" applyFont="1" applyBorder="1"/>
    <xf numFmtId="0" fontId="16" fillId="0" borderId="0" xfId="8" applyFont="1" applyAlignment="1">
      <alignment horizontal="center"/>
    </xf>
    <xf numFmtId="0" fontId="17" fillId="0" borderId="0" xfId="7" applyFont="1"/>
    <xf numFmtId="43" fontId="16" fillId="0" borderId="0" xfId="10" applyFont="1" applyBorder="1" applyAlignment="1"/>
    <xf numFmtId="0" fontId="17" fillId="0" borderId="0" xfId="8" applyFont="1" applyAlignment="1">
      <alignment horizontal="center"/>
    </xf>
    <xf numFmtId="4" fontId="17" fillId="0" borderId="0" xfId="9" applyNumberFormat="1" applyFont="1" applyBorder="1" applyAlignment="1">
      <alignment horizontal="center"/>
    </xf>
    <xf numFmtId="0" fontId="17" fillId="0" borderId="0" xfId="7" applyFont="1" applyAlignment="1">
      <alignment horizontal="center"/>
    </xf>
    <xf numFmtId="43" fontId="17" fillId="0" borderId="0" xfId="9" applyFont="1" applyBorder="1"/>
    <xf numFmtId="43" fontId="16" fillId="0" borderId="0" xfId="9" applyFont="1" applyBorder="1"/>
    <xf numFmtId="0" fontId="17" fillId="0" borderId="0" xfId="7" applyFont="1" applyAlignment="1">
      <alignment horizontal="left"/>
    </xf>
    <xf numFmtId="0" fontId="16" fillId="0" borderId="0" xfId="8" applyFont="1" applyAlignment="1">
      <alignment horizontal="left"/>
    </xf>
    <xf numFmtId="0" fontId="14" fillId="0" borderId="27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6" borderId="62" xfId="0" applyFont="1" applyFill="1" applyBorder="1" applyAlignment="1">
      <alignment horizontal="center"/>
    </xf>
    <xf numFmtId="0" fontId="14" fillId="6" borderId="63" xfId="0" applyFont="1" applyFill="1" applyBorder="1" applyAlignment="1">
      <alignment horizontal="center"/>
    </xf>
    <xf numFmtId="0" fontId="14" fillId="17" borderId="27" xfId="0" applyFont="1" applyFill="1" applyBorder="1" applyAlignment="1">
      <alignment horizontal="center"/>
    </xf>
    <xf numFmtId="0" fontId="14" fillId="17" borderId="12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2" fontId="14" fillId="8" borderId="13" xfId="2" applyNumberFormat="1" applyFont="1" applyFill="1" applyBorder="1" applyAlignment="1">
      <alignment horizontal="center"/>
    </xf>
    <xf numFmtId="2" fontId="14" fillId="8" borderId="12" xfId="2" applyNumberFormat="1" applyFont="1" applyFill="1" applyBorder="1" applyAlignment="1">
      <alignment horizontal="center"/>
    </xf>
    <xf numFmtId="2" fontId="14" fillId="0" borderId="27" xfId="0" applyNumberFormat="1" applyFont="1" applyBorder="1" applyAlignment="1">
      <alignment horizontal="center"/>
    </xf>
    <xf numFmtId="2" fontId="14" fillId="0" borderId="13" xfId="0" applyNumberFormat="1" applyFont="1" applyBorder="1" applyAlignment="1">
      <alignment horizontal="center"/>
    </xf>
    <xf numFmtId="0" fontId="16" fillId="0" borderId="13" xfId="8" applyFont="1" applyBorder="1" applyAlignment="1">
      <alignment horizontal="right"/>
    </xf>
    <xf numFmtId="0" fontId="16" fillId="0" borderId="12" xfId="8" applyFont="1" applyBorder="1" applyAlignment="1">
      <alignment horizontal="right"/>
    </xf>
    <xf numFmtId="0" fontId="16" fillId="0" borderId="0" xfId="6" applyFont="1" applyAlignment="1">
      <alignment horizontal="left"/>
    </xf>
    <xf numFmtId="0" fontId="17" fillId="0" borderId="0" xfId="6" applyFont="1" applyAlignment="1">
      <alignment horizontal="left"/>
    </xf>
    <xf numFmtId="0" fontId="17" fillId="0" borderId="0" xfId="8" applyFont="1" applyAlignment="1">
      <alignment horizontal="left"/>
    </xf>
    <xf numFmtId="0" fontId="16" fillId="0" borderId="10" xfId="6" applyFont="1" applyBorder="1" applyAlignment="1">
      <alignment horizontal="center" vertical="center"/>
    </xf>
    <xf numFmtId="0" fontId="16" fillId="0" borderId="2" xfId="6" applyFont="1" applyBorder="1" applyAlignment="1">
      <alignment horizontal="center" vertical="center"/>
    </xf>
    <xf numFmtId="0" fontId="16" fillId="0" borderId="15" xfId="6" applyFont="1" applyBorder="1" applyAlignment="1">
      <alignment horizontal="center" vertical="center"/>
    </xf>
    <xf numFmtId="43" fontId="16" fillId="0" borderId="10" xfId="9" applyFont="1" applyBorder="1" applyAlignment="1">
      <alignment horizontal="center" vertical="center"/>
    </xf>
    <xf numFmtId="43" fontId="16" fillId="0" borderId="2" xfId="9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51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66" xfId="0" applyFont="1" applyBorder="1" applyAlignment="1">
      <alignment horizontal="center" vertical="center"/>
    </xf>
    <xf numFmtId="0" fontId="22" fillId="0" borderId="69" xfId="0" applyFont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22" fillId="0" borderId="68" xfId="0" applyFont="1" applyBorder="1" applyAlignment="1">
      <alignment horizontal="center" vertical="center"/>
    </xf>
    <xf numFmtId="0" fontId="22" fillId="0" borderId="70" xfId="0" applyFont="1" applyBorder="1" applyAlignment="1">
      <alignment horizontal="center" vertical="center"/>
    </xf>
    <xf numFmtId="0" fontId="22" fillId="0" borderId="138" xfId="0" applyFont="1" applyBorder="1" applyAlignment="1">
      <alignment horizontal="center" vertical="center"/>
    </xf>
    <xf numFmtId="0" fontId="22" fillId="0" borderId="114" xfId="0" applyFont="1" applyBorder="1" applyAlignment="1">
      <alignment horizontal="center" vertical="center"/>
    </xf>
    <xf numFmtId="0" fontId="22" fillId="0" borderId="103" xfId="0" applyFont="1" applyBorder="1" applyAlignment="1">
      <alignment horizontal="center" vertical="center"/>
    </xf>
    <xf numFmtId="43" fontId="22" fillId="0" borderId="66" xfId="1" applyFont="1" applyFill="1" applyBorder="1" applyAlignment="1">
      <alignment horizontal="center" vertical="center"/>
    </xf>
    <xf numFmtId="43" fontId="22" fillId="0" borderId="69" xfId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3" fontId="18" fillId="0" borderId="64" xfId="1" applyFont="1" applyFill="1" applyBorder="1" applyAlignment="1">
      <alignment horizontal="center" vertical="center" shrinkToFit="1"/>
    </xf>
    <xf numFmtId="43" fontId="18" fillId="0" borderId="65" xfId="1" applyFont="1" applyFill="1" applyBorder="1" applyAlignment="1">
      <alignment horizontal="center" vertical="center" shrinkToFit="1"/>
    </xf>
    <xf numFmtId="43" fontId="18" fillId="0" borderId="126" xfId="1" applyFont="1" applyFill="1" applyBorder="1" applyAlignment="1">
      <alignment horizontal="center" vertical="center" shrinkToFit="1"/>
    </xf>
    <xf numFmtId="43" fontId="18" fillId="0" borderId="127" xfId="1" applyFont="1" applyFill="1" applyBorder="1" applyAlignment="1">
      <alignment horizontal="center" vertical="center" shrinkToFit="1"/>
    </xf>
    <xf numFmtId="174" fontId="18" fillId="0" borderId="66" xfId="1" applyNumberFormat="1" applyFont="1" applyFill="1" applyBorder="1" applyAlignment="1" applyProtection="1">
      <alignment horizontal="center" vertical="center" shrinkToFit="1"/>
    </xf>
    <xf numFmtId="174" fontId="18" fillId="0" borderId="69" xfId="1" applyNumberFormat="1" applyFont="1" applyFill="1" applyBorder="1" applyAlignment="1" applyProtection="1">
      <alignment horizontal="center" vertical="center" shrinkToFit="1"/>
    </xf>
    <xf numFmtId="0" fontId="18" fillId="0" borderId="66" xfId="0" applyFont="1" applyBorder="1" applyAlignment="1">
      <alignment horizontal="center" vertical="center" shrinkToFit="1"/>
    </xf>
    <xf numFmtId="0" fontId="18" fillId="0" borderId="69" xfId="0" applyFont="1" applyBorder="1" applyAlignment="1">
      <alignment horizontal="center" vertical="center" shrinkToFit="1"/>
    </xf>
    <xf numFmtId="0" fontId="18" fillId="0" borderId="67" xfId="0" applyFont="1" applyBorder="1" applyAlignment="1">
      <alignment horizontal="center" vertical="center" shrinkToFit="1"/>
    </xf>
    <xf numFmtId="0" fontId="18" fillId="0" borderId="68" xfId="0" applyFont="1" applyBorder="1" applyAlignment="1">
      <alignment horizontal="center" vertical="center" shrinkToFit="1"/>
    </xf>
    <xf numFmtId="0" fontId="18" fillId="0" borderId="70" xfId="0" applyFont="1" applyBorder="1" applyAlignment="1">
      <alignment horizontal="center" vertical="center" shrinkToFit="1"/>
    </xf>
    <xf numFmtId="0" fontId="18" fillId="0" borderId="138" xfId="0" applyFont="1" applyBorder="1" applyAlignment="1">
      <alignment horizontal="center" vertical="center" shrinkToFit="1"/>
    </xf>
    <xf numFmtId="0" fontId="18" fillId="0" borderId="114" xfId="0" applyFont="1" applyBorder="1" applyAlignment="1">
      <alignment horizontal="center" vertical="center" shrinkToFit="1"/>
    </xf>
    <xf numFmtId="0" fontId="18" fillId="0" borderId="103" xfId="0" applyFont="1" applyBorder="1" applyAlignment="1">
      <alignment horizontal="center" vertical="center" shrinkToFit="1"/>
    </xf>
    <xf numFmtId="43" fontId="18" fillId="0" borderId="66" xfId="1" applyFont="1" applyFill="1" applyBorder="1" applyAlignment="1">
      <alignment horizontal="center" vertical="center" shrinkToFit="1"/>
    </xf>
    <xf numFmtId="43" fontId="18" fillId="0" borderId="69" xfId="1" applyFont="1" applyFill="1" applyBorder="1" applyAlignment="1">
      <alignment horizontal="center" vertical="center" shrinkToFit="1"/>
    </xf>
    <xf numFmtId="43" fontId="14" fillId="0" borderId="0" xfId="1" applyFont="1" applyFill="1" applyBorder="1" applyAlignment="1" applyProtection="1">
      <alignment vertical="top"/>
    </xf>
    <xf numFmtId="43" fontId="13" fillId="0" borderId="0" xfId="1" applyFont="1" applyFill="1" applyBorder="1" applyAlignment="1" applyProtection="1">
      <alignment vertical="top"/>
    </xf>
    <xf numFmtId="43" fontId="13" fillId="0" borderId="0" xfId="1" applyFont="1" applyFill="1" applyBorder="1" applyAlignment="1" applyProtection="1">
      <alignment vertical="center"/>
    </xf>
    <xf numFmtId="192" fontId="14" fillId="0" borderId="0" xfId="1" applyNumberFormat="1" applyFont="1" applyFill="1" applyBorder="1" applyAlignment="1" applyProtection="1">
      <alignment horizontal="center" vertical="top"/>
    </xf>
    <xf numFmtId="43" fontId="13" fillId="0" borderId="0" xfId="1" applyFont="1" applyFill="1" applyBorder="1" applyAlignment="1" applyProtection="1">
      <alignment horizontal="center" vertical="top"/>
    </xf>
    <xf numFmtId="43" fontId="13" fillId="0" borderId="0" xfId="1" applyFont="1" applyFill="1" applyBorder="1" applyAlignment="1" applyProtection="1">
      <alignment horizontal="center" vertical="top"/>
      <protection locked="0"/>
    </xf>
    <xf numFmtId="43" fontId="14" fillId="0" borderId="0" xfId="1" applyFont="1" applyFill="1" applyBorder="1" applyAlignment="1" applyProtection="1">
      <alignment horizontal="center" vertical="top"/>
    </xf>
    <xf numFmtId="43" fontId="46" fillId="0" borderId="0" xfId="1" applyFont="1" applyFill="1" applyBorder="1" applyAlignment="1" applyProtection="1">
      <alignment horizontal="center" vertical="top"/>
    </xf>
    <xf numFmtId="43" fontId="14" fillId="0" borderId="28" xfId="1" applyFont="1" applyFill="1" applyBorder="1" applyAlignment="1" applyProtection="1">
      <alignment horizontal="center" vertical="top"/>
    </xf>
    <xf numFmtId="43" fontId="19" fillId="0" borderId="10" xfId="1" applyFont="1" applyBorder="1" applyAlignment="1">
      <alignment horizontal="center" vertical="center"/>
    </xf>
    <xf numFmtId="43" fontId="19" fillId="0" borderId="2" xfId="1" applyFont="1" applyBorder="1" applyAlignment="1">
      <alignment horizontal="center" vertical="center"/>
    </xf>
    <xf numFmtId="43" fontId="19" fillId="0" borderId="15" xfId="1" applyFont="1" applyBorder="1" applyAlignment="1">
      <alignment horizontal="center" vertical="center"/>
    </xf>
    <xf numFmtId="0" fontId="18" fillId="0" borderId="0" xfId="0" applyFont="1" applyAlignment="1">
      <alignment horizontal="center" vertical="top"/>
    </xf>
    <xf numFmtId="0" fontId="19" fillId="0" borderId="10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43" fontId="19" fillId="0" borderId="10" xfId="1" applyFont="1" applyBorder="1" applyAlignment="1">
      <alignment horizontal="center" vertical="center" shrinkToFit="1"/>
    </xf>
    <xf numFmtId="43" fontId="19" fillId="0" borderId="2" xfId="1" applyFont="1" applyBorder="1" applyAlignment="1">
      <alignment horizontal="center" vertical="center" shrinkToFit="1"/>
    </xf>
    <xf numFmtId="177" fontId="19" fillId="0" borderId="104" xfId="3" applyNumberFormat="1" applyFont="1" applyBorder="1" applyAlignment="1">
      <alignment horizontal="center" vertical="center" shrinkToFit="1"/>
    </xf>
    <xf numFmtId="177" fontId="19" fillId="0" borderId="105" xfId="3" applyNumberFormat="1" applyFont="1" applyBorder="1" applyAlignment="1">
      <alignment horizontal="center" vertical="center" shrinkToFit="1"/>
    </xf>
    <xf numFmtId="177" fontId="19" fillId="0" borderId="106" xfId="3" applyNumberFormat="1" applyFont="1" applyBorder="1" applyAlignment="1">
      <alignment horizontal="center" vertical="center" shrinkToFit="1"/>
    </xf>
    <xf numFmtId="43" fontId="19" fillId="0" borderId="0" xfId="0" applyNumberFormat="1" applyFont="1" applyAlignment="1">
      <alignment horizontal="center" shrinkToFit="1"/>
    </xf>
    <xf numFmtId="0" fontId="19" fillId="0" borderId="28" xfId="0" applyFont="1" applyBorder="1" applyAlignment="1">
      <alignment horizontal="center"/>
    </xf>
    <xf numFmtId="0" fontId="19" fillId="0" borderId="0" xfId="0" applyFont="1" applyAlignment="1">
      <alignment horizontal="center" shrinkToFit="1"/>
    </xf>
    <xf numFmtId="0" fontId="16" fillId="0" borderId="0" xfId="0" applyFont="1" applyAlignment="1">
      <alignment horizontal="center"/>
    </xf>
    <xf numFmtId="43" fontId="19" fillId="0" borderId="0" xfId="0" applyNumberFormat="1" applyFont="1" applyAlignment="1">
      <alignment horizontal="center"/>
    </xf>
    <xf numFmtId="0" fontId="30" fillId="0" borderId="62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43" fontId="18" fillId="0" borderId="16" xfId="3" applyFont="1" applyFill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43" fontId="18" fillId="0" borderId="62" xfId="3" applyFont="1" applyFill="1" applyBorder="1" applyAlignment="1">
      <alignment horizontal="center" vertical="center" shrinkToFit="1"/>
    </xf>
    <xf numFmtId="0" fontId="14" fillId="0" borderId="63" xfId="0" applyFont="1" applyBorder="1"/>
    <xf numFmtId="0" fontId="14" fillId="0" borderId="61" xfId="0" applyFont="1" applyBorder="1"/>
    <xf numFmtId="43" fontId="19" fillId="0" borderId="110" xfId="3" applyFont="1" applyFill="1" applyBorder="1" applyAlignment="1">
      <alignment horizontal="center" vertical="center" shrinkToFit="1"/>
    </xf>
    <xf numFmtId="43" fontId="19" fillId="0" borderId="109" xfId="3" applyFont="1" applyFill="1" applyBorder="1" applyAlignment="1">
      <alignment horizontal="center" vertical="center" shrinkToFit="1"/>
    </xf>
    <xf numFmtId="43" fontId="19" fillId="0" borderId="112" xfId="3" applyFont="1" applyFill="1" applyBorder="1" applyAlignment="1">
      <alignment horizontal="center" vertical="center" shrinkToFit="1"/>
    </xf>
    <xf numFmtId="43" fontId="19" fillId="0" borderId="123" xfId="3" applyFont="1" applyFill="1" applyBorder="1" applyAlignment="1">
      <alignment horizontal="center" vertical="center" shrinkToFit="1"/>
    </xf>
    <xf numFmtId="43" fontId="19" fillId="0" borderId="27" xfId="3" applyFont="1" applyFill="1" applyBorder="1" applyAlignment="1">
      <alignment horizontal="center" vertical="center" shrinkToFit="1"/>
    </xf>
    <xf numFmtId="43" fontId="19" fillId="0" borderId="120" xfId="3" applyFont="1" applyFill="1" applyBorder="1" applyAlignment="1">
      <alignment horizontal="center" vertical="center" shrinkToFit="1"/>
    </xf>
    <xf numFmtId="43" fontId="18" fillId="0" borderId="41" xfId="3" applyFont="1" applyFill="1" applyBorder="1" applyAlignment="1">
      <alignment horizontal="center" vertical="center" shrinkToFit="1"/>
    </xf>
    <xf numFmtId="43" fontId="18" fillId="0" borderId="35" xfId="3" applyFont="1" applyFill="1" applyBorder="1" applyAlignment="1">
      <alignment horizontal="center" vertical="center" shrinkToFit="1"/>
    </xf>
    <xf numFmtId="43" fontId="18" fillId="0" borderId="44" xfId="3" applyFont="1" applyFill="1" applyBorder="1" applyAlignment="1">
      <alignment horizontal="center" vertical="center" shrinkToFit="1"/>
    </xf>
    <xf numFmtId="43" fontId="18" fillId="0" borderId="34" xfId="3" applyFont="1" applyFill="1" applyBorder="1" applyAlignment="1">
      <alignment horizontal="center" vertical="center" shrinkToFit="1"/>
    </xf>
    <xf numFmtId="43" fontId="18" fillId="0" borderId="59" xfId="3" applyFont="1" applyFill="1" applyBorder="1" applyAlignment="1">
      <alignment horizontal="center" vertical="center" shrinkToFit="1"/>
    </xf>
    <xf numFmtId="43" fontId="18" fillId="0" borderId="6" xfId="3" applyFont="1" applyFill="1" applyBorder="1" applyAlignment="1">
      <alignment horizontal="center" vertical="center" shrinkToFit="1"/>
    </xf>
    <xf numFmtId="43" fontId="18" fillId="0" borderId="18" xfId="3" applyFont="1" applyFill="1" applyBorder="1" applyAlignment="1">
      <alignment horizontal="center" vertical="center" shrinkToFit="1"/>
    </xf>
    <xf numFmtId="43" fontId="18" fillId="0" borderId="23" xfId="3" applyFont="1" applyFill="1" applyBorder="1" applyAlignment="1">
      <alignment horizontal="center" vertical="center" shrinkToFit="1"/>
    </xf>
    <xf numFmtId="43" fontId="19" fillId="0" borderId="157" xfId="3" applyFont="1" applyFill="1" applyBorder="1" applyAlignment="1">
      <alignment horizontal="center" vertical="center" shrinkToFit="1"/>
    </xf>
    <xf numFmtId="43" fontId="19" fillId="0" borderId="25" xfId="3" applyFont="1" applyFill="1" applyBorder="1" applyAlignment="1">
      <alignment horizontal="center" vertical="center" shrinkToFit="1"/>
    </xf>
    <xf numFmtId="43" fontId="19" fillId="0" borderId="168" xfId="3" applyFont="1" applyFill="1" applyBorder="1" applyAlignment="1">
      <alignment horizontal="left" vertical="center" shrinkToFit="1"/>
    </xf>
    <xf numFmtId="43" fontId="19" fillId="0" borderId="75" xfId="3" applyFont="1" applyFill="1" applyBorder="1" applyAlignment="1">
      <alignment horizontal="left" vertical="center" shrinkToFit="1"/>
    </xf>
    <xf numFmtId="0" fontId="13" fillId="0" borderId="0" xfId="0" applyFont="1" applyAlignment="1">
      <alignment horizontal="center" vertical="center"/>
    </xf>
    <xf numFmtId="43" fontId="13" fillId="0" borderId="62" xfId="0" applyNumberFormat="1" applyFont="1" applyBorder="1" applyAlignment="1">
      <alignment horizontal="center"/>
    </xf>
    <xf numFmtId="0" fontId="13" fillId="0" borderId="63" xfId="0" applyFont="1" applyBorder="1" applyAlignment="1">
      <alignment horizontal="center"/>
    </xf>
    <xf numFmtId="0" fontId="13" fillId="0" borderId="61" xfId="0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107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58" xfId="0" applyFont="1" applyBorder="1" applyAlignment="1">
      <alignment horizontal="center"/>
    </xf>
    <xf numFmtId="0" fontId="14" fillId="0" borderId="49" xfId="0" applyFont="1" applyBorder="1" applyAlignment="1">
      <alignment horizontal="center"/>
    </xf>
    <xf numFmtId="0" fontId="14" fillId="0" borderId="51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07" xfId="0" applyFont="1" applyBorder="1" applyAlignment="1">
      <alignment horizontal="center" shrinkToFit="1"/>
    </xf>
    <xf numFmtId="0" fontId="14" fillId="0" borderId="0" xfId="0" applyFont="1" applyAlignment="1">
      <alignment horizontal="center" shrinkToFit="1"/>
    </xf>
    <xf numFmtId="0" fontId="24" fillId="0" borderId="107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58" xfId="0" applyFont="1" applyBorder="1" applyAlignment="1">
      <alignment horizontal="center"/>
    </xf>
    <xf numFmtId="0" fontId="22" fillId="0" borderId="49" xfId="0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107" xfId="0" applyFont="1" applyBorder="1" applyAlignment="1">
      <alignment horizontal="center" shrinkToFit="1"/>
    </xf>
    <xf numFmtId="0" fontId="23" fillId="0" borderId="0" xfId="0" applyFont="1" applyAlignment="1">
      <alignment horizontal="center" shrinkToFit="1"/>
    </xf>
  </cellXfs>
  <cellStyles count="11">
    <cellStyle name="Normal 2 3" xfId="5"/>
    <cellStyle name="Normal_47อบ.23017" xfId="2"/>
    <cellStyle name="เครื่องหมายจุลภาค" xfId="1" builtinId="3"/>
    <cellStyle name="เครื่องหมายจุลภาค 2 2" xfId="3"/>
    <cellStyle name="เครื่องหมายจุลภาค_Sheet2" xfId="10"/>
    <cellStyle name="จุลภาค 2" xfId="9"/>
    <cellStyle name="ปกติ" xfId="0" builtinId="0"/>
    <cellStyle name="ปกติ 3" xfId="7"/>
    <cellStyle name="ปกติ_Sheet1" xfId="6"/>
    <cellStyle name="ปกติ_Sheet2" xfId="8"/>
    <cellStyle name="ปกติ_สรุปผลการประมาณราคาค่าก่อสร้าง" xfId="4"/>
  </cellStyles>
  <dxfs count="0"/>
  <tableStyles count="0" defaultTableStyle="TableStyleMedium9" defaultPivotStyle="PivotStyleLight16"/>
  <colors>
    <mruColors>
      <color rgb="FF0000FF"/>
      <color rgb="FFFFFFCC"/>
      <color rgb="FF66FF99"/>
      <color rgb="FF00FF00"/>
      <color rgb="FFFFFF99"/>
      <color rgb="FF000066"/>
      <color rgb="FFE4F2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190500</xdr:colOff>
      <xdr:row>21</xdr:row>
      <xdr:rowOff>243840</xdr:rowOff>
    </xdr:from>
    <xdr:to>
      <xdr:col>24</xdr:col>
      <xdr:colOff>346080</xdr:colOff>
      <xdr:row>65</xdr:row>
      <xdr:rowOff>23714</xdr:rowOff>
    </xdr:to>
    <xdr:pic>
      <xdr:nvPicPr>
        <xdr:cNvPr id="2049" name="Picture 1" descr="http://4.bp.blogspot.com/-5WOvxxfOnmA/U7T99xc3rEI/AAAAAAAAAlc/Mh6LELPU3p8/s1600/001.PNG">
          <a:extLst>
            <a:ext uri="{FF2B5EF4-FFF2-40B4-BE49-F238E27FC236}">
              <a16:creationId xmlns:a16="http://schemas.microsoft.com/office/drawing/2014/main" xmlns="" id="{00000000-0008-0000-05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67700" y="5516880"/>
          <a:ext cx="5040000" cy="5533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594360</xdr:colOff>
      <xdr:row>3</xdr:row>
      <xdr:rowOff>53340</xdr:rowOff>
    </xdr:from>
    <xdr:to>
      <xdr:col>24</xdr:col>
      <xdr:colOff>140340</xdr:colOff>
      <xdr:row>5</xdr:row>
      <xdr:rowOff>58004</xdr:rowOff>
    </xdr:to>
    <xdr:pic>
      <xdr:nvPicPr>
        <xdr:cNvPr id="4" name="Picture 1" descr="http://4.bp.blogspot.com/-5WOvxxfOnmA/U7T99xc3rEI/AAAAAAAAAlc/Mh6LELPU3p8/s1600/001.PNG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061960" y="876300"/>
          <a:ext cx="5040000" cy="553304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.&#3611;&#3656;&#3634;&#3605;&#3638;&#3591;/&#3617;.1-2-3/&#3617;.2/&#3611;&#3619;&#3632;&#3617;&#3634;&#3603;&#3619;&#3634;&#3588;&#3612;&#3609;&#3633;&#3591;&#3585;&#3633;&#3657;&#3609;&#3604;&#3636;&#3609;%20&#3617;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29;&#3610;&#3605;.&#3611;&#3656;&#3634;&#3605;&#3638;&#3591;/&#3606;&#3609;&#3609;%20&#3617;.4-&#3617;.7/&#3606;&#3609;&#3609;&#3621;&#3634;&#3604;&#3618;&#3634;&#3591;%200.05%20&#3617;.%20169%20&#3617;.&#3627;&#3609;&#3657;&#3634;&#3585;&#3634;&#3619;&#3652;&#3615;&#3615;&#3657;&#3634;%20v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ปริมาณงานและราคา"/>
      <sheetName val="สรุป"/>
      <sheetName val="แบบสรุป "/>
      <sheetName val="ตาราคำณวนถนนใหม่"/>
      <sheetName val="งานต้นทุน ราง"/>
      <sheetName val="ข้อมูลวัสดุ "/>
      <sheetName val="งานวางท่อคสล. 0.40 ม."/>
      <sheetName val="คำนวนเหล็ก"/>
      <sheetName val="ตารางขนส่ง"/>
    </sheetNames>
    <sheetDataSet>
      <sheetData sheetId="0"/>
      <sheetData sheetId="1" refreshError="1"/>
      <sheetData sheetId="2">
        <row r="4">
          <cell r="B4" t="str">
            <v xml:space="preserve">โครงการ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เสนอราคา"/>
      <sheetName val="ใบแจ้งปริมาณงานและราคา"/>
      <sheetName val="สรุปใหม่"/>
      <sheetName val="แบบสรุป "/>
      <sheetName val="ตารางเทียบF"/>
      <sheetName val="Sheet1"/>
      <sheetName val="ข้อมูลวัสดุ "/>
      <sheetName val="คำนวนเหล็ก"/>
      <sheetName val="ตารางขนส่ง"/>
    </sheetNames>
    <sheetDataSet>
      <sheetData sheetId="0"/>
      <sheetData sheetId="1"/>
      <sheetData sheetId="2">
        <row r="3">
          <cell r="C3" t="str">
            <v>ซ่อมสร้างถนนลาดยางแอสฟัลติกคอนกรีต สายทาง 1089 ตำบลป่าตึง อำเภอแม่จัน จังหวัดเชียงราย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CA208"/>
  <sheetViews>
    <sheetView view="pageBreakPreview" topLeftCell="A13" zoomScaleNormal="90" zoomScaleSheetLayoutView="100" workbookViewId="0">
      <pane xSplit="8" topLeftCell="AV1" activePane="topRight" state="frozen"/>
      <selection pane="topRight" activeCell="A32" sqref="A32:XFD32"/>
    </sheetView>
  </sheetViews>
  <sheetFormatPr defaultColWidth="9.140625" defaultRowHeight="21" x14ac:dyDescent="0.45"/>
  <cols>
    <col min="1" max="1" width="4.7109375" style="175" customWidth="1"/>
    <col min="2" max="2" width="10.5703125" style="175" customWidth="1"/>
    <col min="3" max="3" width="9.5703125" style="525" customWidth="1"/>
    <col min="4" max="4" width="10.7109375" style="175" customWidth="1"/>
    <col min="5" max="5" width="11" style="175" customWidth="1"/>
    <col min="6" max="6" width="11.140625" style="175" customWidth="1"/>
    <col min="7" max="7" width="6" style="175" customWidth="1"/>
    <col min="8" max="8" width="47.28515625" style="175" customWidth="1"/>
    <col min="9" max="9" width="14" style="521" customWidth="1"/>
    <col min="10" max="23" width="9.140625" style="175" customWidth="1"/>
    <col min="24" max="41" width="9.140625" style="407" customWidth="1"/>
    <col min="42" max="61" width="9.140625" style="175" customWidth="1"/>
    <col min="62" max="62" width="9.140625" style="175" hidden="1" customWidth="1"/>
    <col min="63" max="63" width="15.7109375" style="175" customWidth="1"/>
    <col min="64" max="64" width="6.5703125" style="175" customWidth="1"/>
    <col min="65" max="65" width="12.140625" style="175" customWidth="1"/>
    <col min="66" max="66" width="14.7109375" style="175" hidden="1" customWidth="1"/>
    <col min="67" max="67" width="14.140625" style="175" hidden="1" customWidth="1"/>
    <col min="68" max="68" width="13.7109375" style="175" hidden="1" customWidth="1"/>
    <col min="69" max="70" width="10.42578125" style="175" hidden="1" customWidth="1"/>
    <col min="71" max="71" width="10.140625" style="175" hidden="1" customWidth="1"/>
    <col min="72" max="72" width="9.85546875" style="175" hidden="1" customWidth="1"/>
    <col min="73" max="73" width="9.42578125" style="175" hidden="1" customWidth="1"/>
    <col min="74" max="74" width="10.85546875" style="175" hidden="1" customWidth="1"/>
    <col min="75" max="75" width="9.85546875" style="175" hidden="1" customWidth="1"/>
    <col min="76" max="76" width="11.42578125" style="175" hidden="1" customWidth="1"/>
    <col min="77" max="77" width="13.140625" style="175" hidden="1" customWidth="1"/>
    <col min="78" max="78" width="12.5703125" style="175" hidden="1" customWidth="1"/>
    <col min="79" max="79" width="0" style="175" hidden="1" customWidth="1"/>
    <col min="80" max="16384" width="9.140625" style="175"/>
  </cols>
  <sheetData>
    <row r="1" spans="2:79" x14ac:dyDescent="0.45">
      <c r="B1" s="396" t="s">
        <v>724</v>
      </c>
      <c r="C1" s="397"/>
      <c r="D1" s="398"/>
      <c r="E1" s="399" t="s">
        <v>74</v>
      </c>
      <c r="F1" s="400"/>
      <c r="H1" s="401" t="s">
        <v>40</v>
      </c>
      <c r="I1" s="402" t="s">
        <v>89</v>
      </c>
      <c r="J1" s="402"/>
      <c r="K1" s="403">
        <f>C2</f>
        <v>32.5</v>
      </c>
      <c r="L1" s="402"/>
      <c r="M1" s="402"/>
      <c r="N1" s="402"/>
      <c r="O1" s="402"/>
      <c r="P1" s="402"/>
      <c r="Q1" s="402"/>
      <c r="R1" s="402"/>
      <c r="S1" s="402"/>
      <c r="T1" s="402"/>
      <c r="U1" s="403"/>
      <c r="V1" s="402"/>
      <c r="W1" s="402"/>
      <c r="X1" s="404"/>
      <c r="Y1" s="405"/>
      <c r="Z1" s="404"/>
      <c r="AA1" s="406"/>
      <c r="AB1" s="404"/>
      <c r="AC1" s="404"/>
      <c r="AD1" s="404"/>
      <c r="AE1" s="404"/>
      <c r="AF1" s="404"/>
      <c r="AG1" s="404"/>
      <c r="AH1" s="404"/>
      <c r="AI1" s="404"/>
      <c r="AJ1" s="404"/>
      <c r="AK1" s="404"/>
      <c r="AL1" s="404"/>
      <c r="AM1" s="404"/>
      <c r="BN1" s="408" t="s">
        <v>56</v>
      </c>
      <c r="BO1" s="409"/>
      <c r="BP1" s="409"/>
      <c r="BQ1" s="409"/>
      <c r="BR1" s="409"/>
      <c r="BS1" s="409"/>
      <c r="BT1" s="409"/>
      <c r="BU1" s="409"/>
      <c r="BV1" s="409"/>
    </row>
    <row r="2" spans="2:79" ht="21.75" thickBot="1" x14ac:dyDescent="0.5">
      <c r="B2" s="410" t="s">
        <v>29</v>
      </c>
      <c r="C2" s="411">
        <f>กรอกข้อมูล!D11</f>
        <v>32.5</v>
      </c>
      <c r="D2" s="412" t="s">
        <v>30</v>
      </c>
      <c r="E2" s="413">
        <f>กรอกข้อมูล!D11</f>
        <v>32.5</v>
      </c>
      <c r="F2" s="412" t="s">
        <v>30</v>
      </c>
      <c r="G2" s="403"/>
      <c r="H2" s="414" t="s">
        <v>1</v>
      </c>
      <c r="I2" s="415" t="s">
        <v>13</v>
      </c>
      <c r="J2" s="1052">
        <v>15.5</v>
      </c>
      <c r="K2" s="1053"/>
      <c r="L2" s="1052">
        <v>16.5</v>
      </c>
      <c r="M2" s="1053"/>
      <c r="N2" s="1052">
        <v>17.5</v>
      </c>
      <c r="O2" s="1053"/>
      <c r="P2" s="1052">
        <v>18.5</v>
      </c>
      <c r="Q2" s="1053"/>
      <c r="R2" s="1052">
        <v>19.5</v>
      </c>
      <c r="S2" s="1053"/>
      <c r="T2" s="1052">
        <v>20.5</v>
      </c>
      <c r="U2" s="1053"/>
      <c r="V2" s="1052">
        <v>21.5</v>
      </c>
      <c r="W2" s="1053"/>
      <c r="X2" s="1056">
        <v>22.5</v>
      </c>
      <c r="Y2" s="1057"/>
      <c r="Z2" s="1056">
        <v>23.5</v>
      </c>
      <c r="AA2" s="1057"/>
      <c r="AB2" s="1056">
        <v>24.5</v>
      </c>
      <c r="AC2" s="1057"/>
      <c r="AD2" s="1056">
        <v>25.5</v>
      </c>
      <c r="AE2" s="1057"/>
      <c r="AF2" s="1056">
        <v>26.5</v>
      </c>
      <c r="AG2" s="1057"/>
      <c r="AH2" s="1056">
        <v>27.5</v>
      </c>
      <c r="AI2" s="1057"/>
      <c r="AJ2" s="1056">
        <v>28.5</v>
      </c>
      <c r="AK2" s="1057"/>
      <c r="AL2" s="1056">
        <v>29.5</v>
      </c>
      <c r="AM2" s="1057"/>
      <c r="AN2" s="1056">
        <v>30.5</v>
      </c>
      <c r="AO2" s="1057"/>
      <c r="AP2" s="1052">
        <v>31.5</v>
      </c>
      <c r="AQ2" s="1053"/>
      <c r="AR2" s="1052">
        <v>32.5</v>
      </c>
      <c r="AS2" s="1053"/>
      <c r="AT2" s="1052">
        <v>33.5</v>
      </c>
      <c r="AU2" s="1058"/>
      <c r="AV2" s="1052">
        <v>34.5</v>
      </c>
      <c r="AW2" s="1053"/>
      <c r="AX2" s="1058">
        <v>35.5</v>
      </c>
      <c r="AY2" s="1058"/>
      <c r="AZ2" s="1052">
        <v>36.5</v>
      </c>
      <c r="BA2" s="1053"/>
      <c r="BB2" s="1052">
        <v>37.5</v>
      </c>
      <c r="BC2" s="1053"/>
      <c r="BD2" s="1052">
        <v>38.5</v>
      </c>
      <c r="BE2" s="1053"/>
      <c r="BF2" s="1052">
        <v>39.5</v>
      </c>
      <c r="BG2" s="1053"/>
      <c r="BH2" s="1061">
        <v>40.5</v>
      </c>
      <c r="BI2" s="1062"/>
      <c r="BJ2" s="1059" t="s">
        <v>41</v>
      </c>
      <c r="BK2" s="1060"/>
      <c r="BN2" s="416"/>
      <c r="BO2" s="416" t="s">
        <v>57</v>
      </c>
      <c r="BP2" s="416"/>
      <c r="BQ2" s="416"/>
      <c r="BR2" s="416"/>
      <c r="BS2" s="416"/>
      <c r="BT2" s="416"/>
      <c r="BU2" s="416"/>
      <c r="BV2" s="416"/>
    </row>
    <row r="3" spans="2:79" x14ac:dyDescent="0.45">
      <c r="B3" s="417" t="s">
        <v>4</v>
      </c>
      <c r="C3" s="418" t="s">
        <v>28</v>
      </c>
      <c r="D3" s="419" t="s">
        <v>28</v>
      </c>
      <c r="E3" s="419" t="s">
        <v>28</v>
      </c>
      <c r="F3" s="419" t="s">
        <v>28</v>
      </c>
      <c r="G3" s="403"/>
      <c r="H3" s="420"/>
      <c r="I3" s="421"/>
      <c r="J3" s="422" t="s">
        <v>42</v>
      </c>
      <c r="K3" s="422" t="s">
        <v>39</v>
      </c>
      <c r="L3" s="422" t="s">
        <v>42</v>
      </c>
      <c r="M3" s="422" t="s">
        <v>39</v>
      </c>
      <c r="N3" s="422" t="s">
        <v>42</v>
      </c>
      <c r="O3" s="422" t="s">
        <v>39</v>
      </c>
      <c r="P3" s="422" t="s">
        <v>42</v>
      </c>
      <c r="Q3" s="422" t="s">
        <v>39</v>
      </c>
      <c r="R3" s="422" t="s">
        <v>42</v>
      </c>
      <c r="S3" s="422" t="s">
        <v>39</v>
      </c>
      <c r="T3" s="422" t="s">
        <v>42</v>
      </c>
      <c r="U3" s="422" t="s">
        <v>39</v>
      </c>
      <c r="V3" s="422" t="s">
        <v>42</v>
      </c>
      <c r="W3" s="422" t="s">
        <v>39</v>
      </c>
      <c r="X3" s="423" t="s">
        <v>42</v>
      </c>
      <c r="Y3" s="423" t="s">
        <v>39</v>
      </c>
      <c r="Z3" s="423" t="s">
        <v>42</v>
      </c>
      <c r="AA3" s="423" t="s">
        <v>39</v>
      </c>
      <c r="AB3" s="423" t="s">
        <v>42</v>
      </c>
      <c r="AC3" s="423" t="s">
        <v>39</v>
      </c>
      <c r="AD3" s="423" t="s">
        <v>42</v>
      </c>
      <c r="AE3" s="423" t="s">
        <v>39</v>
      </c>
      <c r="AF3" s="423" t="s">
        <v>42</v>
      </c>
      <c r="AG3" s="423" t="s">
        <v>39</v>
      </c>
      <c r="AH3" s="423" t="s">
        <v>42</v>
      </c>
      <c r="AI3" s="423" t="s">
        <v>39</v>
      </c>
      <c r="AJ3" s="423" t="s">
        <v>42</v>
      </c>
      <c r="AK3" s="423" t="s">
        <v>39</v>
      </c>
      <c r="AL3" s="423" t="s">
        <v>42</v>
      </c>
      <c r="AM3" s="423" t="s">
        <v>39</v>
      </c>
      <c r="AN3" s="423" t="s">
        <v>42</v>
      </c>
      <c r="AO3" s="423" t="s">
        <v>39</v>
      </c>
      <c r="AP3" s="422" t="s">
        <v>42</v>
      </c>
      <c r="AQ3" s="422" t="s">
        <v>39</v>
      </c>
      <c r="AR3" s="422" t="s">
        <v>42</v>
      </c>
      <c r="AS3" s="422" t="s">
        <v>39</v>
      </c>
      <c r="AT3" s="422" t="s">
        <v>42</v>
      </c>
      <c r="AU3" s="422" t="s">
        <v>39</v>
      </c>
      <c r="AV3" s="422" t="s">
        <v>42</v>
      </c>
      <c r="AW3" s="422" t="s">
        <v>39</v>
      </c>
      <c r="AX3" s="422" t="s">
        <v>42</v>
      </c>
      <c r="AY3" s="422" t="s">
        <v>39</v>
      </c>
      <c r="AZ3" s="422" t="s">
        <v>42</v>
      </c>
      <c r="BA3" s="422" t="s">
        <v>39</v>
      </c>
      <c r="BB3" s="422" t="s">
        <v>42</v>
      </c>
      <c r="BC3" s="422" t="s">
        <v>39</v>
      </c>
      <c r="BD3" s="422" t="s">
        <v>42</v>
      </c>
      <c r="BE3" s="422" t="s">
        <v>39</v>
      </c>
      <c r="BF3" s="422" t="s">
        <v>42</v>
      </c>
      <c r="BG3" s="422" t="s">
        <v>39</v>
      </c>
      <c r="BH3" s="422" t="s">
        <v>42</v>
      </c>
      <c r="BI3" s="422" t="s">
        <v>39</v>
      </c>
      <c r="BJ3" s="424" t="s">
        <v>42</v>
      </c>
      <c r="BK3" s="424" t="s">
        <v>39</v>
      </c>
      <c r="BN3" s="416"/>
      <c r="BO3" s="416" t="s">
        <v>32</v>
      </c>
      <c r="BP3" s="416"/>
      <c r="BQ3" s="416"/>
      <c r="BR3" s="416">
        <v>6</v>
      </c>
      <c r="BS3" s="416" t="s">
        <v>33</v>
      </c>
      <c r="BT3" s="416"/>
      <c r="BU3" s="416"/>
      <c r="BV3" s="416"/>
    </row>
    <row r="4" spans="2:79" ht="21.75" thickBot="1" x14ac:dyDescent="0.5">
      <c r="B4" s="425" t="s">
        <v>21</v>
      </c>
      <c r="C4" s="426" t="s">
        <v>6</v>
      </c>
      <c r="D4" s="427" t="s">
        <v>3</v>
      </c>
      <c r="E4" s="427" t="s">
        <v>6</v>
      </c>
      <c r="F4" s="427" t="s">
        <v>3</v>
      </c>
      <c r="G4" s="428"/>
      <c r="H4" s="429" t="s">
        <v>340</v>
      </c>
      <c r="I4" s="414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1"/>
      <c r="Y4" s="431"/>
      <c r="Z4" s="431"/>
      <c r="AA4" s="431"/>
      <c r="AB4" s="431"/>
      <c r="AC4" s="431"/>
      <c r="AD4" s="431"/>
      <c r="AE4" s="431"/>
      <c r="AF4" s="431"/>
      <c r="AG4" s="431"/>
      <c r="AH4" s="431"/>
      <c r="AI4" s="431"/>
      <c r="AJ4" s="431"/>
      <c r="AK4" s="431"/>
      <c r="AL4" s="431"/>
      <c r="AM4" s="431"/>
      <c r="AN4" s="431"/>
      <c r="AO4" s="431"/>
      <c r="AP4" s="432"/>
      <c r="AQ4" s="432"/>
      <c r="AR4" s="433"/>
      <c r="AS4" s="433"/>
      <c r="AT4" s="433"/>
      <c r="AU4" s="433"/>
      <c r="AV4" s="433"/>
      <c r="AW4" s="433"/>
      <c r="AX4" s="433"/>
      <c r="AY4" s="433"/>
      <c r="AZ4" s="433"/>
      <c r="BA4" s="433"/>
      <c r="BB4" s="433"/>
      <c r="BC4" s="433"/>
      <c r="BD4" s="433"/>
      <c r="BE4" s="433"/>
      <c r="BF4" s="433"/>
      <c r="BG4" s="433"/>
      <c r="BH4" s="433"/>
      <c r="BI4" s="433"/>
      <c r="BJ4" s="434"/>
      <c r="BK4" s="434"/>
      <c r="BN4" s="416"/>
      <c r="BO4" s="416" t="s">
        <v>35</v>
      </c>
      <c r="BP4" s="416"/>
      <c r="BQ4" s="416"/>
      <c r="BR4" s="416" t="e">
        <f>#REF!</f>
        <v>#REF!</v>
      </c>
      <c r="BS4" s="416" t="s">
        <v>33</v>
      </c>
      <c r="BT4" s="416"/>
      <c r="BU4" s="416"/>
      <c r="BV4" s="416"/>
    </row>
    <row r="5" spans="2:79" x14ac:dyDescent="0.45">
      <c r="B5" s="435">
        <v>1</v>
      </c>
      <c r="C5" s="436">
        <f>IF($C$2=34.5,'S3'!AD5,IF($C$2=35.5,'S3'!AF5,IF($C$2=36.5,'S3'!AH5,IF($C$2=37.5,'S3'!AJ5,IF($C$2=38.5,'S3'!AL5,IF($C$2=39.5,'S3'!AN5,IF($C$2=40.5,'S3'!AP5,IF($C$2=27.5,'S3'!P5,IF($C$2=28.5,'S3'!R5,IF($C$2=29.5,'S3'!T5,IF($C$2=30.5,'S3'!V5,IF($C$2=31.5,'S3'!Z5,IF($C$2=32.5,'S3'!Z5,IF($C$2=33.5,'S3'!AB5))))))))))))))</f>
        <v>8.2100000000000009</v>
      </c>
      <c r="D5" s="436">
        <f>IF($C$2=34.5,'S3'!AE5,IF($C$2=35.5,'S3'!AG5,IF($C$2=36.5,'S3'!AI5,IF($C$2=37.5,'S3'!AK5,IF($C$2=38.5,'S3'!AM5,IF($C$2=39.5,'S3'!AO5,IF($C$2=40.5,'S3'!AQ5,IF($C$2=27.5,'S3'!Q5,IF($C$2=28.5,'S3'!S5,IF($C$2=29.5,'S3'!U5,IF($C$2=30.5,'S3'!W5,IF($C$2=31.5,'S3'!Y5,IF($C$2=32.5,'S3'!AA5,IF($C$2=33.5,'S3'!AC5))))))))))))))</f>
        <v>11.49</v>
      </c>
      <c r="E5" s="437">
        <f>IF($E$2=34.5,'S3'!BP5,IF($E$2=35.5,'S3'!BQ5,IF($E$2=36.5,'S3'!BR5,IF($E$2=37.5,'S3'!BS5,IF($E$2=38.5,'S3'!BT5,IF($E$2=39.5,'S3'!BU5,IF($E$2=40.5,'S3'!BV5,IF($E$2=22.5,'S3'!BD5,IF($E$2=23.5,'S3'!BE5,IF($E$2=24.5,'S3'!BF5,IF($E$2=25.5,'S3'!BG5,IF($E$2=26.5,'S3'!BH5,IF($E$2=27.5,'S3'!BI5,IF($E$2=28.5,'S3'!BJ5,IF($E$2=29.5,'S3'!BK5,IF($E$2=30.5,'S3'!BL5,IF($E$2=31.5,'S3'!BM5,IF($E$2=32.5,'S3'!BN5,IF($E$2=33.5,'S3'!BO5)))))))))))))))))))</f>
        <v>4.55</v>
      </c>
      <c r="F5" s="438">
        <f>ROUND(E5*1.4,2)</f>
        <v>6.37</v>
      </c>
      <c r="H5" s="439" t="s">
        <v>187</v>
      </c>
      <c r="I5" s="440" t="s">
        <v>53</v>
      </c>
      <c r="J5" s="439">
        <v>1.6</v>
      </c>
      <c r="K5" s="439">
        <v>1.61</v>
      </c>
      <c r="L5" s="439"/>
      <c r="M5" s="439"/>
      <c r="N5" s="439"/>
      <c r="O5" s="439"/>
      <c r="P5" s="439"/>
      <c r="Q5" s="439"/>
      <c r="R5" s="439"/>
      <c r="S5" s="439"/>
      <c r="T5" s="439">
        <v>1.6</v>
      </c>
      <c r="U5" s="439">
        <v>1.66</v>
      </c>
      <c r="V5" s="439">
        <v>1.62</v>
      </c>
      <c r="W5" s="439">
        <v>1.68</v>
      </c>
      <c r="X5" s="441">
        <v>1.63</v>
      </c>
      <c r="Y5" s="441">
        <v>1.69</v>
      </c>
      <c r="Z5" s="441">
        <v>1.64</v>
      </c>
      <c r="AA5" s="441">
        <v>1.7</v>
      </c>
      <c r="AB5" s="441">
        <v>1.65</v>
      </c>
      <c r="AC5" s="441">
        <v>1.71</v>
      </c>
      <c r="AD5" s="441">
        <v>1.67</v>
      </c>
      <c r="AE5" s="441">
        <v>1.73</v>
      </c>
      <c r="AF5" s="441">
        <v>1.68</v>
      </c>
      <c r="AG5" s="441">
        <v>1.74</v>
      </c>
      <c r="AH5" s="441">
        <v>1.69</v>
      </c>
      <c r="AI5" s="441">
        <v>1.75</v>
      </c>
      <c r="AJ5" s="441">
        <v>1.7</v>
      </c>
      <c r="AK5" s="441">
        <v>1.76</v>
      </c>
      <c r="AL5" s="441">
        <v>1.72</v>
      </c>
      <c r="AM5" s="441">
        <v>1.78</v>
      </c>
      <c r="AN5" s="441">
        <v>1.73</v>
      </c>
      <c r="AO5" s="441">
        <v>1.79</v>
      </c>
      <c r="AP5" s="439">
        <v>1.74</v>
      </c>
      <c r="AQ5" s="439">
        <v>1.8</v>
      </c>
      <c r="AR5" s="439">
        <v>1.76</v>
      </c>
      <c r="AS5" s="439">
        <v>1.82</v>
      </c>
      <c r="AT5" s="439">
        <v>1.77</v>
      </c>
      <c r="AU5" s="439">
        <v>1.83</v>
      </c>
      <c r="AV5" s="439">
        <v>1.78</v>
      </c>
      <c r="AW5" s="439">
        <v>1.84</v>
      </c>
      <c r="AX5" s="439">
        <v>1.79</v>
      </c>
      <c r="AY5" s="439">
        <v>1.85</v>
      </c>
      <c r="AZ5" s="439">
        <v>1.81</v>
      </c>
      <c r="BA5" s="439">
        <v>1.87</v>
      </c>
      <c r="BB5" s="439">
        <v>1.82</v>
      </c>
      <c r="BC5" s="439">
        <v>1.88</v>
      </c>
      <c r="BD5" s="439">
        <v>1.83</v>
      </c>
      <c r="BE5" s="439">
        <v>1.89</v>
      </c>
      <c r="BF5" s="439">
        <v>1.84</v>
      </c>
      <c r="BG5" s="439">
        <v>1.9</v>
      </c>
      <c r="BH5" s="439">
        <v>1.86</v>
      </c>
      <c r="BI5" s="439">
        <v>1.92</v>
      </c>
      <c r="BJ5" s="442">
        <f>IF($C$2=15.5,J5,IF($C$2=16.5,L5,IF($C$2=17.5,N5,IF($C$2=18.5,P5,IF($C$2=19.5,R5,IF($C$2=20.5,T5,IF($C$2=21.5,V5,IF($C$2=22.5,X5,IF($C$2=23.5,Z5,IF($C$2=24.5,AB5,IF($C$2=25.5,AD5,IF($C$2=26.5,AF5,IF($C$2=27.5,AH5,IF($C$2=28.5,AJ5,IF($C$2=29.5,AL5,IF($C$2=30.5,AN5,IF($C$2=31.5,AP5,IF($C$2=32.5,AR5,IF($C$2=33.5,AT5)))))))))))))))))))</f>
        <v>1.76</v>
      </c>
      <c r="BK5" s="442">
        <f>IF($C$2=34.5,AW5,IF($C$2=35.5,AY5,IF($C$2=36.5,BA5,IF($C$2=37.5,BC5,IF($C$2=38.5,BE5,IF($C$2=39.5,BG5,IF($C$2=40.5,BI5,IF($C$2=22.5,Y5,IF($C$2=23.5,AA5,IF($C$2=24.5,AC5,IF($C$2=25.5,AE5,IF($C$2=26.5,AG5,IF($C$2=27.5,AI5,IF($C$2=28.5,AK5,IF($C$2=29.5,AM5,IF($C$2=30.5,AO5,IF($C$2=31.5,AQ5,IF($C$2=32.5,AS5,IF($C$2=33.5,AU5)))))))))))))))))))</f>
        <v>1.82</v>
      </c>
      <c r="BN5" s="416"/>
      <c r="BO5" s="416" t="s">
        <v>37</v>
      </c>
      <c r="BP5" s="416"/>
      <c r="BQ5" s="416"/>
      <c r="BR5" s="416" t="e">
        <f>#REF!</f>
        <v>#REF!</v>
      </c>
      <c r="BS5" s="416" t="s">
        <v>33</v>
      </c>
      <c r="BT5" s="416"/>
      <c r="BU5" s="416"/>
      <c r="BV5" s="416"/>
    </row>
    <row r="6" spans="2:79" x14ac:dyDescent="0.45">
      <c r="B6" s="435">
        <v>2</v>
      </c>
      <c r="C6" s="436">
        <f>IF($C$2=34.5,'S3'!AD6,IF($C$2=35.5,'S3'!AF6,IF($C$2=36.5,'S3'!AH6,IF($C$2=37.5,'S3'!AJ6,IF($C$2=38.5,'S3'!AL6,IF($C$2=39.5,'S3'!AN6,IF($C$2=40.5,'S3'!AP6,IF($C$2=27.5,'S3'!P6,IF($C$2=28.5,'S3'!R6,IF($C$2=29.5,'S3'!T6,IF($C$2=30.5,'S3'!V6,IF($C$2=31.5,'S3'!Z6,IF($C$2=32.5,'S3'!Z6,IF($C$2=33.5,'S3'!AB6))))))))))))))</f>
        <v>10.119999999999999</v>
      </c>
      <c r="D6" s="436">
        <f>IF($C$2=34.5,'S3'!AE6,IF($C$2=35.5,'S3'!AG6,IF($C$2=36.5,'S3'!AI6,IF($C$2=37.5,'S3'!AK6,IF($C$2=38.5,'S3'!AM6,IF($C$2=39.5,'S3'!AO6,IF($C$2=40.5,'S3'!AQ6,IF($C$2=27.5,'S3'!Q6,IF($C$2=28.5,'S3'!S6,IF($C$2=29.5,'S3'!U6,IF($C$2=30.5,'S3'!W6,IF($C$2=31.5,'S3'!Y6,IF($C$2=32.5,'S3'!AA6,IF($C$2=33.5,'S3'!AC6))))))))))))))</f>
        <v>14.17</v>
      </c>
      <c r="E6" s="437">
        <f>IF($E$2=34.5,'S3'!BP6,IF($E$2=35.5,'S3'!BQ6,IF($E$2=36.5,'S3'!BR6,IF($E$2=37.5,'S3'!BS6,IF($E$2=38.5,'S3'!BT6,IF($E$2=39.5,'S3'!BU6,IF($E$2=40.5,'S3'!BV6,IF($E$2=22.5,'S3'!BD6,IF($E$2=23.5,'S3'!BE6,IF($E$2=24.5,'S3'!BF6,IF($E$2=25.5,'S3'!BG6,IF($E$2=26.5,'S3'!BH6,IF($E$2=27.5,'S3'!BI6,IF($E$2=28.5,'S3'!BJ6,IF($E$2=29.5,'S3'!BK6,IF($E$2=30.5,'S3'!BL6,IF($E$2=31.5,'S3'!BM6,IF($E$2=32.5,'S3'!BN6,IF($E$2=33.5,'S3'!BO6)))))))))))))))))))</f>
        <v>5.99</v>
      </c>
      <c r="F6" s="437">
        <f t="shared" ref="F6:F69" si="0">ROUND(E6*1.4,2)</f>
        <v>8.39</v>
      </c>
      <c r="H6" s="439" t="s">
        <v>97</v>
      </c>
      <c r="I6" s="440" t="s">
        <v>53</v>
      </c>
      <c r="J6" s="443">
        <v>3.32</v>
      </c>
      <c r="K6" s="443">
        <v>3.35</v>
      </c>
      <c r="L6" s="443">
        <v>3.21</v>
      </c>
      <c r="M6" s="443">
        <v>3.35</v>
      </c>
      <c r="N6" s="443">
        <v>3.25</v>
      </c>
      <c r="O6" s="443">
        <v>3.39</v>
      </c>
      <c r="P6" s="443">
        <v>3.28</v>
      </c>
      <c r="Q6" s="443">
        <v>3.42</v>
      </c>
      <c r="R6" s="443">
        <v>3.31</v>
      </c>
      <c r="S6" s="443">
        <v>3.45</v>
      </c>
      <c r="T6" s="443">
        <v>3.34</v>
      </c>
      <c r="U6" s="443">
        <v>3.48</v>
      </c>
      <c r="V6" s="443">
        <v>3.38</v>
      </c>
      <c r="W6" s="443">
        <v>3.52</v>
      </c>
      <c r="X6" s="441">
        <v>3.41</v>
      </c>
      <c r="Y6" s="441">
        <v>3.55</v>
      </c>
      <c r="Z6" s="441">
        <v>3.44</v>
      </c>
      <c r="AA6" s="444">
        <v>3.58</v>
      </c>
      <c r="AB6" s="441">
        <v>3.47</v>
      </c>
      <c r="AC6" s="441">
        <v>3.61</v>
      </c>
      <c r="AD6" s="444">
        <v>3.5</v>
      </c>
      <c r="AE6" s="441">
        <v>3.64</v>
      </c>
      <c r="AF6" s="441">
        <v>3.54</v>
      </c>
      <c r="AG6" s="441">
        <v>3.68</v>
      </c>
      <c r="AH6" s="444">
        <v>3.57</v>
      </c>
      <c r="AI6" s="441">
        <v>3.71</v>
      </c>
      <c r="AJ6" s="441">
        <v>3.6</v>
      </c>
      <c r="AK6" s="441">
        <v>3.74</v>
      </c>
      <c r="AL6" s="441">
        <v>3.63</v>
      </c>
      <c r="AM6" s="441">
        <v>3.77</v>
      </c>
      <c r="AN6" s="444">
        <v>3.67</v>
      </c>
      <c r="AO6" s="441">
        <v>3.81</v>
      </c>
      <c r="AP6" s="445">
        <v>3.7</v>
      </c>
      <c r="AQ6" s="439">
        <v>3.84</v>
      </c>
      <c r="AR6" s="446">
        <v>3.73</v>
      </c>
      <c r="AS6" s="446">
        <v>3.87</v>
      </c>
      <c r="AT6" s="447">
        <v>3.76</v>
      </c>
      <c r="AU6" s="447">
        <v>3.9</v>
      </c>
      <c r="AV6" s="446">
        <v>3.79</v>
      </c>
      <c r="AW6" s="446">
        <v>3.93</v>
      </c>
      <c r="AX6" s="446">
        <v>3.83</v>
      </c>
      <c r="AY6" s="446">
        <v>3.97</v>
      </c>
      <c r="AZ6" s="446">
        <v>3.29</v>
      </c>
      <c r="BA6" s="446">
        <v>3.41</v>
      </c>
      <c r="BB6" s="446">
        <v>3.32</v>
      </c>
      <c r="BC6" s="446">
        <v>3.44</v>
      </c>
      <c r="BD6" s="446">
        <v>3.36</v>
      </c>
      <c r="BE6" s="446">
        <v>3.47</v>
      </c>
      <c r="BF6" s="446">
        <v>3.39</v>
      </c>
      <c r="BG6" s="446">
        <v>3.51</v>
      </c>
      <c r="BH6" s="446">
        <v>2.81</v>
      </c>
      <c r="BI6" s="446">
        <v>2.92</v>
      </c>
      <c r="BJ6" s="442">
        <f>IF($C$2=15.5,J6,IF($C$2=16.5,L6,IF($C$2=17.5,N6,IF($C$2=18.5,P6,IF($C$2=19.5,R6,IF($C$2=20.5,T6,IF($C$2=21.5,V6,IF($C$2=22.5,X6,IF($C$2=23.5,Z6,IF($C$2=24.5,AB6,IF($C$2=25.5,AD6,IF($C$2=26.5,AF6,IF($C$2=27.5,AH6,IF($C$2=28.5,AJ6,IF($C$2=29.5,AL6,IF($C$2=30.5,AN6,IF($C$2=31.5,AP6,IF($C$2=32.5,AR6,IF($C$2=33.5,AT6)))))))))))))))))))</f>
        <v>3.73</v>
      </c>
      <c r="BK6" s="442">
        <f t="shared" ref="BK6:BK55" si="1">IF($C$2=34.5,AW6,IF($C$2=35.5,AY6,IF($C$2=36.5,BA6,IF($C$2=37.5,BC6,IF($C$2=38.5,BE6,IF($C$2=39.5,BG6,IF($C$2=40.5,BI6,IF($C$2=22.5,Y6,IF($C$2=23.5,AA6,IF($C$2=24.5,AC6,IF($C$2=25.5,AE6,IF($C$2=26.5,AG6,IF($C$2=27.5,AI6,IF($C$2=28.5,AK6,IF($C$2=29.5,AM6,IF($C$2=30.5,AO6,IF($C$2=31.5,AQ6,IF($C$2=32.5,AS6,IF($C$2=33.5,AU6)))))))))))))))))))</f>
        <v>3.87</v>
      </c>
      <c r="BN6" s="416"/>
      <c r="BO6" s="416" t="s">
        <v>38</v>
      </c>
      <c r="BP6" s="416"/>
      <c r="BQ6" s="416"/>
      <c r="BR6" s="416" t="e">
        <f>#REF!</f>
        <v>#REF!</v>
      </c>
      <c r="BS6" s="416" t="s">
        <v>33</v>
      </c>
      <c r="BT6" s="416"/>
      <c r="BU6" s="416"/>
      <c r="BV6" s="416"/>
    </row>
    <row r="7" spans="2:79" ht="21.75" thickBot="1" x14ac:dyDescent="0.5">
      <c r="B7" s="435">
        <v>3</v>
      </c>
      <c r="C7" s="436">
        <f>IF($C$2=34.5,'S3'!AD7,IF($C$2=35.5,'S3'!AF7,IF($C$2=36.5,'S3'!AH7,IF($C$2=37.5,'S3'!AJ7,IF($C$2=38.5,'S3'!AL7,IF($C$2=39.5,'S3'!AN7,IF($C$2=40.5,'S3'!AP7,IF($C$2=27.5,'S3'!P7,IF($C$2=28.5,'S3'!R7,IF($C$2=29.5,'S3'!T7,IF($C$2=30.5,'S3'!V7,IF($C$2=31.5,'S3'!Z7,IF($C$2=32.5,'S3'!Z7,IF($C$2=33.5,'S3'!AB7))))))))))))))</f>
        <v>12.02</v>
      </c>
      <c r="D7" s="436">
        <f>IF($C$2=34.5,'S3'!AE7,IF($C$2=35.5,'S3'!AG7,IF($C$2=36.5,'S3'!AI7,IF($C$2=37.5,'S3'!AK7,IF($C$2=38.5,'S3'!AM7,IF($C$2=39.5,'S3'!AO7,IF($C$2=40.5,'S3'!AQ7,IF($C$2=27.5,'S3'!Q7,IF($C$2=28.5,'S3'!S7,IF($C$2=29.5,'S3'!U7,IF($C$2=30.5,'S3'!W7,IF($C$2=31.5,'S3'!Y7,IF($C$2=32.5,'S3'!AA7,IF($C$2=33.5,'S3'!AC7))))))))))))))</f>
        <v>16.829999999999998</v>
      </c>
      <c r="E7" s="437">
        <f>IF($E$2=34.5,'S3'!BP7,IF($E$2=35.5,'S3'!BQ7,IF($E$2=36.5,'S3'!BR7,IF($E$2=37.5,'S3'!BS7,IF($E$2=38.5,'S3'!BT7,IF($E$2=39.5,'S3'!BU7,IF($E$2=40.5,'S3'!BV7,IF($E$2=22.5,'S3'!BD7,IF($E$2=23.5,'S3'!BE7,IF($E$2=24.5,'S3'!BF7,IF($E$2=25.5,'S3'!BG7,IF($E$2=26.5,'S3'!BH7,IF($E$2=27.5,'S3'!BI7,IF($E$2=28.5,'S3'!BJ7,IF($E$2=29.5,'S3'!BK7,IF($E$2=30.5,'S3'!BL7,IF($E$2=31.5,'S3'!BM7,IF($E$2=32.5,'S3'!BN7,IF($E$2=33.5,'S3'!BO7)))))))))))))))))))</f>
        <v>7.43</v>
      </c>
      <c r="F7" s="437">
        <f t="shared" si="0"/>
        <v>10.4</v>
      </c>
      <c r="H7" s="439" t="s">
        <v>341</v>
      </c>
      <c r="I7" s="440" t="s">
        <v>53</v>
      </c>
      <c r="J7" s="439">
        <v>4.93</v>
      </c>
      <c r="K7" s="439">
        <v>4.9800000000000004</v>
      </c>
      <c r="L7" s="439"/>
      <c r="M7" s="439"/>
      <c r="N7" s="439"/>
      <c r="O7" s="439"/>
      <c r="P7" s="439"/>
      <c r="Q7" s="439"/>
      <c r="R7" s="439"/>
      <c r="S7" s="439"/>
      <c r="T7" s="439"/>
      <c r="U7" s="439"/>
      <c r="V7" s="439"/>
      <c r="W7" s="439"/>
      <c r="X7" s="441"/>
      <c r="Y7" s="441">
        <v>5.29</v>
      </c>
      <c r="Z7" s="441"/>
      <c r="AA7" s="441">
        <v>5.35</v>
      </c>
      <c r="AB7" s="441"/>
      <c r="AC7" s="441">
        <v>5.4</v>
      </c>
      <c r="AD7" s="441"/>
      <c r="AE7" s="441">
        <v>5.45</v>
      </c>
      <c r="AF7" s="441"/>
      <c r="AG7" s="441">
        <v>5.5</v>
      </c>
      <c r="AH7" s="441"/>
      <c r="AI7" s="441">
        <v>5.56</v>
      </c>
      <c r="AJ7" s="441"/>
      <c r="AK7" s="441">
        <v>5.61</v>
      </c>
      <c r="AL7" s="441"/>
      <c r="AM7" s="441">
        <v>5.66</v>
      </c>
      <c r="AN7" s="441"/>
      <c r="AO7" s="441">
        <v>5.71</v>
      </c>
      <c r="AP7" s="439"/>
      <c r="AQ7" s="439">
        <v>5.76</v>
      </c>
      <c r="AR7" s="439"/>
      <c r="AS7" s="439">
        <v>5.82</v>
      </c>
      <c r="AT7" s="439"/>
      <c r="AU7" s="439">
        <v>5.87</v>
      </c>
      <c r="AV7" s="439"/>
      <c r="AW7" s="439">
        <v>5.92</v>
      </c>
      <c r="AX7" s="439"/>
      <c r="AY7" s="439">
        <v>5.97</v>
      </c>
      <c r="AZ7" s="439"/>
      <c r="BA7" s="439"/>
      <c r="BB7" s="439"/>
      <c r="BC7" s="439"/>
      <c r="BD7" s="439"/>
      <c r="BE7" s="439"/>
      <c r="BF7" s="439"/>
      <c r="BG7" s="439"/>
      <c r="BH7" s="439"/>
      <c r="BI7" s="439"/>
      <c r="BJ7" s="439"/>
      <c r="BK7" s="442">
        <f t="shared" si="1"/>
        <v>5.82</v>
      </c>
      <c r="BN7" s="416"/>
      <c r="BO7" s="175" t="s">
        <v>58</v>
      </c>
      <c r="BR7" s="175">
        <v>3</v>
      </c>
      <c r="BS7" s="175" t="s">
        <v>59</v>
      </c>
      <c r="BT7" s="416"/>
      <c r="BU7" s="416"/>
      <c r="BV7" s="416"/>
    </row>
    <row r="8" spans="2:79" x14ac:dyDescent="0.45">
      <c r="B8" s="435">
        <v>4</v>
      </c>
      <c r="C8" s="436">
        <f>IF($C$2=34.5,'S3'!AD8,IF($C$2=35.5,'S3'!AF8,IF($C$2=36.5,'S3'!AH8,IF($C$2=37.5,'S3'!AJ8,IF($C$2=38.5,'S3'!AL8,IF($C$2=39.5,'S3'!AN8,IF($C$2=40.5,'S3'!AP8,IF($C$2=27.5,'S3'!P8,IF($C$2=28.5,'S3'!R8,IF($C$2=29.5,'S3'!T8,IF($C$2=30.5,'S3'!V8,IF($C$2=31.5,'S3'!Z8,IF($C$2=32.5,'S3'!Z8,IF($C$2=33.5,'S3'!AB8))))))))))))))</f>
        <v>13.93</v>
      </c>
      <c r="D8" s="436">
        <f>IF($C$2=34.5,'S3'!AE8,IF($C$2=35.5,'S3'!AG8,IF($C$2=36.5,'S3'!AI8,IF($C$2=37.5,'S3'!AK8,IF($C$2=38.5,'S3'!AM8,IF($C$2=39.5,'S3'!AO8,IF($C$2=40.5,'S3'!AQ8,IF($C$2=27.5,'S3'!Q8,IF($C$2=28.5,'S3'!S8,IF($C$2=29.5,'S3'!U8,IF($C$2=30.5,'S3'!W8,IF($C$2=31.5,'S3'!Y8,IF($C$2=32.5,'S3'!AA8,IF($C$2=33.5,'S3'!AC8))))))))))))))</f>
        <v>19.5</v>
      </c>
      <c r="E8" s="437">
        <f>IF($E$2=34.5,'S3'!BP8,IF($E$2=35.5,'S3'!BQ8,IF($E$2=36.5,'S3'!BR8,IF($E$2=37.5,'S3'!BS8,IF($E$2=38.5,'S3'!BT8,IF($E$2=39.5,'S3'!BU8,IF($E$2=40.5,'S3'!BV8,IF($E$2=22.5,'S3'!BD8,IF($E$2=23.5,'S3'!BE8,IF($E$2=24.5,'S3'!BF8,IF($E$2=25.5,'S3'!BG8,IF($E$2=26.5,'S3'!BH8,IF($E$2=27.5,'S3'!BI8,IF($E$2=28.5,'S3'!BJ8,IF($E$2=29.5,'S3'!BK8,IF($E$2=30.5,'S3'!BL8,IF($E$2=31.5,'S3'!BM8,IF($E$2=32.5,'S3'!BN8,IF($E$2=33.5,'S3'!BO8)))))))))))))))))))</f>
        <v>8.86</v>
      </c>
      <c r="F8" s="437">
        <f t="shared" si="0"/>
        <v>12.4</v>
      </c>
      <c r="H8" s="448" t="s">
        <v>342</v>
      </c>
      <c r="I8" s="449"/>
      <c r="J8" s="450"/>
      <c r="K8" s="450"/>
      <c r="L8" s="450"/>
      <c r="M8" s="450"/>
      <c r="N8" s="450"/>
      <c r="O8" s="450"/>
      <c r="P8" s="450"/>
      <c r="Q8" s="450"/>
      <c r="R8" s="450"/>
      <c r="S8" s="450"/>
      <c r="T8" s="450"/>
      <c r="U8" s="450"/>
      <c r="V8" s="450"/>
      <c r="W8" s="450"/>
      <c r="X8" s="441"/>
      <c r="Y8" s="441"/>
      <c r="Z8" s="441"/>
      <c r="AA8" s="441"/>
      <c r="AB8" s="441"/>
      <c r="AC8" s="441"/>
      <c r="AD8" s="441"/>
      <c r="AE8" s="441"/>
      <c r="AF8" s="441"/>
      <c r="AG8" s="441"/>
      <c r="AH8" s="441"/>
      <c r="AI8" s="441"/>
      <c r="AJ8" s="441"/>
      <c r="AK8" s="441"/>
      <c r="AL8" s="441"/>
      <c r="AM8" s="441"/>
      <c r="AN8" s="441"/>
      <c r="AO8" s="441"/>
      <c r="AP8" s="439"/>
      <c r="AQ8" s="439"/>
      <c r="AR8" s="446"/>
      <c r="AS8" s="446"/>
      <c r="AT8" s="446"/>
      <c r="AU8" s="446"/>
      <c r="AV8" s="446"/>
      <c r="AW8" s="446"/>
      <c r="AX8" s="446"/>
      <c r="AY8" s="446"/>
      <c r="AZ8" s="446"/>
      <c r="BA8" s="446"/>
      <c r="BB8" s="446"/>
      <c r="BC8" s="446"/>
      <c r="BD8" s="446"/>
      <c r="BE8" s="446"/>
      <c r="BF8" s="446"/>
      <c r="BG8" s="446"/>
      <c r="BH8" s="446"/>
      <c r="BI8" s="446"/>
      <c r="BJ8" s="451"/>
      <c r="BK8" s="442">
        <f t="shared" si="1"/>
        <v>0</v>
      </c>
      <c r="BN8" s="452" t="s">
        <v>60</v>
      </c>
      <c r="BO8" s="453" t="s">
        <v>60</v>
      </c>
      <c r="BP8" s="419" t="s">
        <v>60</v>
      </c>
      <c r="BQ8" s="452" t="s">
        <v>61</v>
      </c>
      <c r="BR8" s="454" t="s">
        <v>62</v>
      </c>
      <c r="BS8" s="454" t="s">
        <v>63</v>
      </c>
      <c r="BT8" s="454" t="s">
        <v>64</v>
      </c>
      <c r="BU8" s="454" t="s">
        <v>65</v>
      </c>
      <c r="BV8" s="454" t="s">
        <v>66</v>
      </c>
      <c r="BW8" s="454" t="s">
        <v>67</v>
      </c>
      <c r="BX8" s="453" t="s">
        <v>2</v>
      </c>
      <c r="BY8" s="453" t="s">
        <v>95</v>
      </c>
      <c r="BZ8" s="455" t="s">
        <v>96</v>
      </c>
    </row>
    <row r="9" spans="2:79" ht="21.75" thickBot="1" x14ac:dyDescent="0.5">
      <c r="B9" s="435">
        <v>5</v>
      </c>
      <c r="C9" s="436">
        <f>IF($C$2=34.5,'S3'!AD9,IF($C$2=35.5,'S3'!AF9,IF($C$2=36.5,'S3'!AH9,IF($C$2=37.5,'S3'!AJ9,IF($C$2=38.5,'S3'!AL9,IF($C$2=39.5,'S3'!AN9,IF($C$2=40.5,'S3'!AP9,IF($C$2=27.5,'S3'!P9,IF($C$2=28.5,'S3'!R9,IF($C$2=29.5,'S3'!T9,IF($C$2=30.5,'S3'!V9,IF($C$2=31.5,'S3'!Z9,IF($C$2=32.5,'S3'!Z9,IF($C$2=33.5,'S3'!AB9))))))))))))))</f>
        <v>15.84</v>
      </c>
      <c r="D9" s="436">
        <f>IF($C$2=34.5,'S3'!AE9,IF($C$2=35.5,'S3'!AG9,IF($C$2=36.5,'S3'!AI9,IF($C$2=37.5,'S3'!AK9,IF($C$2=38.5,'S3'!AM9,IF($C$2=39.5,'S3'!AO9,IF($C$2=40.5,'S3'!AQ9,IF($C$2=27.5,'S3'!Q9,IF($C$2=28.5,'S3'!S9,IF($C$2=29.5,'S3'!U9,IF($C$2=30.5,'S3'!W9,IF($C$2=31.5,'S3'!Y9,IF($C$2=32.5,'S3'!AA9,IF($C$2=33.5,'S3'!AC9))))))))))))))</f>
        <v>22.18</v>
      </c>
      <c r="E9" s="437">
        <f>IF($E$2=34.5,'S3'!BP9,IF($E$2=35.5,'S3'!BQ9,IF($E$2=36.5,'S3'!BR9,IF($E$2=37.5,'S3'!BS9,IF($E$2=38.5,'S3'!BT9,IF($E$2=39.5,'S3'!BU9,IF($E$2=40.5,'S3'!BV9,IF($E$2=22.5,'S3'!BD9,IF($E$2=23.5,'S3'!BE9,IF($E$2=24.5,'S3'!BF9,IF($E$2=25.5,'S3'!BG9,IF($E$2=26.5,'S3'!BH9,IF($E$2=27.5,'S3'!BI9,IF($E$2=28.5,'S3'!BJ9,IF($E$2=29.5,'S3'!BK9,IF($E$2=30.5,'S3'!BL9,IF($E$2=31.5,'S3'!BM9,IF($E$2=32.5,'S3'!BN9,IF($E$2=33.5,'S3'!BO9)))))))))))))))))))</f>
        <v>10.3</v>
      </c>
      <c r="F9" s="437">
        <f t="shared" si="0"/>
        <v>14.42</v>
      </c>
      <c r="H9" s="439" t="s">
        <v>101</v>
      </c>
      <c r="I9" s="440" t="s">
        <v>44</v>
      </c>
      <c r="J9" s="443">
        <v>18.53</v>
      </c>
      <c r="K9" s="443">
        <v>19.41</v>
      </c>
      <c r="L9" s="443">
        <v>18.75</v>
      </c>
      <c r="M9" s="443">
        <v>19.63</v>
      </c>
      <c r="N9" s="443">
        <v>18.97</v>
      </c>
      <c r="O9" s="443">
        <v>19.850000000000001</v>
      </c>
      <c r="P9" s="443">
        <v>19.18</v>
      </c>
      <c r="Q9" s="443">
        <v>20.059999999999999</v>
      </c>
      <c r="R9" s="443">
        <v>19.399999999999999</v>
      </c>
      <c r="S9" s="443">
        <v>20.28</v>
      </c>
      <c r="T9" s="443">
        <v>19.61</v>
      </c>
      <c r="U9" s="443">
        <v>20.49</v>
      </c>
      <c r="V9" s="443">
        <v>19.829999999999998</v>
      </c>
      <c r="W9" s="443">
        <v>20.71</v>
      </c>
      <c r="X9" s="441">
        <v>20.04</v>
      </c>
      <c r="Y9" s="441">
        <v>20.92</v>
      </c>
      <c r="Z9" s="444">
        <v>20.260000000000002</v>
      </c>
      <c r="AA9" s="441">
        <v>21.14</v>
      </c>
      <c r="AB9" s="441">
        <v>20.47</v>
      </c>
      <c r="AC9" s="441">
        <v>21.35</v>
      </c>
      <c r="AD9" s="441">
        <v>20.69</v>
      </c>
      <c r="AE9" s="444">
        <v>21.57</v>
      </c>
      <c r="AF9" s="441">
        <v>20.9</v>
      </c>
      <c r="AG9" s="441">
        <v>21.78</v>
      </c>
      <c r="AH9" s="441">
        <v>21.12</v>
      </c>
      <c r="AI9" s="444">
        <v>22</v>
      </c>
      <c r="AJ9" s="441">
        <v>21.34</v>
      </c>
      <c r="AK9" s="444">
        <v>22.22</v>
      </c>
      <c r="AL9" s="441">
        <v>21.55</v>
      </c>
      <c r="AM9" s="441">
        <v>22.43</v>
      </c>
      <c r="AN9" s="441">
        <v>21.77</v>
      </c>
      <c r="AO9" s="441">
        <v>22.65</v>
      </c>
      <c r="AP9" s="439">
        <v>21.98</v>
      </c>
      <c r="AQ9" s="439">
        <v>22.86</v>
      </c>
      <c r="AR9" s="447">
        <v>22.2</v>
      </c>
      <c r="AS9" s="446">
        <v>23.08</v>
      </c>
      <c r="AT9" s="446">
        <v>22.41</v>
      </c>
      <c r="AU9" s="446">
        <v>23.29</v>
      </c>
      <c r="AV9" s="446">
        <v>22.63</v>
      </c>
      <c r="AW9" s="447">
        <v>23.51</v>
      </c>
      <c r="AX9" s="446">
        <v>22.84</v>
      </c>
      <c r="AY9" s="446">
        <v>23.72</v>
      </c>
      <c r="AZ9" s="446">
        <v>20.6</v>
      </c>
      <c r="BA9" s="446">
        <v>21.47</v>
      </c>
      <c r="BB9" s="446">
        <v>20.82</v>
      </c>
      <c r="BC9" s="446">
        <v>21.69</v>
      </c>
      <c r="BD9" s="446">
        <v>21.03</v>
      </c>
      <c r="BE9" s="447">
        <v>21.9</v>
      </c>
      <c r="BF9" s="446">
        <v>21.25</v>
      </c>
      <c r="BG9" s="447">
        <v>22.12</v>
      </c>
      <c r="BH9" s="447">
        <v>17.37</v>
      </c>
      <c r="BI9" s="447">
        <v>18.239999999999998</v>
      </c>
      <c r="BJ9" s="442">
        <f>IF($C$2=15.5,J9,IF($C$2=16.5,L9,IF($C$2=17.5,N9,IF($C$2=18.5,P9,IF($C$2=19.5,R9,IF($C$2=20.5,T9,IF($C$2=21.5,V9,IF($C$2=22.5,X9,IF($C$2=23.5,Z9,IF($C$2=24.5,AB9,IF($C$2=25.5,AD9,IF($C$2=26.5,AF9,IF($C$2=27.5,AH9,IF($C$2=28.5,AJ9,IF($C$2=29.5,AL9,IF($C$2=30.5,AN9,IF($C$2=31.5,AP9,IF($C$2=32.5,AR9,IF($C$2=33.5,AT9)))))))))))))))))))</f>
        <v>22.2</v>
      </c>
      <c r="BK9" s="442">
        <f t="shared" si="1"/>
        <v>23.08</v>
      </c>
      <c r="BN9" s="456" t="s">
        <v>42</v>
      </c>
      <c r="BO9" s="457" t="s">
        <v>86</v>
      </c>
      <c r="BP9" s="458" t="s">
        <v>87</v>
      </c>
      <c r="BQ9" s="456" t="s">
        <v>68</v>
      </c>
      <c r="BR9" s="459" t="s">
        <v>69</v>
      </c>
      <c r="BS9" s="459" t="s">
        <v>70</v>
      </c>
      <c r="BT9" s="459" t="s">
        <v>71</v>
      </c>
      <c r="BU9" s="459"/>
      <c r="BV9" s="459" t="s">
        <v>72</v>
      </c>
      <c r="BW9" s="459">
        <v>7</v>
      </c>
      <c r="BX9" s="460" t="s">
        <v>73</v>
      </c>
      <c r="BY9" s="461" t="s">
        <v>86</v>
      </c>
      <c r="BZ9" s="462" t="s">
        <v>88</v>
      </c>
    </row>
    <row r="10" spans="2:79" x14ac:dyDescent="0.45">
      <c r="B10" s="435">
        <v>6</v>
      </c>
      <c r="C10" s="436">
        <f>IF($C$2=34.5,'S3'!AD10,IF($C$2=35.5,'S3'!AF10,IF($C$2=36.5,'S3'!AH10,IF($C$2=37.5,'S3'!AJ10,IF($C$2=38.5,'S3'!AL10,IF($C$2=39.5,'S3'!AN10,IF($C$2=40.5,'S3'!AP10,IF($C$2=27.5,'S3'!P10,IF($C$2=28.5,'S3'!R10,IF($C$2=29.5,'S3'!T10,IF($C$2=30.5,'S3'!V10,IF($C$2=31.5,'S3'!Z10,IF($C$2=32.5,'S3'!Z10,IF($C$2=33.5,'S3'!AB10))))))))))))))</f>
        <v>17.739999999999998</v>
      </c>
      <c r="D10" s="436">
        <f>IF($C$2=34.5,'S3'!AE10,IF($C$2=35.5,'S3'!AG10,IF($C$2=36.5,'S3'!AI10,IF($C$2=37.5,'S3'!AK10,IF($C$2=38.5,'S3'!AM10,IF($C$2=39.5,'S3'!AO10,IF($C$2=40.5,'S3'!AQ10,IF($C$2=27.5,'S3'!Q10,IF($C$2=28.5,'S3'!S10,IF($C$2=29.5,'S3'!U10,IF($C$2=30.5,'S3'!W10,IF($C$2=31.5,'S3'!Y10,IF($C$2=32.5,'S3'!AA10,IF($C$2=33.5,'S3'!AC10))))))))))))))</f>
        <v>24.84</v>
      </c>
      <c r="E10" s="437">
        <f>IF($E$2=34.5,'S3'!BP10,IF($E$2=35.5,'S3'!BQ10,IF($E$2=36.5,'S3'!BR10,IF($E$2=37.5,'S3'!BS10,IF($E$2=38.5,'S3'!BT10,IF($E$2=39.5,'S3'!BU10,IF($E$2=40.5,'S3'!BV10,IF($E$2=22.5,'S3'!BD10,IF($E$2=23.5,'S3'!BE10,IF($E$2=24.5,'S3'!BF10,IF($E$2=25.5,'S3'!BG10,IF($E$2=26.5,'S3'!BH10,IF($E$2=27.5,'S3'!BI10,IF($E$2=28.5,'S3'!BJ10,IF($E$2=29.5,'S3'!BK10,IF($E$2=30.5,'S3'!BL10,IF($E$2=31.5,'S3'!BM10,IF($E$2=32.5,'S3'!BN10,IF($E$2=33.5,'S3'!BO10)))))))))))))))))))</f>
        <v>11.73</v>
      </c>
      <c r="F10" s="437">
        <f t="shared" si="0"/>
        <v>16.420000000000002</v>
      </c>
      <c r="H10" s="439" t="s">
        <v>102</v>
      </c>
      <c r="I10" s="440" t="s">
        <v>46</v>
      </c>
      <c r="J10" s="443">
        <v>39.17</v>
      </c>
      <c r="K10" s="443">
        <v>41.87</v>
      </c>
      <c r="L10" s="443">
        <v>39.630000000000003</v>
      </c>
      <c r="M10" s="443">
        <v>42.33</v>
      </c>
      <c r="N10" s="443">
        <v>40.08</v>
      </c>
      <c r="O10" s="443">
        <v>42.78</v>
      </c>
      <c r="P10" s="443">
        <v>40.53</v>
      </c>
      <c r="Q10" s="443">
        <v>43.23</v>
      </c>
      <c r="R10" s="443">
        <v>40.98</v>
      </c>
      <c r="S10" s="443">
        <v>43.68</v>
      </c>
      <c r="T10" s="443">
        <v>41.43</v>
      </c>
      <c r="U10" s="443">
        <v>44.13</v>
      </c>
      <c r="V10" s="443">
        <v>41.88</v>
      </c>
      <c r="W10" s="443">
        <v>44.58</v>
      </c>
      <c r="X10" s="444">
        <v>42.33</v>
      </c>
      <c r="Y10" s="441">
        <v>45.03</v>
      </c>
      <c r="Z10" s="441">
        <v>42.78</v>
      </c>
      <c r="AA10" s="441">
        <v>45.48</v>
      </c>
      <c r="AB10" s="441">
        <v>43.23</v>
      </c>
      <c r="AC10" s="441">
        <v>45.93</v>
      </c>
      <c r="AD10" s="441">
        <v>43.68</v>
      </c>
      <c r="AE10" s="441">
        <v>46.38</v>
      </c>
      <c r="AF10" s="441">
        <v>44.13</v>
      </c>
      <c r="AG10" s="441">
        <v>46.83</v>
      </c>
      <c r="AH10" s="441">
        <v>44.58</v>
      </c>
      <c r="AI10" s="441">
        <v>47.28</v>
      </c>
      <c r="AJ10" s="441">
        <v>45.03</v>
      </c>
      <c r="AK10" s="441">
        <v>47.73</v>
      </c>
      <c r="AL10" s="441">
        <v>45.49</v>
      </c>
      <c r="AM10" s="441">
        <v>48.19</v>
      </c>
      <c r="AN10" s="441">
        <v>45.94</v>
      </c>
      <c r="AO10" s="441">
        <v>48.64</v>
      </c>
      <c r="AP10" s="439">
        <v>46.39</v>
      </c>
      <c r="AQ10" s="439">
        <v>49.09</v>
      </c>
      <c r="AR10" s="446">
        <v>46.84</v>
      </c>
      <c r="AS10" s="446">
        <v>49.54</v>
      </c>
      <c r="AT10" s="446">
        <v>47.29</v>
      </c>
      <c r="AU10" s="446">
        <v>49.99</v>
      </c>
      <c r="AV10" s="446">
        <v>47.74</v>
      </c>
      <c r="AW10" s="446">
        <v>50.44</v>
      </c>
      <c r="AX10" s="446">
        <v>48.19</v>
      </c>
      <c r="AY10" s="446">
        <v>50.89</v>
      </c>
      <c r="AZ10" s="446">
        <v>39.15</v>
      </c>
      <c r="BA10" s="446">
        <v>41.13</v>
      </c>
      <c r="BB10" s="447">
        <v>39.6</v>
      </c>
      <c r="BC10" s="446">
        <v>41.58</v>
      </c>
      <c r="BD10" s="446">
        <v>40.049999999999997</v>
      </c>
      <c r="BE10" s="446">
        <v>42.03</v>
      </c>
      <c r="BF10" s="447">
        <v>40.5</v>
      </c>
      <c r="BG10" s="446">
        <v>42.48</v>
      </c>
      <c r="BH10" s="447">
        <v>32.380000000000003</v>
      </c>
      <c r="BI10" s="447">
        <v>34.36</v>
      </c>
      <c r="BJ10" s="442">
        <f>IF($C$2=15.5,J10,IF($C$2=16.5,L10,IF($C$2=17.5,N10,IF($C$2=18.5,P10,IF($C$2=19.5,R10,IF($C$2=20.5,T10,IF($C$2=21.5,V10,IF($C$2=22.5,X10,IF($C$2=23.5,Z10,IF($C$2=24.5,AB10,IF($C$2=25.5,AD10,IF($C$2=26.5,AF10,IF($C$2=27.5,AH10,IF($C$2=28.5,AJ10,IF($C$2=29.5,AL10,IF($C$2=30.5,AN10,IF($C$2=31.5,AP10,IF($C$2=32.5,AR10,IF($C$2=33.5,AT10)))))))))))))))))))</f>
        <v>46.84</v>
      </c>
      <c r="BK10" s="442">
        <f t="shared" si="1"/>
        <v>49.54</v>
      </c>
      <c r="BN10" s="463">
        <f>ปร.งานทาง!$H$89</f>
        <v>616495.84000000008</v>
      </c>
      <c r="BO10" s="440"/>
      <c r="BP10" s="464"/>
      <c r="BQ10" s="463">
        <v>5</v>
      </c>
      <c r="BR10" s="465">
        <v>6</v>
      </c>
      <c r="BS10" s="466">
        <v>18.2361</v>
      </c>
      <c r="BT10" s="467" t="e">
        <f>-BR3/12*(BR6/100+(BR10+BR7-1)*BR4/100-(BR4+BR6)/100*(BR10+1)/2-(BR7-1))</f>
        <v>#REF!</v>
      </c>
      <c r="BU10" s="467">
        <v>5.5</v>
      </c>
      <c r="BV10" s="466" t="e">
        <f>1+( BS10+BT10+BU10)/100</f>
        <v>#REF!</v>
      </c>
      <c r="BW10" s="465">
        <f>BW9/100+1</f>
        <v>1.07</v>
      </c>
      <c r="BX10" s="468" t="e">
        <f>BV10*BW10</f>
        <v>#REF!</v>
      </c>
      <c r="BY10" s="469">
        <v>1.3512</v>
      </c>
      <c r="BZ10" s="470">
        <v>1.3713</v>
      </c>
      <c r="CA10" s="471"/>
    </row>
    <row r="11" spans="2:79" x14ac:dyDescent="0.45">
      <c r="B11" s="435">
        <v>7</v>
      </c>
      <c r="C11" s="436">
        <f>IF($C$2=34.5,'S3'!AD11,IF($C$2=35.5,'S3'!AF11,IF($C$2=36.5,'S3'!AH11,IF($C$2=37.5,'S3'!AJ11,IF($C$2=38.5,'S3'!AL11,IF($C$2=39.5,'S3'!AN11,IF($C$2=40.5,'S3'!AP11,IF($C$2=27.5,'S3'!P11,IF($C$2=28.5,'S3'!R11,IF($C$2=29.5,'S3'!T11,IF($C$2=30.5,'S3'!V11,IF($C$2=31.5,'S3'!Z11,IF($C$2=32.5,'S3'!Z11,IF($C$2=33.5,'S3'!AB11))))))))))))))</f>
        <v>19.649999999999999</v>
      </c>
      <c r="D11" s="436">
        <f>IF($C$2=34.5,'S3'!AE11,IF($C$2=35.5,'S3'!AG11,IF($C$2=36.5,'S3'!AI11,IF($C$2=37.5,'S3'!AK11,IF($C$2=38.5,'S3'!AM11,IF($C$2=39.5,'S3'!AO11,IF($C$2=40.5,'S3'!AQ11,IF($C$2=27.5,'S3'!Q11,IF($C$2=28.5,'S3'!S11,IF($C$2=29.5,'S3'!U11,IF($C$2=30.5,'S3'!W11,IF($C$2=31.5,'S3'!Y11,IF($C$2=32.5,'S3'!AA11,IF($C$2=33.5,'S3'!AC11))))))))))))))</f>
        <v>27.51</v>
      </c>
      <c r="E11" s="437">
        <f>IF($E$2=34.5,'S3'!BP11,IF($E$2=35.5,'S3'!BQ11,IF($E$2=36.5,'S3'!BR11,IF($E$2=37.5,'S3'!BS11,IF($E$2=38.5,'S3'!BT11,IF($E$2=39.5,'S3'!BU11,IF($E$2=40.5,'S3'!BV11,IF($E$2=22.5,'S3'!BD11,IF($E$2=23.5,'S3'!BE11,IF($E$2=24.5,'S3'!BF11,IF($E$2=25.5,'S3'!BG11,IF($E$2=26.5,'S3'!BH11,IF($E$2=27.5,'S3'!BI11,IF($E$2=28.5,'S3'!BJ11,IF($E$2=29.5,'S3'!BK11,IF($E$2=30.5,'S3'!BL11,IF($E$2=31.5,'S3'!BM11,IF($E$2=32.5,'S3'!BN11,IF($E$2=33.5,'S3'!BO11)))))))))))))))))))</f>
        <v>13.17</v>
      </c>
      <c r="F11" s="437">
        <f t="shared" si="0"/>
        <v>18.440000000000001</v>
      </c>
      <c r="H11" s="448" t="s">
        <v>343</v>
      </c>
      <c r="I11" s="449"/>
      <c r="J11" s="450"/>
      <c r="K11" s="450"/>
      <c r="L11" s="450"/>
      <c r="M11" s="450"/>
      <c r="N11" s="450"/>
      <c r="O11" s="450"/>
      <c r="P11" s="450"/>
      <c r="Q11" s="450"/>
      <c r="R11" s="450"/>
      <c r="S11" s="450"/>
      <c r="T11" s="450"/>
      <c r="U11" s="450"/>
      <c r="V11" s="450"/>
      <c r="W11" s="450"/>
      <c r="X11" s="441"/>
      <c r="Y11" s="441"/>
      <c r="Z11" s="441"/>
      <c r="AA11" s="441"/>
      <c r="AB11" s="441"/>
      <c r="AC11" s="441"/>
      <c r="AD11" s="441"/>
      <c r="AE11" s="441"/>
      <c r="AF11" s="441"/>
      <c r="AG11" s="441"/>
      <c r="AH11" s="441"/>
      <c r="AI11" s="441"/>
      <c r="AJ11" s="441"/>
      <c r="AK11" s="441"/>
      <c r="AL11" s="441"/>
      <c r="AM11" s="441"/>
      <c r="AN11" s="441"/>
      <c r="AO11" s="441"/>
      <c r="AP11" s="439"/>
      <c r="AQ11" s="439"/>
      <c r="AR11" s="446"/>
      <c r="AS11" s="446"/>
      <c r="AT11" s="446"/>
      <c r="AU11" s="446"/>
      <c r="AV11" s="446"/>
      <c r="AW11" s="446"/>
      <c r="AX11" s="446"/>
      <c r="AY11" s="446"/>
      <c r="AZ11" s="446"/>
      <c r="BA11" s="446"/>
      <c r="BB11" s="446"/>
      <c r="BC11" s="446"/>
      <c r="BD11" s="446"/>
      <c r="BE11" s="446"/>
      <c r="BF11" s="446"/>
      <c r="BG11" s="446"/>
      <c r="BH11" s="446"/>
      <c r="BI11" s="446"/>
      <c r="BJ11" s="451"/>
      <c r="BK11" s="442"/>
      <c r="BN11" s="472">
        <f>BN10/1000000</f>
        <v>0.61649584000000013</v>
      </c>
      <c r="BO11" s="440"/>
      <c r="BP11" s="464"/>
      <c r="BQ11" s="463">
        <v>10</v>
      </c>
      <c r="BR11" s="465">
        <v>9</v>
      </c>
      <c r="BS11" s="466">
        <v>14.041</v>
      </c>
      <c r="BT11" s="473" t="e">
        <f>-BR3/12*(BR6/100+(BR11+BR7-1)*BR4/100-(BR4+BR6)/100*(BR11+1)/2-(BR7-1))</f>
        <v>#REF!</v>
      </c>
      <c r="BU11" s="474">
        <v>5.5</v>
      </c>
      <c r="BV11" s="466" t="e">
        <f>1+( BS11+BT11+BU11)/100</f>
        <v>#REF!</v>
      </c>
      <c r="BW11" s="465">
        <f>BW9/100+1</f>
        <v>1.07</v>
      </c>
      <c r="BX11" s="468" t="e">
        <f t="shared" ref="BX11:BX20" si="2">BV11*BW11</f>
        <v>#REF!</v>
      </c>
      <c r="BY11" s="475">
        <v>1.3063</v>
      </c>
      <c r="BZ11" s="476">
        <v>1.3275999999999999</v>
      </c>
      <c r="CA11" s="471"/>
    </row>
    <row r="12" spans="2:79" x14ac:dyDescent="0.45">
      <c r="B12" s="435">
        <v>8</v>
      </c>
      <c r="C12" s="436">
        <f>IF($C$2=34.5,'S3'!AD12,IF($C$2=35.5,'S3'!AF12,IF($C$2=36.5,'S3'!AH12,IF($C$2=37.5,'S3'!AJ12,IF($C$2=38.5,'S3'!AL12,IF($C$2=39.5,'S3'!AN12,IF($C$2=40.5,'S3'!AP12,IF($C$2=27.5,'S3'!P12,IF($C$2=28.5,'S3'!R12,IF($C$2=29.5,'S3'!T12,IF($C$2=30.5,'S3'!V12,IF($C$2=31.5,'S3'!Z12,IF($C$2=32.5,'S3'!Z12,IF($C$2=33.5,'S3'!AB12))))))))))))))</f>
        <v>21.79</v>
      </c>
      <c r="D12" s="436">
        <f>IF($C$2=34.5,'S3'!AE12,IF($C$2=35.5,'S3'!AG12,IF($C$2=36.5,'S3'!AI12,IF($C$2=37.5,'S3'!AK12,IF($C$2=38.5,'S3'!AM12,IF($C$2=39.5,'S3'!AO12,IF($C$2=40.5,'S3'!AQ12,IF($C$2=27.5,'S3'!Q12,IF($C$2=28.5,'S3'!S12,IF($C$2=29.5,'S3'!U12,IF($C$2=30.5,'S3'!W12,IF($C$2=31.5,'S3'!Y12,IF($C$2=32.5,'S3'!AA12,IF($C$2=33.5,'S3'!AC12))))))))))))))</f>
        <v>30.51</v>
      </c>
      <c r="E12" s="437">
        <f>IF($E$2=34.5,'S3'!BP12,IF($E$2=35.5,'S3'!BQ12,IF($E$2=36.5,'S3'!BR12,IF($E$2=37.5,'S3'!BS12,IF($E$2=38.5,'S3'!BT12,IF($E$2=39.5,'S3'!BU12,IF($E$2=40.5,'S3'!BV12,IF($E$2=22.5,'S3'!BD12,IF($E$2=23.5,'S3'!BE12,IF($E$2=24.5,'S3'!BF12,IF($E$2=25.5,'S3'!BG12,IF($E$2=26.5,'S3'!BH12,IF($E$2=27.5,'S3'!BI12,IF($E$2=28.5,'S3'!BJ12,IF($E$2=29.5,'S3'!BK12,IF($E$2=30.5,'S3'!BL12,IF($E$2=31.5,'S3'!BM12,IF($E$2=32.5,'S3'!BN12,IF($E$2=33.5,'S3'!BO12)))))))))))))))))))</f>
        <v>14.61</v>
      </c>
      <c r="F12" s="437">
        <f t="shared" si="0"/>
        <v>20.45</v>
      </c>
      <c r="H12" s="439" t="s">
        <v>99</v>
      </c>
      <c r="I12" s="449" t="s">
        <v>100</v>
      </c>
      <c r="J12" s="450">
        <v>18.649999999999999</v>
      </c>
      <c r="K12" s="450">
        <v>19.420000000000002</v>
      </c>
      <c r="L12" s="450">
        <v>18.48</v>
      </c>
      <c r="M12" s="450">
        <v>19.61</v>
      </c>
      <c r="N12" s="450">
        <v>19.02</v>
      </c>
      <c r="O12" s="450">
        <v>19.79</v>
      </c>
      <c r="P12" s="450">
        <v>19.21</v>
      </c>
      <c r="Q12" s="450">
        <v>19.98</v>
      </c>
      <c r="R12" s="477">
        <v>19.399999999999999</v>
      </c>
      <c r="S12" s="450">
        <v>20.170000000000002</v>
      </c>
      <c r="T12" s="450">
        <v>19.59</v>
      </c>
      <c r="U12" s="450">
        <v>20.36</v>
      </c>
      <c r="V12" s="450">
        <v>19.78</v>
      </c>
      <c r="W12" s="450">
        <v>20.55</v>
      </c>
      <c r="X12" s="441">
        <v>19.96</v>
      </c>
      <c r="Y12" s="441">
        <v>20.73</v>
      </c>
      <c r="Z12" s="444">
        <v>20.149999999999999</v>
      </c>
      <c r="AA12" s="444">
        <v>20.92</v>
      </c>
      <c r="AB12" s="441">
        <v>20.34</v>
      </c>
      <c r="AC12" s="441">
        <v>21.11</v>
      </c>
      <c r="AD12" s="441">
        <v>20.53</v>
      </c>
      <c r="AE12" s="444">
        <v>21.3</v>
      </c>
      <c r="AF12" s="441">
        <v>20.71</v>
      </c>
      <c r="AG12" s="441">
        <v>21.48</v>
      </c>
      <c r="AH12" s="444">
        <v>20.9</v>
      </c>
      <c r="AI12" s="441">
        <v>21.67</v>
      </c>
      <c r="AJ12" s="444">
        <v>21.09</v>
      </c>
      <c r="AK12" s="441">
        <v>21.86</v>
      </c>
      <c r="AL12" s="441">
        <v>21.28</v>
      </c>
      <c r="AM12" s="441">
        <v>22.05</v>
      </c>
      <c r="AN12" s="441">
        <v>21.47</v>
      </c>
      <c r="AO12" s="441">
        <v>22.24</v>
      </c>
      <c r="AP12" s="439">
        <v>21.65</v>
      </c>
      <c r="AQ12" s="445">
        <v>22.42</v>
      </c>
      <c r="AR12" s="446">
        <v>21.84</v>
      </c>
      <c r="AS12" s="446">
        <v>22.61</v>
      </c>
      <c r="AT12" s="446">
        <v>22.03</v>
      </c>
      <c r="AU12" s="447">
        <v>22.8</v>
      </c>
      <c r="AV12" s="446">
        <v>22.22</v>
      </c>
      <c r="AW12" s="446">
        <v>22.99</v>
      </c>
      <c r="AX12" s="446">
        <v>22.41</v>
      </c>
      <c r="AY12" s="446">
        <v>23.18</v>
      </c>
      <c r="AZ12" s="446">
        <v>19.940000000000001</v>
      </c>
      <c r="BA12" s="446">
        <v>20.67</v>
      </c>
      <c r="BB12" s="446">
        <v>20.12</v>
      </c>
      <c r="BC12" s="446">
        <v>20.86</v>
      </c>
      <c r="BD12" s="446">
        <v>20.309999999999999</v>
      </c>
      <c r="BE12" s="446">
        <v>21.05</v>
      </c>
      <c r="BF12" s="447">
        <v>20.5</v>
      </c>
      <c r="BG12" s="446">
        <v>21.23</v>
      </c>
      <c r="BH12" s="446">
        <v>17.12</v>
      </c>
      <c r="BI12" s="446">
        <v>17.850000000000001</v>
      </c>
      <c r="BJ12" s="442">
        <f>IF($C$2=15.5,J12,IF($C$2=16.5,L12,IF($C$2=17.5,N12,IF($C$2=18.5,P12,IF($C$2=19.5,R12,IF($C$2=20.5,T12,IF($C$2=21.5,V12,IF($C$2=22.5,X12,IF($C$2=23.5,Z12,IF($C$2=24.5,AB12,IF($C$2=25.5,AD12,IF($C$2=26.5,AF12,IF($C$2=27.5,AH12,IF($C$2=28.5,AJ12,IF($C$2=29.5,AL12,IF($C$2=30.5,AN12,IF($C$2=31.5,AP12,IF($C$2=32.5,AR12,IF($C$2=33.5,AT12)))))))))))))))))))</f>
        <v>21.84</v>
      </c>
      <c r="BK12" s="442">
        <f t="shared" si="1"/>
        <v>22.61</v>
      </c>
      <c r="BN12" s="478">
        <f>BN11/10</f>
        <v>6.1649584000000014E-2</v>
      </c>
      <c r="BO12" s="440"/>
      <c r="BP12" s="464"/>
      <c r="BQ12" s="463">
        <v>20</v>
      </c>
      <c r="BR12" s="465">
        <v>12</v>
      </c>
      <c r="BS12" s="466">
        <v>9.7858000000000001</v>
      </c>
      <c r="BT12" s="473" t="e">
        <f>-BR3/12*(BR6/100+(BR12+BR7-1)*BR4/100-(BR4+BR6)/100*(BR12+1)/2-(BR7-1))</f>
        <v>#REF!</v>
      </c>
      <c r="BU12" s="474">
        <v>5.5</v>
      </c>
      <c r="BV12" s="466" t="e">
        <f>1+( BS12+BT12+BU12)/100</f>
        <v>#REF!</v>
      </c>
      <c r="BW12" s="465">
        <f>BW9/100+1</f>
        <v>1.07</v>
      </c>
      <c r="BX12" s="468" t="e">
        <f t="shared" si="2"/>
        <v>#REF!</v>
      </c>
      <c r="BY12" s="475">
        <v>1.2587999999999999</v>
      </c>
      <c r="BZ12" s="476">
        <v>1.2794000000000001</v>
      </c>
      <c r="CA12" s="471"/>
    </row>
    <row r="13" spans="2:79" x14ac:dyDescent="0.45">
      <c r="B13" s="435">
        <v>9</v>
      </c>
      <c r="C13" s="436">
        <f>IF($C$2=34.5,'S3'!AD13,IF($C$2=35.5,'S3'!AF13,IF($C$2=36.5,'S3'!AH13,IF($C$2=37.5,'S3'!AJ13,IF($C$2=38.5,'S3'!AL13,IF($C$2=39.5,'S3'!AN13,IF($C$2=40.5,'S3'!AP13,IF($C$2=27.5,'S3'!P13,IF($C$2=28.5,'S3'!R13,IF($C$2=29.5,'S3'!T13,IF($C$2=30.5,'S3'!V13,IF($C$2=31.5,'S3'!Z13,IF($C$2=32.5,'S3'!Z13,IF($C$2=33.5,'S3'!AB13))))))))))))))</f>
        <v>24.36</v>
      </c>
      <c r="D13" s="436">
        <f>IF($C$2=34.5,'S3'!AE13,IF($C$2=35.5,'S3'!AG13,IF($C$2=36.5,'S3'!AI13,IF($C$2=37.5,'S3'!AK13,IF($C$2=38.5,'S3'!AM13,IF($C$2=39.5,'S3'!AO13,IF($C$2=40.5,'S3'!AQ13,IF($C$2=27.5,'S3'!Q13,IF($C$2=28.5,'S3'!S13,IF($C$2=29.5,'S3'!U13,IF($C$2=30.5,'S3'!W13,IF($C$2=31.5,'S3'!Y13,IF($C$2=32.5,'S3'!AA13,IF($C$2=33.5,'S3'!AC13))))))))))))))</f>
        <v>34.1</v>
      </c>
      <c r="E13" s="437">
        <f>IF($E$2=34.5,'S3'!BP13,IF($E$2=35.5,'S3'!BQ13,IF($E$2=36.5,'S3'!BR13,IF($E$2=37.5,'S3'!BS13,IF($E$2=38.5,'S3'!BT13,IF($E$2=39.5,'S3'!BU13,IF($E$2=40.5,'S3'!BV13,IF($E$2=22.5,'S3'!BD13,IF($E$2=23.5,'S3'!BE13,IF($E$2=24.5,'S3'!BF13,IF($E$2=25.5,'S3'!BG13,IF($E$2=26.5,'S3'!BH13,IF($E$2=27.5,'S3'!BI13,IF($E$2=28.5,'S3'!BJ13,IF($E$2=29.5,'S3'!BK13,IF($E$2=30.5,'S3'!BL13,IF($E$2=31.5,'S3'!BM13,IF($E$2=32.5,'S3'!BN13,IF($E$2=33.5,'S3'!BO13)))))))))))))))))))</f>
        <v>16.04</v>
      </c>
      <c r="F13" s="437">
        <f t="shared" si="0"/>
        <v>22.46</v>
      </c>
      <c r="H13" s="439" t="s">
        <v>344</v>
      </c>
      <c r="I13" s="440" t="s">
        <v>44</v>
      </c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  <c r="U13" s="439"/>
      <c r="V13" s="439"/>
      <c r="W13" s="439"/>
      <c r="X13" s="441"/>
      <c r="Y13" s="441">
        <v>8.06</v>
      </c>
      <c r="Z13" s="441"/>
      <c r="AA13" s="441">
        <v>8.14</v>
      </c>
      <c r="AB13" s="441"/>
      <c r="AC13" s="441">
        <v>8.23</v>
      </c>
      <c r="AD13" s="441"/>
      <c r="AE13" s="441">
        <v>8.31</v>
      </c>
      <c r="AF13" s="441"/>
      <c r="AG13" s="441">
        <v>8.39</v>
      </c>
      <c r="AH13" s="441"/>
      <c r="AI13" s="441">
        <v>8.4700000000000006</v>
      </c>
      <c r="AJ13" s="441"/>
      <c r="AK13" s="441">
        <v>8.5500000000000007</v>
      </c>
      <c r="AL13" s="441"/>
      <c r="AM13" s="441">
        <v>8.6300000000000008</v>
      </c>
      <c r="AN13" s="441"/>
      <c r="AO13" s="441">
        <v>8.7100000000000009</v>
      </c>
      <c r="AP13" s="439"/>
      <c r="AQ13" s="439"/>
      <c r="AR13" s="439"/>
      <c r="AS13" s="439"/>
      <c r="AT13" s="439"/>
      <c r="AU13" s="439"/>
      <c r="AV13" s="439"/>
      <c r="AW13" s="439"/>
      <c r="AX13" s="439"/>
      <c r="AY13" s="439"/>
      <c r="AZ13" s="439"/>
      <c r="BA13" s="439"/>
      <c r="BB13" s="439"/>
      <c r="BC13" s="439"/>
      <c r="BD13" s="439"/>
      <c r="BE13" s="439"/>
      <c r="BF13" s="439"/>
      <c r="BG13" s="439"/>
      <c r="BH13" s="439"/>
      <c r="BI13" s="439"/>
      <c r="BJ13" s="439"/>
      <c r="BK13" s="442">
        <f t="shared" si="1"/>
        <v>0</v>
      </c>
      <c r="BN13" s="463">
        <f>IF(BN12&gt;=1,((ROUND(BN12-0.5,0))*10),5)</f>
        <v>5</v>
      </c>
      <c r="BO13" s="440"/>
      <c r="BP13" s="464"/>
      <c r="BQ13" s="463">
        <v>30</v>
      </c>
      <c r="BR13" s="465">
        <v>12</v>
      </c>
      <c r="BS13" s="466">
        <v>6.9081999999999999</v>
      </c>
      <c r="BT13" s="473" t="e">
        <f>-BR3/12*(BR6/100+(BR13+BR7-1)*BR4/100-(BR4+BR6)/100*(BR13+1)/2-(BR7-1))</f>
        <v>#REF!</v>
      </c>
      <c r="BU13" s="474">
        <v>5.5</v>
      </c>
      <c r="BV13" s="466" t="e">
        <f t="shared" ref="BV13:BV20" si="3">1+( BS13+BT13+BU13)/100</f>
        <v>#REF!</v>
      </c>
      <c r="BW13" s="465">
        <f>BW9/100+1</f>
        <v>1.07</v>
      </c>
      <c r="BX13" s="468" t="e">
        <f t="shared" si="2"/>
        <v>#REF!</v>
      </c>
      <c r="BY13" s="475">
        <v>1.2254</v>
      </c>
      <c r="BZ13" s="476">
        <v>1.2434000000000001</v>
      </c>
      <c r="CA13" s="471"/>
    </row>
    <row r="14" spans="2:79" x14ac:dyDescent="0.45">
      <c r="B14" s="435">
        <v>10</v>
      </c>
      <c r="C14" s="436">
        <f>IF($C$2=34.5,'S3'!AD14,IF($C$2=35.5,'S3'!AF14,IF($C$2=36.5,'S3'!AH14,IF($C$2=37.5,'S3'!AJ14,IF($C$2=38.5,'S3'!AL14,IF($C$2=39.5,'S3'!AN14,IF($C$2=40.5,'S3'!AP14,IF($C$2=27.5,'S3'!P14,IF($C$2=28.5,'S3'!R14,IF($C$2=29.5,'S3'!T14,IF($C$2=30.5,'S3'!V14,IF($C$2=31.5,'S3'!Z14,IF($C$2=32.5,'S3'!Z14,IF($C$2=33.5,'S3'!AB14))))))))))))))</f>
        <v>26.93</v>
      </c>
      <c r="D14" s="436">
        <f>IF($C$2=34.5,'S3'!AE14,IF($C$2=35.5,'S3'!AG14,IF($C$2=36.5,'S3'!AI14,IF($C$2=37.5,'S3'!AK14,IF($C$2=38.5,'S3'!AM14,IF($C$2=39.5,'S3'!AO14,IF($C$2=40.5,'S3'!AQ14,IF($C$2=27.5,'S3'!Q14,IF($C$2=28.5,'S3'!S14,IF($C$2=29.5,'S3'!U14,IF($C$2=30.5,'S3'!W14,IF($C$2=31.5,'S3'!Y14,IF($C$2=32.5,'S3'!AA14,IF($C$2=33.5,'S3'!AC14))))))))))))))</f>
        <v>37.700000000000003</v>
      </c>
      <c r="E14" s="437">
        <f>IF($E$2=34.5,'S3'!BP14,IF($E$2=35.5,'S3'!BQ14,IF($E$2=36.5,'S3'!BR14,IF($E$2=37.5,'S3'!BS14,IF($E$2=38.5,'S3'!BT14,IF($E$2=39.5,'S3'!BU14,IF($E$2=40.5,'S3'!BV14,IF($E$2=22.5,'S3'!BD14,IF($E$2=23.5,'S3'!BE14,IF($E$2=24.5,'S3'!BF14,IF($E$2=25.5,'S3'!BG14,IF($E$2=26.5,'S3'!BH14,IF($E$2=27.5,'S3'!BI14,IF($E$2=28.5,'S3'!BJ14,IF($E$2=29.5,'S3'!BK14,IF($E$2=30.5,'S3'!BL14,IF($E$2=31.5,'S3'!BM14,IF($E$2=32.5,'S3'!BN14,IF($E$2=33.5,'S3'!BO14)))))))))))))))))))</f>
        <v>17.48</v>
      </c>
      <c r="F14" s="437">
        <f t="shared" si="0"/>
        <v>24.47</v>
      </c>
      <c r="H14" s="479" t="s">
        <v>345</v>
      </c>
      <c r="I14" s="440"/>
      <c r="J14" s="443"/>
      <c r="K14" s="443"/>
      <c r="L14" s="443"/>
      <c r="M14" s="443"/>
      <c r="N14" s="443"/>
      <c r="O14" s="443"/>
      <c r="P14" s="443"/>
      <c r="Q14" s="443"/>
      <c r="R14" s="443"/>
      <c r="S14" s="443"/>
      <c r="T14" s="443"/>
      <c r="U14" s="443"/>
      <c r="V14" s="443"/>
      <c r="W14" s="443"/>
      <c r="X14" s="441"/>
      <c r="Y14" s="441"/>
      <c r="Z14" s="441"/>
      <c r="AA14" s="441"/>
      <c r="AB14" s="441"/>
      <c r="AC14" s="441"/>
      <c r="AD14" s="441"/>
      <c r="AE14" s="441"/>
      <c r="AF14" s="441"/>
      <c r="AG14" s="441"/>
      <c r="AH14" s="441"/>
      <c r="AI14" s="441"/>
      <c r="AJ14" s="441"/>
      <c r="AK14" s="441"/>
      <c r="AL14" s="441"/>
      <c r="AM14" s="441"/>
      <c r="AN14" s="441"/>
      <c r="AO14" s="441"/>
      <c r="AP14" s="439"/>
      <c r="AQ14" s="439"/>
      <c r="AR14" s="439"/>
      <c r="AS14" s="439"/>
      <c r="AT14" s="439"/>
      <c r="AU14" s="439"/>
      <c r="AV14" s="439"/>
      <c r="AW14" s="439"/>
      <c r="AX14" s="439"/>
      <c r="AY14" s="439"/>
      <c r="AZ14" s="439"/>
      <c r="BA14" s="439"/>
      <c r="BB14" s="439"/>
      <c r="BC14" s="439"/>
      <c r="BD14" s="439"/>
      <c r="BE14" s="439"/>
      <c r="BF14" s="439"/>
      <c r="BG14" s="439"/>
      <c r="BH14" s="439"/>
      <c r="BI14" s="439"/>
      <c r="BJ14" s="451"/>
      <c r="BK14" s="442">
        <f t="shared" si="1"/>
        <v>0</v>
      </c>
      <c r="BN14" s="463">
        <f>(ROUND(BN12+0.5,0))*10</f>
        <v>10</v>
      </c>
      <c r="BO14" s="440"/>
      <c r="BP14" s="464"/>
      <c r="BQ14" s="463">
        <v>40</v>
      </c>
      <c r="BR14" s="465">
        <v>16</v>
      </c>
      <c r="BS14" s="466">
        <v>6.9898999999999996</v>
      </c>
      <c r="BT14" s="473" t="e">
        <f>-BR3/12*(BR6/100+(BR14+BR7-1)*BR4/100-(BR4+BR6)/100*(BR14+1)/2-(BR7-1))</f>
        <v>#REF!</v>
      </c>
      <c r="BU14" s="474">
        <v>5</v>
      </c>
      <c r="BV14" s="466" t="e">
        <f t="shared" si="3"/>
        <v>#REF!</v>
      </c>
      <c r="BW14" s="465">
        <f>BW9/100+1</f>
        <v>1.07</v>
      </c>
      <c r="BX14" s="468" t="e">
        <f t="shared" si="2"/>
        <v>#REF!</v>
      </c>
      <c r="BY14" s="475">
        <v>1.2214</v>
      </c>
      <c r="BZ14" s="476">
        <v>1.2414000000000001</v>
      </c>
      <c r="CA14" s="471"/>
    </row>
    <row r="15" spans="2:79" x14ac:dyDescent="0.45">
      <c r="B15" s="435">
        <v>11</v>
      </c>
      <c r="C15" s="436">
        <f>IF($C$2=34.5,'S3'!AD15,IF($C$2=35.5,'S3'!AF15,IF($C$2=36.5,'S3'!AH15,IF($C$2=37.5,'S3'!AJ15,IF($C$2=38.5,'S3'!AL15,IF($C$2=39.5,'S3'!AN15,IF($C$2=40.5,'S3'!AP15,IF($C$2=27.5,'S3'!P15,IF($C$2=28.5,'S3'!R15,IF($C$2=29.5,'S3'!T15,IF($C$2=30.5,'S3'!V15,IF($C$2=31.5,'S3'!Z15,IF($C$2=32.5,'S3'!Z15,IF($C$2=33.5,'S3'!AB15))))))))))))))</f>
        <v>29.49</v>
      </c>
      <c r="D15" s="436">
        <f>IF($C$2=34.5,'S3'!AE15,IF($C$2=35.5,'S3'!AG15,IF($C$2=36.5,'S3'!AI15,IF($C$2=37.5,'S3'!AK15,IF($C$2=38.5,'S3'!AM15,IF($C$2=39.5,'S3'!AO15,IF($C$2=40.5,'S3'!AQ15,IF($C$2=27.5,'S3'!Q15,IF($C$2=28.5,'S3'!S15,IF($C$2=29.5,'S3'!U15,IF($C$2=30.5,'S3'!W15,IF($C$2=31.5,'S3'!Y15,IF($C$2=32.5,'S3'!AA15,IF($C$2=33.5,'S3'!AC15))))))))))))))</f>
        <v>41.29</v>
      </c>
      <c r="E15" s="437">
        <f>IF($E$2=34.5,'S3'!BP15,IF($E$2=35.5,'S3'!BQ15,IF($E$2=36.5,'S3'!BR15,IF($E$2=37.5,'S3'!BS15,IF($E$2=38.5,'S3'!BT15,IF($E$2=39.5,'S3'!BU15,IF($E$2=40.5,'S3'!BV15,IF($E$2=22.5,'S3'!BD15,IF($E$2=23.5,'S3'!BE15,IF($E$2=24.5,'S3'!BF15,IF($E$2=25.5,'S3'!BG15,IF($E$2=26.5,'S3'!BH15,IF($E$2=27.5,'S3'!BI15,IF($E$2=28.5,'S3'!BJ15,IF($E$2=29.5,'S3'!BK15,IF($E$2=30.5,'S3'!BL15,IF($E$2=31.5,'S3'!BM15,IF($E$2=32.5,'S3'!BN15,IF($E$2=33.5,'S3'!BO15)))))))))))))))))))</f>
        <v>18.920000000000002</v>
      </c>
      <c r="F15" s="437">
        <f t="shared" si="0"/>
        <v>26.49</v>
      </c>
      <c r="H15" s="480" t="s">
        <v>43</v>
      </c>
      <c r="I15" s="440" t="s">
        <v>44</v>
      </c>
      <c r="J15" s="443">
        <v>27.52</v>
      </c>
      <c r="K15" s="443">
        <v>29.15</v>
      </c>
      <c r="L15" s="443">
        <v>27.82</v>
      </c>
      <c r="M15" s="443">
        <v>29.45</v>
      </c>
      <c r="N15" s="443">
        <v>28.13</v>
      </c>
      <c r="O15" s="443">
        <v>29.76</v>
      </c>
      <c r="P15" s="443">
        <v>28.43</v>
      </c>
      <c r="Q15" s="443">
        <v>30.06</v>
      </c>
      <c r="R15" s="443">
        <v>28.73</v>
      </c>
      <c r="S15" s="443">
        <v>30.36</v>
      </c>
      <c r="T15" s="443">
        <v>29.04</v>
      </c>
      <c r="U15" s="443">
        <v>30.67</v>
      </c>
      <c r="V15" s="443">
        <v>29.34</v>
      </c>
      <c r="W15" s="443">
        <v>30.97</v>
      </c>
      <c r="X15" s="481">
        <v>29.64</v>
      </c>
      <c r="Y15" s="481">
        <v>31.27</v>
      </c>
      <c r="Z15" s="481">
        <v>29.95</v>
      </c>
      <c r="AA15" s="481">
        <v>31.58</v>
      </c>
      <c r="AB15" s="481">
        <v>30.25</v>
      </c>
      <c r="AC15" s="481">
        <v>31.88</v>
      </c>
      <c r="AD15" s="481">
        <v>30.56</v>
      </c>
      <c r="AE15" s="481">
        <v>32.19</v>
      </c>
      <c r="AF15" s="481">
        <v>30.86</v>
      </c>
      <c r="AG15" s="481">
        <v>32.49</v>
      </c>
      <c r="AH15" s="481">
        <v>31.16</v>
      </c>
      <c r="AI15" s="481">
        <v>32.79</v>
      </c>
      <c r="AJ15" s="481">
        <v>31.47</v>
      </c>
      <c r="AK15" s="481">
        <v>33.1</v>
      </c>
      <c r="AL15" s="481">
        <v>31.77</v>
      </c>
      <c r="AM15" s="481">
        <v>33.4</v>
      </c>
      <c r="AN15" s="481">
        <v>32.07</v>
      </c>
      <c r="AO15" s="481">
        <v>33.700000000000003</v>
      </c>
      <c r="AP15" s="482">
        <v>32.380000000000003</v>
      </c>
      <c r="AQ15" s="482">
        <v>34.01</v>
      </c>
      <c r="AR15" s="483">
        <v>32.68</v>
      </c>
      <c r="AS15" s="483">
        <v>34.31</v>
      </c>
      <c r="AT15" s="483">
        <v>32.99</v>
      </c>
      <c r="AU15" s="483">
        <v>34.619999999999997</v>
      </c>
      <c r="AV15" s="483">
        <v>33.29</v>
      </c>
      <c r="AW15" s="483">
        <v>34.92</v>
      </c>
      <c r="AX15" s="483">
        <v>33.590000000000003</v>
      </c>
      <c r="AY15" s="483">
        <v>35.22</v>
      </c>
      <c r="AZ15" s="483">
        <v>30.7</v>
      </c>
      <c r="BA15" s="483">
        <v>32.29</v>
      </c>
      <c r="BB15" s="483">
        <v>31.01</v>
      </c>
      <c r="BC15" s="483">
        <v>32.6</v>
      </c>
      <c r="BD15" s="483">
        <v>31.31</v>
      </c>
      <c r="BE15" s="483">
        <v>32.9</v>
      </c>
      <c r="BF15" s="483">
        <v>31.61</v>
      </c>
      <c r="BG15" s="483">
        <v>33.21</v>
      </c>
      <c r="BH15" s="483">
        <v>26.15</v>
      </c>
      <c r="BI15" s="483">
        <v>27.74</v>
      </c>
      <c r="BJ15" s="442">
        <f>IF($C$2=15.5,J15,IF($C$2=16.5,L15,IF($C$2=17.5,N15,IF($C$2=18.5,P15,IF($C$2=19.5,R15,IF($C$2=20.5,T15,IF($C$2=21.5,V15,IF($C$2=22.5,X15,IF($C$2=23.5,Z15,IF($C$2=24.5,AB15,IF($C$2=25.5,AD15,IF($C$2=26.5,AF15,IF($C$2=27.5,AH15,IF($C$2=28.5,AJ15,IF($C$2=29.5,AL15,IF($C$2=30.5,AN15,IF($C$2=31.5,AP15,IF($C$2=32.5,AR15,IF($C$2=33.5,AT15)))))))))))))))))))</f>
        <v>32.68</v>
      </c>
      <c r="BK15" s="442">
        <f t="shared" si="1"/>
        <v>34.31</v>
      </c>
      <c r="BN15" s="478" t="e">
        <f>VLOOKUP(BN13,BQ10:BX20,8)</f>
        <v>#REF!</v>
      </c>
      <c r="BO15" s="468">
        <f>VLOOKUP(BN13,BQ10:BY20,9)</f>
        <v>1.3512</v>
      </c>
      <c r="BP15" s="484">
        <f>VLOOKUP(BN13,BQ10:BZ20,10)</f>
        <v>1.3713</v>
      </c>
      <c r="BQ15" s="463">
        <v>50</v>
      </c>
      <c r="BR15" s="465">
        <v>18</v>
      </c>
      <c r="BS15" s="466">
        <v>6.4551999999999996</v>
      </c>
      <c r="BT15" s="473" t="e">
        <f>-BR3/12*(BR6/100+(BR15+BR7-1)*BR4/100-(BR4+BR6)/100*(BR15+1)/2-(BR7-1))</f>
        <v>#REF!</v>
      </c>
      <c r="BU15" s="474">
        <v>5</v>
      </c>
      <c r="BV15" s="466" t="e">
        <f t="shared" si="3"/>
        <v>#REF!</v>
      </c>
      <c r="BW15" s="465">
        <f>BW9/100+1</f>
        <v>1.07</v>
      </c>
      <c r="BX15" s="468" t="e">
        <f t="shared" si="2"/>
        <v>#REF!</v>
      </c>
      <c r="BY15" s="475">
        <v>1.2151000000000001</v>
      </c>
      <c r="BZ15" s="476">
        <v>1.2354000000000001</v>
      </c>
      <c r="CA15" s="471"/>
    </row>
    <row r="16" spans="2:79" x14ac:dyDescent="0.45">
      <c r="B16" s="435">
        <v>12</v>
      </c>
      <c r="C16" s="436">
        <f>IF($C$2=34.5,'S3'!AD16,IF($C$2=35.5,'S3'!AF16,IF($C$2=36.5,'S3'!AH16,IF($C$2=37.5,'S3'!AJ16,IF($C$2=38.5,'S3'!AL16,IF($C$2=39.5,'S3'!AN16,IF($C$2=40.5,'S3'!AP16,IF($C$2=27.5,'S3'!P16,IF($C$2=28.5,'S3'!R16,IF($C$2=29.5,'S3'!T16,IF($C$2=30.5,'S3'!V16,IF($C$2=31.5,'S3'!Z16,IF($C$2=32.5,'S3'!Z16,IF($C$2=33.5,'S3'!AB16))))))))))))))</f>
        <v>32.06</v>
      </c>
      <c r="D16" s="436">
        <f>IF($C$2=34.5,'S3'!AE16,IF($C$2=35.5,'S3'!AG16,IF($C$2=36.5,'S3'!AI16,IF($C$2=37.5,'S3'!AK16,IF($C$2=38.5,'S3'!AM16,IF($C$2=39.5,'S3'!AO16,IF($C$2=40.5,'S3'!AQ16,IF($C$2=27.5,'S3'!Q16,IF($C$2=28.5,'S3'!S16,IF($C$2=29.5,'S3'!U16,IF($C$2=30.5,'S3'!W16,IF($C$2=31.5,'S3'!Y16,IF($C$2=32.5,'S3'!AA16,IF($C$2=33.5,'S3'!AC16))))))))))))))</f>
        <v>44.88</v>
      </c>
      <c r="E16" s="437">
        <f>IF($E$2=34.5,'S3'!BP16,IF($E$2=35.5,'S3'!BQ16,IF($E$2=36.5,'S3'!BR16,IF($E$2=37.5,'S3'!BS16,IF($E$2=38.5,'S3'!BT16,IF($E$2=39.5,'S3'!BU16,IF($E$2=40.5,'S3'!BV16,IF($E$2=22.5,'S3'!BD16,IF($E$2=23.5,'S3'!BE16,IF($E$2=24.5,'S3'!BF16,IF($E$2=25.5,'S3'!BG16,IF($E$2=26.5,'S3'!BH16,IF($E$2=27.5,'S3'!BI16,IF($E$2=28.5,'S3'!BJ16,IF($E$2=29.5,'S3'!BK16,IF($E$2=30.5,'S3'!BL16,IF($E$2=31.5,'S3'!BM16,IF($E$2=32.5,'S3'!BN16,IF($E$2=33.5,'S3'!BO16)))))))))))))))))))</f>
        <v>20.350000000000001</v>
      </c>
      <c r="F16" s="437">
        <f t="shared" si="0"/>
        <v>28.49</v>
      </c>
      <c r="H16" s="480" t="s">
        <v>45</v>
      </c>
      <c r="I16" s="440" t="s">
        <v>46</v>
      </c>
      <c r="J16" s="443">
        <v>8.51</v>
      </c>
      <c r="K16" s="443">
        <v>8.8800000000000008</v>
      </c>
      <c r="L16" s="443">
        <v>8.3000000000000007</v>
      </c>
      <c r="M16" s="443">
        <v>8.9700000000000006</v>
      </c>
      <c r="N16" s="443">
        <v>8.68</v>
      </c>
      <c r="O16" s="443">
        <v>9.0500000000000007</v>
      </c>
      <c r="P16" s="443">
        <v>8.76</v>
      </c>
      <c r="Q16" s="443">
        <v>9.1300000000000008</v>
      </c>
      <c r="R16" s="443">
        <v>8.85</v>
      </c>
      <c r="S16" s="443">
        <v>9.2200000000000006</v>
      </c>
      <c r="T16" s="443">
        <v>8.93</v>
      </c>
      <c r="U16" s="443">
        <v>9.3000000000000007</v>
      </c>
      <c r="V16" s="443">
        <v>9.01</v>
      </c>
      <c r="W16" s="443">
        <v>9.3800000000000008</v>
      </c>
      <c r="X16" s="481">
        <v>9.09</v>
      </c>
      <c r="Y16" s="481">
        <v>9.4600000000000009</v>
      </c>
      <c r="Z16" s="481">
        <v>9.18</v>
      </c>
      <c r="AA16" s="481">
        <v>9.5500000000000007</v>
      </c>
      <c r="AB16" s="481">
        <v>9.26</v>
      </c>
      <c r="AC16" s="481">
        <v>9.6300000000000008</v>
      </c>
      <c r="AD16" s="481">
        <v>9.34</v>
      </c>
      <c r="AE16" s="481">
        <v>9.7100000000000009</v>
      </c>
      <c r="AF16" s="481">
        <v>9.42</v>
      </c>
      <c r="AG16" s="481">
        <v>9.7899999999999991</v>
      </c>
      <c r="AH16" s="481">
        <v>9.51</v>
      </c>
      <c r="AI16" s="481">
        <v>9.8800000000000008</v>
      </c>
      <c r="AJ16" s="481">
        <v>9.59</v>
      </c>
      <c r="AK16" s="481">
        <v>9.9600000000000009</v>
      </c>
      <c r="AL16" s="481">
        <v>9.67</v>
      </c>
      <c r="AM16" s="481">
        <v>10.039999999999999</v>
      </c>
      <c r="AN16" s="481">
        <v>9.76</v>
      </c>
      <c r="AO16" s="481">
        <v>10.130000000000001</v>
      </c>
      <c r="AP16" s="482">
        <v>9.84</v>
      </c>
      <c r="AQ16" s="482">
        <v>10.210000000000001</v>
      </c>
      <c r="AR16" s="483">
        <v>9.92</v>
      </c>
      <c r="AS16" s="483">
        <v>10.29</v>
      </c>
      <c r="AT16" s="483">
        <v>10</v>
      </c>
      <c r="AU16" s="483">
        <v>10.37</v>
      </c>
      <c r="AV16" s="483">
        <v>10.09</v>
      </c>
      <c r="AW16" s="483">
        <v>10.46</v>
      </c>
      <c r="AX16" s="483">
        <v>10.17</v>
      </c>
      <c r="AY16" s="483">
        <v>10.54</v>
      </c>
      <c r="AZ16" s="483">
        <v>8.15</v>
      </c>
      <c r="BA16" s="483">
        <v>8.4</v>
      </c>
      <c r="BB16" s="483">
        <v>8.23</v>
      </c>
      <c r="BC16" s="483">
        <v>8.48</v>
      </c>
      <c r="BD16" s="483">
        <v>8.31</v>
      </c>
      <c r="BE16" s="483">
        <v>8.57</v>
      </c>
      <c r="BF16" s="483">
        <v>8.4</v>
      </c>
      <c r="BG16" s="483">
        <v>8.65</v>
      </c>
      <c r="BH16" s="483">
        <v>6.91</v>
      </c>
      <c r="BI16" s="483">
        <v>7.16</v>
      </c>
      <c r="BJ16" s="442">
        <f>IF($C$2=15.5,J16,IF($C$2=16.5,L16,IF($C$2=17.5,N16,IF($C$2=18.5,P16,IF($C$2=19.5,R16,IF($C$2=20.5,T16,IF($C$2=21.5,V16,IF($C$2=22.5,X16,IF($C$2=23.5,Z16,IF($C$2=24.5,AB16,IF($C$2=25.5,AD16,IF($C$2=26.5,AF16,IF($C$2=27.5,AH16,IF($C$2=28.5,AJ16,IF($C$2=29.5,AL16,IF($C$2=30.5,AN16,IF($C$2=31.5,AP16,IF($C$2=32.5,AR16,IF($C$2=33.5,AT16)))))))))))))))))))</f>
        <v>9.92</v>
      </c>
      <c r="BK16" s="442">
        <f t="shared" si="1"/>
        <v>10.29</v>
      </c>
      <c r="BN16" s="478" t="e">
        <f>VLOOKUP(BN14,BQ10:BX20,8)</f>
        <v>#REF!</v>
      </c>
      <c r="BO16" s="468">
        <f>VLOOKUP(BN14,BQ10:BY20,9)</f>
        <v>1.3063</v>
      </c>
      <c r="BP16" s="484">
        <f>VLOOKUP(BN14,BQ10:BZ20,10)</f>
        <v>1.3275999999999999</v>
      </c>
      <c r="BQ16" s="463">
        <v>60</v>
      </c>
      <c r="BR16" s="465">
        <v>18</v>
      </c>
      <c r="BS16" s="466">
        <v>5.5918999999999999</v>
      </c>
      <c r="BT16" s="473" t="e">
        <f>-BR3/12*(BR6/100+(BR16+BR7-1)*BR4/100-(BR4+BR6)/100*(BR16+1)/2-(BR7-1))</f>
        <v>#REF!</v>
      </c>
      <c r="BU16" s="474">
        <v>5</v>
      </c>
      <c r="BV16" s="466" t="e">
        <f t="shared" si="3"/>
        <v>#REF!</v>
      </c>
      <c r="BW16" s="465">
        <f>BW9/100+1</f>
        <v>1.07</v>
      </c>
      <c r="BX16" s="468" t="e">
        <f t="shared" si="2"/>
        <v>#REF!</v>
      </c>
      <c r="BY16" s="475">
        <v>1.2470000000000001</v>
      </c>
      <c r="BZ16" s="476">
        <v>1.2239</v>
      </c>
      <c r="CA16" s="471"/>
    </row>
    <row r="17" spans="2:79" x14ac:dyDescent="0.45">
      <c r="B17" s="435">
        <v>13</v>
      </c>
      <c r="C17" s="436">
        <f>IF($C$2=34.5,'S3'!AD17,IF($C$2=35.5,'S3'!AF17,IF($C$2=36.5,'S3'!AH17,IF($C$2=37.5,'S3'!AJ17,IF($C$2=38.5,'S3'!AL17,IF($C$2=39.5,'S3'!AN17,IF($C$2=40.5,'S3'!AP17,IF($C$2=27.5,'S3'!P17,IF($C$2=28.5,'S3'!R17,IF($C$2=29.5,'S3'!T17,IF($C$2=30.5,'S3'!V17,IF($C$2=31.5,'S3'!Z17,IF($C$2=32.5,'S3'!Z17,IF($C$2=33.5,'S3'!AB17))))))))))))))</f>
        <v>34.619999999999997</v>
      </c>
      <c r="D17" s="436">
        <f>IF($C$2=34.5,'S3'!AE17,IF($C$2=35.5,'S3'!AG17,IF($C$2=36.5,'S3'!AI17,IF($C$2=37.5,'S3'!AK17,IF($C$2=38.5,'S3'!AM17,IF($C$2=39.5,'S3'!AO17,IF($C$2=40.5,'S3'!AQ17,IF($C$2=27.5,'S3'!Q17,IF($C$2=28.5,'S3'!S17,IF($C$2=29.5,'S3'!U17,IF($C$2=30.5,'S3'!W17,IF($C$2=31.5,'S3'!Y17,IF($C$2=32.5,'S3'!AA17,IF($C$2=33.5,'S3'!AC17))))))))))))))</f>
        <v>48.47</v>
      </c>
      <c r="E17" s="437">
        <f>IF($E$2=34.5,'S3'!BP17,IF($E$2=35.5,'S3'!BQ17,IF($E$2=36.5,'S3'!BR17,IF($E$2=37.5,'S3'!BS17,IF($E$2=38.5,'S3'!BT17,IF($E$2=39.5,'S3'!BU17,IF($E$2=40.5,'S3'!BV17,IF($E$2=22.5,'S3'!BD17,IF($E$2=23.5,'S3'!BE17,IF($E$2=24.5,'S3'!BF17,IF($E$2=25.5,'S3'!BG17,IF($E$2=26.5,'S3'!BH17,IF($E$2=27.5,'S3'!BI17,IF($E$2=28.5,'S3'!BJ17,IF($E$2=29.5,'S3'!BK17,IF($E$2=30.5,'S3'!BL17,IF($E$2=31.5,'S3'!BM17,IF($E$2=32.5,'S3'!BN17,IF($E$2=33.5,'S3'!BO17)))))))))))))))))))</f>
        <v>21.79</v>
      </c>
      <c r="F17" s="437">
        <f t="shared" si="0"/>
        <v>30.51</v>
      </c>
      <c r="H17" s="480" t="s">
        <v>47</v>
      </c>
      <c r="I17" s="440" t="s">
        <v>46</v>
      </c>
      <c r="J17" s="443">
        <v>47.01</v>
      </c>
      <c r="K17" s="443">
        <v>50.25</v>
      </c>
      <c r="L17" s="443">
        <v>47.55</v>
      </c>
      <c r="M17" s="443">
        <v>50.79</v>
      </c>
      <c r="N17" s="443">
        <v>48.09</v>
      </c>
      <c r="O17" s="443">
        <v>51.33</v>
      </c>
      <c r="P17" s="443">
        <v>48.63</v>
      </c>
      <c r="Q17" s="443">
        <v>51.87</v>
      </c>
      <c r="R17" s="443">
        <v>49.17</v>
      </c>
      <c r="S17" s="443">
        <v>52.41</v>
      </c>
      <c r="T17" s="443">
        <v>49.71</v>
      </c>
      <c r="U17" s="443">
        <v>52.95</v>
      </c>
      <c r="V17" s="443">
        <v>50.25</v>
      </c>
      <c r="W17" s="443">
        <v>53.49</v>
      </c>
      <c r="X17" s="481">
        <v>50.8</v>
      </c>
      <c r="Y17" s="481">
        <v>54.04</v>
      </c>
      <c r="Z17" s="481">
        <v>51.34</v>
      </c>
      <c r="AA17" s="481">
        <v>54.58</v>
      </c>
      <c r="AB17" s="481">
        <v>51.88</v>
      </c>
      <c r="AC17" s="481">
        <v>55.12</v>
      </c>
      <c r="AD17" s="481">
        <v>52.42</v>
      </c>
      <c r="AE17" s="481">
        <v>55.66</v>
      </c>
      <c r="AF17" s="481">
        <v>52.96</v>
      </c>
      <c r="AG17" s="481">
        <v>56.2</v>
      </c>
      <c r="AH17" s="481">
        <v>53.5</v>
      </c>
      <c r="AI17" s="481">
        <v>56.74</v>
      </c>
      <c r="AJ17" s="481">
        <v>54.04</v>
      </c>
      <c r="AK17" s="481">
        <v>57.28</v>
      </c>
      <c r="AL17" s="481">
        <v>54.58</v>
      </c>
      <c r="AM17" s="481">
        <v>57.82</v>
      </c>
      <c r="AN17" s="481">
        <v>55.12</v>
      </c>
      <c r="AO17" s="481">
        <v>58.36</v>
      </c>
      <c r="AP17" s="482">
        <v>55.66</v>
      </c>
      <c r="AQ17" s="482">
        <v>58.9</v>
      </c>
      <c r="AR17" s="483">
        <v>56.21</v>
      </c>
      <c r="AS17" s="483">
        <v>59.45</v>
      </c>
      <c r="AT17" s="483">
        <v>56.75</v>
      </c>
      <c r="AU17" s="483">
        <v>59.99</v>
      </c>
      <c r="AV17" s="483">
        <v>57.29</v>
      </c>
      <c r="AW17" s="483">
        <v>60.53</v>
      </c>
      <c r="AX17" s="483">
        <v>57.83</v>
      </c>
      <c r="AY17" s="483">
        <v>61.07</v>
      </c>
      <c r="AZ17" s="483">
        <v>46.98</v>
      </c>
      <c r="BA17" s="483">
        <v>49.35</v>
      </c>
      <c r="BB17" s="483">
        <v>47.52</v>
      </c>
      <c r="BC17" s="483">
        <v>49.89</v>
      </c>
      <c r="BD17" s="483">
        <v>48.06</v>
      </c>
      <c r="BE17" s="483">
        <v>50.43</v>
      </c>
      <c r="BF17" s="483">
        <v>48.6</v>
      </c>
      <c r="BG17" s="483">
        <v>50.97</v>
      </c>
      <c r="BH17" s="483">
        <v>38.86</v>
      </c>
      <c r="BI17" s="483">
        <v>41.24</v>
      </c>
      <c r="BJ17" s="442">
        <f>IF($C$2=15.5,J17,IF($C$2=16.5,L17,IF($C$2=17.5,N17,IF($C$2=18.5,P17,IF($C$2=19.5,R17,IF($C$2=20.5,T17,IF($C$2=21.5,V17,IF($C$2=22.5,X17,IF($C$2=23.5,Z17,IF($C$2=24.5,AB17,IF($C$2=25.5,AD17,IF($C$2=26.5,AF17,IF($C$2=27.5,AH17,IF($C$2=28.5,AJ17,IF($C$2=29.5,AL17,IF($C$2=30.5,AN17,IF($C$2=31.5,AP17,IF($C$2=32.5,AR17,IF($C$2=33.5,AT17)))))))))))))))))))</f>
        <v>56.21</v>
      </c>
      <c r="BK17" s="442">
        <f t="shared" si="1"/>
        <v>59.45</v>
      </c>
      <c r="BN17" s="485" t="e">
        <f>ROUND(IF(BN11&gt;5,BN15-((BN15-BN16)/(BN14-BN13)*(BN11-BN13)),BN15),4)</f>
        <v>#REF!</v>
      </c>
      <c r="BO17" s="486">
        <f>ROUND(IF(BN11&gt;5,BO15-((BO15-BO16)/(BN14-BN13)*(BN11-BN13)),BO15),4)</f>
        <v>1.3512</v>
      </c>
      <c r="BP17" s="487">
        <f>ROUND(IF(BN11&gt;5,BP15-((BP15-BP16)/(BN14-BN13)*(BN11-BN13)),BP15),4)</f>
        <v>1.3713</v>
      </c>
      <c r="BQ17" s="463">
        <v>70</v>
      </c>
      <c r="BR17" s="465">
        <v>19</v>
      </c>
      <c r="BS17" s="466">
        <v>5.4047999999999998</v>
      </c>
      <c r="BT17" s="473" t="e">
        <f>-BR3/12*(BR6/100+(BR17+BR7-1)*BR4/100-(BR4+BR6)/100*(BR17+1)/2-(BR7-1))</f>
        <v>#REF!</v>
      </c>
      <c r="BU17" s="474">
        <v>4.5</v>
      </c>
      <c r="BV17" s="466" t="e">
        <f t="shared" si="3"/>
        <v>#REF!</v>
      </c>
      <c r="BW17" s="465">
        <f>BW9/100+1</f>
        <v>1.07</v>
      </c>
      <c r="BX17" s="468" t="e">
        <f t="shared" si="2"/>
        <v>#REF!</v>
      </c>
      <c r="BY17" s="475">
        <v>1.1971000000000001</v>
      </c>
      <c r="BZ17" s="476">
        <v>1.2162999999999999</v>
      </c>
      <c r="CA17" s="471"/>
    </row>
    <row r="18" spans="2:79" x14ac:dyDescent="0.45">
      <c r="B18" s="435">
        <v>14</v>
      </c>
      <c r="C18" s="436">
        <f>IF($C$2=34.5,'S3'!AD18,IF($C$2=35.5,'S3'!AF18,IF($C$2=36.5,'S3'!AH18,IF($C$2=37.5,'S3'!AJ18,IF($C$2=38.5,'S3'!AL18,IF($C$2=39.5,'S3'!AN18,IF($C$2=40.5,'S3'!AP18,IF($C$2=27.5,'S3'!P18,IF($C$2=28.5,'S3'!R18,IF($C$2=29.5,'S3'!T18,IF($C$2=30.5,'S3'!V18,IF($C$2=31.5,'S3'!Z18,IF($C$2=32.5,'S3'!Z18,IF($C$2=33.5,'S3'!AB18))))))))))))))</f>
        <v>37.19</v>
      </c>
      <c r="D18" s="436">
        <f>IF($C$2=34.5,'S3'!AE18,IF($C$2=35.5,'S3'!AG18,IF($C$2=36.5,'S3'!AI18,IF($C$2=37.5,'S3'!AK18,IF($C$2=38.5,'S3'!AM18,IF($C$2=39.5,'S3'!AO18,IF($C$2=40.5,'S3'!AQ18,IF($C$2=27.5,'S3'!Q18,IF($C$2=28.5,'S3'!S18,IF($C$2=29.5,'S3'!U18,IF($C$2=30.5,'S3'!W18,IF($C$2=31.5,'S3'!Y18,IF($C$2=32.5,'S3'!AA18,IF($C$2=33.5,'S3'!AC18))))))))))))))</f>
        <v>52.07</v>
      </c>
      <c r="E18" s="437">
        <f>IF($E$2=34.5,'S3'!BP18,IF($E$2=35.5,'S3'!BQ18,IF($E$2=36.5,'S3'!BR18,IF($E$2=37.5,'S3'!BS18,IF($E$2=38.5,'S3'!BT18,IF($E$2=39.5,'S3'!BU18,IF($E$2=40.5,'S3'!BV18,IF($E$2=22.5,'S3'!BD18,IF($E$2=23.5,'S3'!BE18,IF($E$2=24.5,'S3'!BF18,IF($E$2=25.5,'S3'!BG18,IF($E$2=26.5,'S3'!BH18,IF($E$2=27.5,'S3'!BI18,IF($E$2=28.5,'S3'!BJ18,IF($E$2=29.5,'S3'!BK18,IF($E$2=30.5,'S3'!BL18,IF($E$2=31.5,'S3'!BM18,IF($E$2=32.5,'S3'!BN18,IF($E$2=33.5,'S3'!BO18)))))))))))))))))))</f>
        <v>23.23</v>
      </c>
      <c r="F18" s="437">
        <f t="shared" si="0"/>
        <v>32.520000000000003</v>
      </c>
      <c r="H18" s="479" t="s">
        <v>346</v>
      </c>
      <c r="I18" s="440"/>
      <c r="J18" s="443"/>
      <c r="K18" s="443"/>
      <c r="L18" s="443"/>
      <c r="M18" s="443"/>
      <c r="N18" s="443"/>
      <c r="O18" s="443"/>
      <c r="P18" s="443"/>
      <c r="Q18" s="443"/>
      <c r="R18" s="443"/>
      <c r="S18" s="443"/>
      <c r="T18" s="443"/>
      <c r="U18" s="443"/>
      <c r="V18" s="443"/>
      <c r="W18" s="443"/>
      <c r="X18" s="441"/>
      <c r="Y18" s="441"/>
      <c r="Z18" s="441"/>
      <c r="AA18" s="441"/>
      <c r="AB18" s="441"/>
      <c r="AC18" s="441"/>
      <c r="AD18" s="441"/>
      <c r="AE18" s="441"/>
      <c r="AF18" s="441"/>
      <c r="AG18" s="441"/>
      <c r="AH18" s="441"/>
      <c r="AI18" s="441"/>
      <c r="AJ18" s="441"/>
      <c r="AK18" s="441"/>
      <c r="AL18" s="441"/>
      <c r="AM18" s="441"/>
      <c r="AN18" s="441"/>
      <c r="AO18" s="441"/>
      <c r="AP18" s="439"/>
      <c r="AQ18" s="439"/>
      <c r="AR18" s="446"/>
      <c r="AS18" s="446"/>
      <c r="AT18" s="446"/>
      <c r="AU18" s="446"/>
      <c r="AV18" s="446"/>
      <c r="AW18" s="446"/>
      <c r="AX18" s="446"/>
      <c r="AY18" s="446"/>
      <c r="AZ18" s="446"/>
      <c r="BA18" s="446"/>
      <c r="BB18" s="446"/>
      <c r="BC18" s="446"/>
      <c r="BD18" s="446"/>
      <c r="BE18" s="446"/>
      <c r="BF18" s="446"/>
      <c r="BG18" s="446"/>
      <c r="BH18" s="446"/>
      <c r="BI18" s="446"/>
      <c r="BJ18" s="488"/>
      <c r="BK18" s="442">
        <f t="shared" si="1"/>
        <v>0</v>
      </c>
      <c r="BN18" s="489"/>
      <c r="BO18" s="490"/>
      <c r="BP18" s="491"/>
      <c r="BQ18" s="463">
        <v>80</v>
      </c>
      <c r="BR18" s="465">
        <v>20</v>
      </c>
      <c r="BS18" s="466">
        <v>5.1508000000000003</v>
      </c>
      <c r="BT18" s="473" t="e">
        <f>-BR3/12*(BR6/100+(BR18+BR7-1)*BR4/100-(BR4+BR6)/100*(BR18+1)/2-(BR7-1))</f>
        <v>#REF!</v>
      </c>
      <c r="BU18" s="474">
        <v>4.5</v>
      </c>
      <c r="BV18" s="466" t="e">
        <f t="shared" si="3"/>
        <v>#REF!</v>
      </c>
      <c r="BW18" s="465">
        <f>BW9/100+1</f>
        <v>1.07</v>
      </c>
      <c r="BX18" s="468" t="e">
        <f t="shared" si="2"/>
        <v>#REF!</v>
      </c>
      <c r="BY18" s="475">
        <v>1.194</v>
      </c>
      <c r="BZ18" s="476">
        <v>1.2132000000000001</v>
      </c>
      <c r="CA18" s="471"/>
    </row>
    <row r="19" spans="2:79" x14ac:dyDescent="0.45">
      <c r="B19" s="435">
        <v>15</v>
      </c>
      <c r="C19" s="436">
        <f>IF($C$2=34.5,'S3'!AD19,IF($C$2=35.5,'S3'!AF19,IF($C$2=36.5,'S3'!AH19,IF($C$2=37.5,'S3'!AJ19,IF($C$2=38.5,'S3'!AL19,IF($C$2=39.5,'S3'!AN19,IF($C$2=40.5,'S3'!AP19,IF($C$2=27.5,'S3'!P19,IF($C$2=28.5,'S3'!R19,IF($C$2=29.5,'S3'!T19,IF($C$2=30.5,'S3'!V19,IF($C$2=31.5,'S3'!Z19,IF($C$2=32.5,'S3'!Z19,IF($C$2=33.5,'S3'!AB19))))))))))))))</f>
        <v>39.76</v>
      </c>
      <c r="D19" s="436">
        <f>IF($C$2=34.5,'S3'!AE19,IF($C$2=35.5,'S3'!AG19,IF($C$2=36.5,'S3'!AI19,IF($C$2=37.5,'S3'!AK19,IF($C$2=38.5,'S3'!AM19,IF($C$2=39.5,'S3'!AO19,IF($C$2=40.5,'S3'!AQ19,IF($C$2=27.5,'S3'!Q19,IF($C$2=28.5,'S3'!S19,IF($C$2=29.5,'S3'!U19,IF($C$2=30.5,'S3'!W19,IF($C$2=31.5,'S3'!Y19,IF($C$2=32.5,'S3'!AA19,IF($C$2=33.5,'S3'!AC19))))))))))))))</f>
        <v>55.66</v>
      </c>
      <c r="E19" s="437">
        <f>IF($E$2=34.5,'S3'!BP19,IF($E$2=35.5,'S3'!BQ19,IF($E$2=36.5,'S3'!BR19,IF($E$2=37.5,'S3'!BS19,IF($E$2=38.5,'S3'!BT19,IF($E$2=39.5,'S3'!BU19,IF($E$2=40.5,'S3'!BV19,IF($E$2=22.5,'S3'!BD19,IF($E$2=23.5,'S3'!BE19,IF($E$2=24.5,'S3'!BF19,IF($E$2=25.5,'S3'!BG19,IF($E$2=26.5,'S3'!BH19,IF($E$2=27.5,'S3'!BI19,IF($E$2=28.5,'S3'!BJ19,IF($E$2=29.5,'S3'!BK19,IF($E$2=30.5,'S3'!BL19,IF($E$2=31.5,'S3'!BM19,IF($E$2=32.5,'S3'!BN19,IF($E$2=33.5,'S3'!BO19)))))))))))))))))))</f>
        <v>24.72</v>
      </c>
      <c r="F19" s="437">
        <f t="shared" si="0"/>
        <v>34.61</v>
      </c>
      <c r="H19" s="480" t="s">
        <v>48</v>
      </c>
      <c r="I19" s="440" t="s">
        <v>46</v>
      </c>
      <c r="J19" s="443">
        <v>22.57</v>
      </c>
      <c r="K19" s="443">
        <v>23.62</v>
      </c>
      <c r="L19" s="443">
        <v>22.71</v>
      </c>
      <c r="M19" s="443">
        <v>23.76</v>
      </c>
      <c r="N19" s="443">
        <v>22.85</v>
      </c>
      <c r="O19" s="443">
        <v>23.9</v>
      </c>
      <c r="P19" s="443">
        <v>23</v>
      </c>
      <c r="Q19" s="443">
        <v>24.05</v>
      </c>
      <c r="R19" s="443">
        <v>23.14</v>
      </c>
      <c r="S19" s="443">
        <v>24.19</v>
      </c>
      <c r="T19" s="443">
        <v>23.28</v>
      </c>
      <c r="U19" s="443">
        <v>24.33</v>
      </c>
      <c r="V19" s="443">
        <v>23.43</v>
      </c>
      <c r="W19" s="443">
        <v>24.48</v>
      </c>
      <c r="X19" s="481">
        <v>23.57</v>
      </c>
      <c r="Y19" s="481">
        <v>24.62</v>
      </c>
      <c r="Z19" s="481">
        <v>23.71</v>
      </c>
      <c r="AA19" s="481">
        <v>24.76</v>
      </c>
      <c r="AB19" s="481">
        <v>23.85</v>
      </c>
      <c r="AC19" s="481">
        <v>24.9</v>
      </c>
      <c r="AD19" s="481">
        <v>24</v>
      </c>
      <c r="AE19" s="481">
        <v>25.05</v>
      </c>
      <c r="AF19" s="481">
        <v>24.14</v>
      </c>
      <c r="AG19" s="481">
        <v>25.19</v>
      </c>
      <c r="AH19" s="481">
        <v>24.28</v>
      </c>
      <c r="AI19" s="481">
        <v>25.33</v>
      </c>
      <c r="AJ19" s="481">
        <v>24.42</v>
      </c>
      <c r="AK19" s="481">
        <v>25.47</v>
      </c>
      <c r="AL19" s="481">
        <v>24.57</v>
      </c>
      <c r="AM19" s="481">
        <v>25.62</v>
      </c>
      <c r="AN19" s="481">
        <v>24.71</v>
      </c>
      <c r="AO19" s="481">
        <v>25.76</v>
      </c>
      <c r="AP19" s="482">
        <v>24.85</v>
      </c>
      <c r="AQ19" s="482">
        <v>25.9</v>
      </c>
      <c r="AR19" s="483">
        <v>25</v>
      </c>
      <c r="AS19" s="483">
        <v>26.05</v>
      </c>
      <c r="AT19" s="483">
        <v>25.14</v>
      </c>
      <c r="AU19" s="483">
        <v>26.19</v>
      </c>
      <c r="AV19" s="483">
        <v>25.28</v>
      </c>
      <c r="AW19" s="483">
        <v>26.33</v>
      </c>
      <c r="AX19" s="483">
        <v>25.42</v>
      </c>
      <c r="AY19" s="483">
        <v>26.47</v>
      </c>
      <c r="AZ19" s="483">
        <v>18.3</v>
      </c>
      <c r="BA19" s="483">
        <v>19.03</v>
      </c>
      <c r="BB19" s="483">
        <v>18.440000000000001</v>
      </c>
      <c r="BC19" s="483">
        <v>19.170000000000002</v>
      </c>
      <c r="BD19" s="483">
        <v>18.59</v>
      </c>
      <c r="BE19" s="483">
        <v>19.309999999999999</v>
      </c>
      <c r="BF19" s="483">
        <v>18.73</v>
      </c>
      <c r="BG19" s="483">
        <v>19.46</v>
      </c>
      <c r="BH19" s="483">
        <v>16.16</v>
      </c>
      <c r="BI19" s="483">
        <v>16.89</v>
      </c>
      <c r="BJ19" s="442">
        <f>IF($C$2=15.5,J19,IF($C$2=16.5,L19,IF($C$2=17.5,N19,IF($C$2=18.5,P19,IF($C$2=19.5,R19,IF($C$2=20.5,T19,IF($C$2=21.5,V19,IF($C$2=22.5,X19,IF($C$2=23.5,Z19,IF($C$2=24.5,AB19,IF($C$2=25.5,AD19,IF($C$2=26.5,AF19,IF($C$2=27.5,AH19,IF($C$2=28.5,AJ19,IF($C$2=29.5,AL19,IF($C$2=30.5,AN19,IF($C$2=31.5,AP19,IF($C$2=32.5,AR19,IF($C$2=33.5,AT19)))))))))))))))))))</f>
        <v>25</v>
      </c>
      <c r="BK19" s="442">
        <f t="shared" si="1"/>
        <v>26.05</v>
      </c>
      <c r="BN19" s="492"/>
      <c r="BO19" s="480"/>
      <c r="BP19" s="493"/>
      <c r="BQ19" s="463">
        <v>90</v>
      </c>
      <c r="BR19" s="465">
        <v>20</v>
      </c>
      <c r="BS19" s="466">
        <v>4.7691999999999997</v>
      </c>
      <c r="BT19" s="473" t="e">
        <f>-BR3/12*(BR6/100+(BR19+BR7-1)*BR4/100-(BR4+BR6)/100*(BR19+1)/2-(BR7-1))</f>
        <v>#REF!</v>
      </c>
      <c r="BU19" s="474">
        <v>4.5</v>
      </c>
      <c r="BV19" s="466" t="e">
        <f t="shared" si="3"/>
        <v>#REF!</v>
      </c>
      <c r="BW19" s="465">
        <f>BW9/100+1</f>
        <v>1.07</v>
      </c>
      <c r="BX19" s="468" t="e">
        <f t="shared" si="2"/>
        <v>#REF!</v>
      </c>
      <c r="BY19" s="475">
        <v>1.1893</v>
      </c>
      <c r="BZ19" s="476">
        <v>1.28</v>
      </c>
      <c r="CA19" s="471"/>
    </row>
    <row r="20" spans="2:79" ht="21.75" thickBot="1" x14ac:dyDescent="0.5">
      <c r="B20" s="435">
        <v>16</v>
      </c>
      <c r="C20" s="436">
        <f>IF($C$2=34.5,'S3'!AD20,IF($C$2=35.5,'S3'!AF20,IF($C$2=36.5,'S3'!AH20,IF($C$2=37.5,'S3'!AJ20,IF($C$2=38.5,'S3'!AL20,IF($C$2=39.5,'S3'!AN20,IF($C$2=40.5,'S3'!AP20,IF($C$2=27.5,'S3'!P20,IF($C$2=28.5,'S3'!R20,IF($C$2=29.5,'S3'!T20,IF($C$2=30.5,'S3'!V20,IF($C$2=31.5,'S3'!Z20,IF($C$2=32.5,'S3'!Z20,IF($C$2=33.5,'S3'!AB20))))))))))))))</f>
        <v>42.33</v>
      </c>
      <c r="D20" s="436">
        <f>IF($C$2=34.5,'S3'!AE20,IF($C$2=35.5,'S3'!AG20,IF($C$2=36.5,'S3'!AI20,IF($C$2=37.5,'S3'!AK20,IF($C$2=38.5,'S3'!AM20,IF($C$2=39.5,'S3'!AO20,IF($C$2=40.5,'S3'!AQ20,IF($C$2=27.5,'S3'!Q20,IF($C$2=28.5,'S3'!S20,IF($C$2=29.5,'S3'!U20,IF($C$2=30.5,'S3'!W20,IF($C$2=31.5,'S3'!Y20,IF($C$2=32.5,'S3'!AA20,IF($C$2=33.5,'S3'!AC20))))))))))))))</f>
        <v>59.26</v>
      </c>
      <c r="E20" s="437">
        <f>IF($E$2=34.5,'S3'!BP20,IF($E$2=35.5,'S3'!BQ20,IF($E$2=36.5,'S3'!BR20,IF($E$2=37.5,'S3'!BS20,IF($E$2=38.5,'S3'!BT20,IF($E$2=39.5,'S3'!BU20,IF($E$2=40.5,'S3'!BV20,IF($E$2=22.5,'S3'!BD20,IF($E$2=23.5,'S3'!BE20,IF($E$2=24.5,'S3'!BF20,IF($E$2=25.5,'S3'!BG20,IF($E$2=26.5,'S3'!BH20,IF($E$2=27.5,'S3'!BI20,IF($E$2=28.5,'S3'!BJ20,IF($E$2=29.5,'S3'!BK20,IF($E$2=30.5,'S3'!BL20,IF($E$2=31.5,'S3'!BM20,IF($E$2=32.5,'S3'!BN20,IF($E$2=33.5,'S3'!BO20)))))))))))))))))))</f>
        <v>26.33</v>
      </c>
      <c r="F20" s="437">
        <f t="shared" si="0"/>
        <v>36.86</v>
      </c>
      <c r="H20" s="480" t="s">
        <v>47</v>
      </c>
      <c r="I20" s="440" t="s">
        <v>46</v>
      </c>
      <c r="J20" s="443">
        <v>75.67</v>
      </c>
      <c r="K20" s="443">
        <v>82.1</v>
      </c>
      <c r="L20" s="443">
        <v>76.44</v>
      </c>
      <c r="M20" s="443">
        <v>82.87</v>
      </c>
      <c r="N20" s="443">
        <v>77.22</v>
      </c>
      <c r="O20" s="443">
        <v>83.65</v>
      </c>
      <c r="P20" s="443">
        <v>78</v>
      </c>
      <c r="Q20" s="443">
        <v>84.43</v>
      </c>
      <c r="R20" s="443">
        <v>78.78</v>
      </c>
      <c r="S20" s="443">
        <v>85.21</v>
      </c>
      <c r="T20" s="443">
        <v>79.55</v>
      </c>
      <c r="U20" s="443">
        <v>85.98</v>
      </c>
      <c r="V20" s="443">
        <v>80.33</v>
      </c>
      <c r="W20" s="443">
        <v>86.76</v>
      </c>
      <c r="X20" s="481">
        <v>81.11</v>
      </c>
      <c r="Y20" s="481">
        <v>87.54</v>
      </c>
      <c r="Z20" s="481">
        <v>81.88</v>
      </c>
      <c r="AA20" s="481">
        <v>88.31</v>
      </c>
      <c r="AB20" s="481">
        <v>82.66</v>
      </c>
      <c r="AC20" s="481">
        <v>89.09</v>
      </c>
      <c r="AD20" s="481">
        <v>83.44</v>
      </c>
      <c r="AE20" s="481">
        <v>89.87</v>
      </c>
      <c r="AF20" s="481">
        <v>84.22</v>
      </c>
      <c r="AG20" s="481">
        <v>90.65</v>
      </c>
      <c r="AH20" s="481">
        <v>84.99</v>
      </c>
      <c r="AI20" s="481">
        <v>91.42</v>
      </c>
      <c r="AJ20" s="481">
        <v>85.77</v>
      </c>
      <c r="AK20" s="481">
        <v>92.2</v>
      </c>
      <c r="AL20" s="481">
        <v>86.55</v>
      </c>
      <c r="AM20" s="481">
        <v>92.98</v>
      </c>
      <c r="AN20" s="481">
        <v>87.32</v>
      </c>
      <c r="AO20" s="481">
        <v>93.75</v>
      </c>
      <c r="AP20" s="482">
        <v>88.1</v>
      </c>
      <c r="AQ20" s="482">
        <v>94.53</v>
      </c>
      <c r="AR20" s="483">
        <v>88.88</v>
      </c>
      <c r="AS20" s="483">
        <v>95.31</v>
      </c>
      <c r="AT20" s="483">
        <v>89.66</v>
      </c>
      <c r="AU20" s="483">
        <v>96.09</v>
      </c>
      <c r="AV20" s="483">
        <v>90.43</v>
      </c>
      <c r="AW20" s="483">
        <v>96.86</v>
      </c>
      <c r="AX20" s="483">
        <v>91.21</v>
      </c>
      <c r="AY20" s="483">
        <v>97.64</v>
      </c>
      <c r="AZ20" s="483">
        <v>73.56</v>
      </c>
      <c r="BA20" s="483">
        <v>78.34</v>
      </c>
      <c r="BB20" s="483">
        <v>74.34</v>
      </c>
      <c r="BC20" s="483">
        <v>79.12</v>
      </c>
      <c r="BD20" s="483">
        <v>75.12</v>
      </c>
      <c r="BE20" s="483">
        <v>79.89</v>
      </c>
      <c r="BF20" s="483">
        <v>75.900000000000006</v>
      </c>
      <c r="BG20" s="483">
        <v>80.67</v>
      </c>
      <c r="BH20" s="483">
        <v>61.9</v>
      </c>
      <c r="BI20" s="483">
        <v>66.680000000000007</v>
      </c>
      <c r="BJ20" s="442">
        <f>IF($C$2=15.5,J20,IF($C$2=16.5,L20,IF($C$2=17.5,N20,IF($C$2=18.5,P20,IF($C$2=19.5,R20,IF($C$2=20.5,T20,IF($C$2=21.5,V20,IF($C$2=22.5,X20,IF($C$2=23.5,Z20,IF($C$2=24.5,AB20,IF($C$2=25.5,AD20,IF($C$2=26.5,AF20,IF($C$2=27.5,AH20,IF($C$2=28.5,AJ20,IF($C$2=29.5,AL20,IF($C$2=30.5,AN20,IF($C$2=31.5,AP20,IF($C$2=32.5,AR20,IF($C$2=33.5,AT20)))))))))))))))))))</f>
        <v>88.88</v>
      </c>
      <c r="BK20" s="442">
        <f t="shared" si="1"/>
        <v>95.31</v>
      </c>
      <c r="BN20" s="494"/>
      <c r="BO20" s="495"/>
      <c r="BP20" s="496"/>
      <c r="BQ20" s="456">
        <v>100</v>
      </c>
      <c r="BR20" s="459">
        <v>20</v>
      </c>
      <c r="BS20" s="497">
        <v>4.4638999999999998</v>
      </c>
      <c r="BT20" s="498" t="e">
        <f>-BR3/12*(BR6/100+(BR20+BR7-1)*BR4/100-(BR4+BR6)/100*(BR20+1)/2-(BR7-1))</f>
        <v>#REF!</v>
      </c>
      <c r="BU20" s="499">
        <v>4.5</v>
      </c>
      <c r="BV20" s="500" t="e">
        <f t="shared" si="3"/>
        <v>#REF!</v>
      </c>
      <c r="BW20" s="460">
        <f>BW9/100+1</f>
        <v>1.07</v>
      </c>
      <c r="BX20" s="500" t="e">
        <f t="shared" si="2"/>
        <v>#REF!</v>
      </c>
      <c r="BY20" s="501">
        <v>1.1856</v>
      </c>
      <c r="BZ20" s="502">
        <v>1.2038</v>
      </c>
      <c r="CA20" s="471"/>
    </row>
    <row r="21" spans="2:79" x14ac:dyDescent="0.45">
      <c r="B21" s="435">
        <v>17</v>
      </c>
      <c r="C21" s="436">
        <f>IF($C$2=34.5,'S3'!AD21,IF($C$2=35.5,'S3'!AF21,IF($C$2=36.5,'S3'!AH21,IF($C$2=37.5,'S3'!AJ21,IF($C$2=38.5,'S3'!AL21,IF($C$2=39.5,'S3'!AN21,IF($C$2=40.5,'S3'!AP21,IF($C$2=27.5,'S3'!P21,IF($C$2=28.5,'S3'!R21,IF($C$2=29.5,'S3'!T21,IF($C$2=30.5,'S3'!V21,IF($C$2=31.5,'S3'!Z21,IF($C$2=32.5,'S3'!Z21,IF($C$2=33.5,'S3'!AB21))))))))))))))</f>
        <v>44.89</v>
      </c>
      <c r="D21" s="436">
        <f>IF($C$2=34.5,'S3'!AE21,IF($C$2=35.5,'S3'!AG21,IF($C$2=36.5,'S3'!AI21,IF($C$2=37.5,'S3'!AK21,IF($C$2=38.5,'S3'!AM21,IF($C$2=39.5,'S3'!AO21,IF($C$2=40.5,'S3'!AQ21,IF($C$2=27.5,'S3'!Q21,IF($C$2=28.5,'S3'!S21,IF($C$2=29.5,'S3'!U21,IF($C$2=30.5,'S3'!W21,IF($C$2=31.5,'S3'!Y21,IF($C$2=32.5,'S3'!AA21,IF($C$2=33.5,'S3'!AC21))))))))))))))</f>
        <v>62.85</v>
      </c>
      <c r="E21" s="437">
        <f>IF($E$2=34.5,'S3'!BP21,IF($E$2=35.5,'S3'!BQ21,IF($E$2=36.5,'S3'!BR21,IF($E$2=37.5,'S3'!BS21,IF($E$2=38.5,'S3'!BT21,IF($E$2=39.5,'S3'!BU21,IF($E$2=40.5,'S3'!BV21,IF($E$2=22.5,'S3'!BD21,IF($E$2=23.5,'S3'!BE21,IF($E$2=24.5,'S3'!BF21,IF($E$2=25.5,'S3'!BG21,IF($E$2=26.5,'S3'!BH21,IF($E$2=27.5,'S3'!BI21,IF($E$2=28.5,'S3'!BJ21,IF($E$2=29.5,'S3'!BK21,IF($E$2=30.5,'S3'!BL21,IF($E$2=31.5,'S3'!BM21,IF($E$2=32.5,'S3'!BN21,IF($E$2=33.5,'S3'!BO21)))))))))))))))))))</f>
        <v>27.93</v>
      </c>
      <c r="F21" s="437">
        <f t="shared" si="0"/>
        <v>39.1</v>
      </c>
      <c r="H21" s="448" t="s">
        <v>347</v>
      </c>
      <c r="I21" s="440" t="s">
        <v>46</v>
      </c>
      <c r="J21" s="443">
        <v>6.94</v>
      </c>
      <c r="K21" s="443">
        <v>7.36</v>
      </c>
      <c r="L21" s="443">
        <v>7.01</v>
      </c>
      <c r="M21" s="443">
        <v>7.43</v>
      </c>
      <c r="N21" s="443">
        <v>7.09</v>
      </c>
      <c r="O21" s="443">
        <v>7.51</v>
      </c>
      <c r="P21" s="443">
        <v>7.17</v>
      </c>
      <c r="Q21" s="443">
        <v>7.59</v>
      </c>
      <c r="R21" s="443">
        <v>7.24</v>
      </c>
      <c r="S21" s="443">
        <v>7.66</v>
      </c>
      <c r="T21" s="443">
        <v>7.32</v>
      </c>
      <c r="U21" s="443">
        <v>7.74</v>
      </c>
      <c r="V21" s="443">
        <v>7.4</v>
      </c>
      <c r="W21" s="443">
        <v>7.82</v>
      </c>
      <c r="X21" s="441">
        <v>7.47</v>
      </c>
      <c r="Y21" s="441">
        <v>7.89</v>
      </c>
      <c r="Z21" s="441">
        <v>7.55</v>
      </c>
      <c r="AA21" s="441">
        <v>7.97</v>
      </c>
      <c r="AB21" s="441">
        <v>7.63</v>
      </c>
      <c r="AC21" s="444">
        <v>8.0500000000000007</v>
      </c>
      <c r="AD21" s="444">
        <v>7.7</v>
      </c>
      <c r="AE21" s="441">
        <v>8.1199999999999992</v>
      </c>
      <c r="AF21" s="441">
        <v>7.78</v>
      </c>
      <c r="AG21" s="441">
        <v>8.1999999999999993</v>
      </c>
      <c r="AH21" s="444">
        <v>7.86</v>
      </c>
      <c r="AI21" s="441">
        <v>8.2799999999999994</v>
      </c>
      <c r="AJ21" s="441">
        <v>7.93</v>
      </c>
      <c r="AK21" s="444">
        <v>8.35</v>
      </c>
      <c r="AL21" s="444">
        <v>8.01</v>
      </c>
      <c r="AM21" s="441">
        <v>8.43</v>
      </c>
      <c r="AN21" s="441">
        <v>8.09</v>
      </c>
      <c r="AO21" s="444">
        <v>8.51</v>
      </c>
      <c r="AP21" s="439">
        <v>8.16</v>
      </c>
      <c r="AQ21" s="439">
        <v>8.58</v>
      </c>
      <c r="AR21" s="446">
        <v>8.24</v>
      </c>
      <c r="AS21" s="446">
        <v>8.66</v>
      </c>
      <c r="AT21" s="447">
        <v>8.32</v>
      </c>
      <c r="AU21" s="446">
        <v>8.74</v>
      </c>
      <c r="AV21" s="446">
        <v>8.39</v>
      </c>
      <c r="AW21" s="446">
        <v>8.81</v>
      </c>
      <c r="AX21" s="446">
        <v>8.4700000000000006</v>
      </c>
      <c r="AY21" s="446">
        <v>8.89</v>
      </c>
      <c r="AZ21" s="446">
        <v>7.09</v>
      </c>
      <c r="BA21" s="446">
        <v>7.42</v>
      </c>
      <c r="BB21" s="446">
        <v>7.17</v>
      </c>
      <c r="BC21" s="446">
        <v>7.49</v>
      </c>
      <c r="BD21" s="446">
        <v>7.24</v>
      </c>
      <c r="BE21" s="446">
        <v>7.57</v>
      </c>
      <c r="BF21" s="446">
        <v>7.32</v>
      </c>
      <c r="BG21" s="446">
        <v>7.65</v>
      </c>
      <c r="BH21" s="446">
        <v>5.94</v>
      </c>
      <c r="BI21" s="446">
        <v>6.27</v>
      </c>
      <c r="BJ21" s="442">
        <f>IF($C$2=15.5,J21,IF($C$2=16.5,L21,IF($C$2=17.5,N21,IF($C$2=18.5,P21,IF($C$2=19.5,R21,IF($C$2=20.5,T21,IF($C$2=21.5,V21,IF($C$2=22.5,X21,IF($C$2=23.5,Z21,IF($C$2=24.5,AB21,IF($C$2=25.5,AD21,IF($C$2=26.5,AF21,IF($C$2=27.5,AH21,IF($C$2=28.5,AJ21,IF($C$2=29.5,AL21,IF($C$2=30.5,AN21,IF($C$2=31.5,AP21,IF($C$2=32.5,AR21,IF($C$2=33.5,AT21)))))))))))))))))))</f>
        <v>8.24</v>
      </c>
      <c r="BK21" s="442">
        <f t="shared" si="1"/>
        <v>8.66</v>
      </c>
    </row>
    <row r="22" spans="2:79" x14ac:dyDescent="0.45">
      <c r="B22" s="435">
        <v>18</v>
      </c>
      <c r="C22" s="436">
        <f>IF($C$2=34.5,'S3'!AD22,IF($C$2=35.5,'S3'!AF22,IF($C$2=36.5,'S3'!AH22,IF($C$2=37.5,'S3'!AJ22,IF($C$2=38.5,'S3'!AL22,IF($C$2=39.5,'S3'!AN22,IF($C$2=40.5,'S3'!AP22,IF($C$2=27.5,'S3'!P22,IF($C$2=28.5,'S3'!R22,IF($C$2=29.5,'S3'!T22,IF($C$2=30.5,'S3'!V22,IF($C$2=31.5,'S3'!Z22,IF($C$2=32.5,'S3'!Z22,IF($C$2=33.5,'S3'!AB22))))))))))))))</f>
        <v>47.45</v>
      </c>
      <c r="D22" s="436">
        <f>IF($C$2=34.5,'S3'!AE22,IF($C$2=35.5,'S3'!AG22,IF($C$2=36.5,'S3'!AI22,IF($C$2=37.5,'S3'!AK22,IF($C$2=38.5,'S3'!AM22,IF($C$2=39.5,'S3'!AO22,IF($C$2=40.5,'S3'!AQ22,IF($C$2=27.5,'S3'!Q22,IF($C$2=28.5,'S3'!S22,IF($C$2=29.5,'S3'!U22,IF($C$2=30.5,'S3'!W22,IF($C$2=31.5,'S3'!Y22,IF($C$2=32.5,'S3'!AA22,IF($C$2=33.5,'S3'!AC22))))))))))))))</f>
        <v>66.430000000000007</v>
      </c>
      <c r="E22" s="437">
        <f>IF($E$2=34.5,'S3'!BP22,IF($E$2=35.5,'S3'!BQ22,IF($E$2=36.5,'S3'!BR22,IF($E$2=37.5,'S3'!BS22,IF($E$2=38.5,'S3'!BT22,IF($E$2=39.5,'S3'!BU22,IF($E$2=40.5,'S3'!BV22,IF($E$2=22.5,'S3'!BD22,IF($E$2=23.5,'S3'!BE22,IF($E$2=24.5,'S3'!BF22,IF($E$2=25.5,'S3'!BG22,IF($E$2=26.5,'S3'!BH22,IF($E$2=27.5,'S3'!BI22,IF($E$2=28.5,'S3'!BJ22,IF($E$2=29.5,'S3'!BK22,IF($E$2=30.5,'S3'!BL22,IF($E$2=31.5,'S3'!BM22,IF($E$2=32.5,'S3'!BN22,IF($E$2=33.5,'S3'!BO22)))))))))))))))))))</f>
        <v>29.54</v>
      </c>
      <c r="F22" s="437">
        <f t="shared" si="0"/>
        <v>41.36</v>
      </c>
      <c r="H22" s="479" t="s">
        <v>348</v>
      </c>
      <c r="I22" s="440"/>
      <c r="J22" s="443"/>
      <c r="K22" s="443"/>
      <c r="L22" s="443"/>
      <c r="M22" s="443"/>
      <c r="N22" s="443"/>
      <c r="O22" s="443"/>
      <c r="P22" s="443"/>
      <c r="Q22" s="443"/>
      <c r="R22" s="443"/>
      <c r="S22" s="443"/>
      <c r="T22" s="443"/>
      <c r="U22" s="443"/>
      <c r="V22" s="443"/>
      <c r="W22" s="443"/>
      <c r="X22" s="481"/>
      <c r="Y22" s="481"/>
      <c r="Z22" s="481"/>
      <c r="AA22" s="481"/>
      <c r="AB22" s="481"/>
      <c r="AC22" s="481"/>
      <c r="AD22" s="481"/>
      <c r="AE22" s="481"/>
      <c r="AF22" s="481"/>
      <c r="AG22" s="481"/>
      <c r="AH22" s="481"/>
      <c r="AI22" s="481"/>
      <c r="AJ22" s="481"/>
      <c r="AK22" s="481"/>
      <c r="AL22" s="481"/>
      <c r="AM22" s="481"/>
      <c r="AN22" s="481"/>
      <c r="AO22" s="481"/>
      <c r="AP22" s="482"/>
      <c r="AQ22" s="482"/>
      <c r="AR22" s="483"/>
      <c r="AS22" s="483"/>
      <c r="AT22" s="483"/>
      <c r="AU22" s="483"/>
      <c r="AV22" s="483"/>
      <c r="AW22" s="483"/>
      <c r="AX22" s="483"/>
      <c r="AY22" s="483"/>
      <c r="AZ22" s="483"/>
      <c r="BA22" s="483"/>
      <c r="BB22" s="483"/>
      <c r="BC22" s="483"/>
      <c r="BD22" s="483"/>
      <c r="BE22" s="483"/>
      <c r="BF22" s="483"/>
      <c r="BG22" s="483"/>
      <c r="BH22" s="483"/>
      <c r="BI22" s="483"/>
      <c r="BJ22" s="442"/>
      <c r="BK22" s="442">
        <f t="shared" si="1"/>
        <v>0</v>
      </c>
      <c r="BN22" s="503" t="s">
        <v>54</v>
      </c>
      <c r="BO22" s="504" t="s">
        <v>55</v>
      </c>
      <c r="BP22" s="505" t="s">
        <v>54</v>
      </c>
      <c r="BR22" s="506"/>
    </row>
    <row r="23" spans="2:79" x14ac:dyDescent="0.45">
      <c r="B23" s="435">
        <v>19</v>
      </c>
      <c r="C23" s="436">
        <f>IF($C$2=34.5,'S3'!AD23,IF($C$2=35.5,'S3'!AF23,IF($C$2=36.5,'S3'!AH23,IF($C$2=37.5,'S3'!AJ23,IF($C$2=38.5,'S3'!AL23,IF($C$2=39.5,'S3'!AN23,IF($C$2=40.5,'S3'!AP23,IF($C$2=27.5,'S3'!P23,IF($C$2=28.5,'S3'!R23,IF($C$2=29.5,'S3'!T23,IF($C$2=30.5,'S3'!V23,IF($C$2=31.5,'S3'!Z23,IF($C$2=32.5,'S3'!Z23,IF($C$2=33.5,'S3'!AB23))))))))))))))</f>
        <v>50.03</v>
      </c>
      <c r="D23" s="436">
        <f>IF($C$2=34.5,'S3'!AE23,IF($C$2=35.5,'S3'!AG23,IF($C$2=36.5,'S3'!AI23,IF($C$2=37.5,'S3'!AK23,IF($C$2=38.5,'S3'!AM23,IF($C$2=39.5,'S3'!AO23,IF($C$2=40.5,'S3'!AQ23,IF($C$2=27.5,'S3'!Q23,IF($C$2=28.5,'S3'!S23,IF($C$2=29.5,'S3'!U23,IF($C$2=30.5,'S3'!W23,IF($C$2=31.5,'S3'!Y23,IF($C$2=32.5,'S3'!AA23,IF($C$2=33.5,'S3'!AC23))))))))))))))</f>
        <v>70.040000000000006</v>
      </c>
      <c r="E23" s="437">
        <f>IF($E$2=34.5,'S3'!BP23,IF($E$2=35.5,'S3'!BQ23,IF($E$2=36.5,'S3'!BR23,IF($E$2=37.5,'S3'!BS23,IF($E$2=38.5,'S3'!BT23,IF($E$2=39.5,'S3'!BU23,IF($E$2=40.5,'S3'!BV23,IF($E$2=22.5,'S3'!BD23,IF($E$2=23.5,'S3'!BE23,IF($E$2=24.5,'S3'!BF23,IF($E$2=25.5,'S3'!BG23,IF($E$2=26.5,'S3'!BH23,IF($E$2=27.5,'S3'!BI23,IF($E$2=28.5,'S3'!BJ23,IF($E$2=29.5,'S3'!BK23,IF($E$2=30.5,'S3'!BL23,IF($E$2=31.5,'S3'!BM23,IF($E$2=32.5,'S3'!BN23,IF($E$2=33.5,'S3'!BO23)))))))))))))))))))</f>
        <v>31.15</v>
      </c>
      <c r="F23" s="437">
        <f t="shared" si="0"/>
        <v>43.61</v>
      </c>
      <c r="H23" s="480" t="s">
        <v>49</v>
      </c>
      <c r="I23" s="440" t="s">
        <v>17</v>
      </c>
      <c r="J23" s="443">
        <v>9.43</v>
      </c>
      <c r="K23" s="443">
        <v>9.9600000000000009</v>
      </c>
      <c r="L23" s="443">
        <v>9.5299999999999994</v>
      </c>
      <c r="M23" s="443">
        <v>10.06</v>
      </c>
      <c r="N23" s="443">
        <v>9.6300000000000008</v>
      </c>
      <c r="O23" s="443">
        <v>10.16</v>
      </c>
      <c r="P23" s="443">
        <v>9.73</v>
      </c>
      <c r="Q23" s="443">
        <v>10.26</v>
      </c>
      <c r="R23" s="443">
        <v>9.83</v>
      </c>
      <c r="S23" s="443">
        <v>10.36</v>
      </c>
      <c r="T23" s="443">
        <v>9.93</v>
      </c>
      <c r="U23" s="443">
        <v>10.46</v>
      </c>
      <c r="V23" s="443">
        <v>10.029999999999999</v>
      </c>
      <c r="W23" s="443">
        <v>10.56</v>
      </c>
      <c r="X23" s="481">
        <v>10.130000000000001</v>
      </c>
      <c r="Y23" s="481">
        <v>10.66</v>
      </c>
      <c r="Z23" s="481">
        <v>10.23</v>
      </c>
      <c r="AA23" s="481">
        <v>10.76</v>
      </c>
      <c r="AB23" s="481">
        <v>10.33</v>
      </c>
      <c r="AC23" s="481">
        <v>10.86</v>
      </c>
      <c r="AD23" s="481">
        <v>10.43</v>
      </c>
      <c r="AE23" s="481">
        <v>10.96</v>
      </c>
      <c r="AF23" s="481">
        <v>10.53</v>
      </c>
      <c r="AG23" s="481">
        <v>11.06</v>
      </c>
      <c r="AH23" s="481">
        <v>10.63</v>
      </c>
      <c r="AI23" s="481">
        <v>11.16</v>
      </c>
      <c r="AJ23" s="481">
        <v>10.74</v>
      </c>
      <c r="AK23" s="481">
        <v>11.27</v>
      </c>
      <c r="AL23" s="481">
        <v>10.84</v>
      </c>
      <c r="AM23" s="481">
        <v>11.37</v>
      </c>
      <c r="AN23" s="481">
        <v>10.94</v>
      </c>
      <c r="AO23" s="481">
        <v>11.47</v>
      </c>
      <c r="AP23" s="482">
        <v>11.04</v>
      </c>
      <c r="AQ23" s="482">
        <v>11.57</v>
      </c>
      <c r="AR23" s="483">
        <v>11.14</v>
      </c>
      <c r="AS23" s="483">
        <v>11.67</v>
      </c>
      <c r="AT23" s="483">
        <v>11.24</v>
      </c>
      <c r="AU23" s="483">
        <v>11.77</v>
      </c>
      <c r="AV23" s="483">
        <v>11.34</v>
      </c>
      <c r="AW23" s="483">
        <v>11.87</v>
      </c>
      <c r="AX23" s="483">
        <v>11.44</v>
      </c>
      <c r="AY23" s="483">
        <v>11.97</v>
      </c>
      <c r="AZ23" s="483">
        <v>9.2200000000000006</v>
      </c>
      <c r="BA23" s="483">
        <v>9.6</v>
      </c>
      <c r="BB23" s="483">
        <v>9.32</v>
      </c>
      <c r="BC23" s="483">
        <v>9.6999999999999993</v>
      </c>
      <c r="BD23" s="483">
        <v>9.42</v>
      </c>
      <c r="BE23" s="483">
        <v>9.8000000000000007</v>
      </c>
      <c r="BF23" s="483">
        <v>9.52</v>
      </c>
      <c r="BG23" s="483">
        <v>9.9</v>
      </c>
      <c r="BH23" s="483">
        <v>7.22</v>
      </c>
      <c r="BI23" s="483">
        <v>8.1</v>
      </c>
      <c r="BJ23" s="442">
        <f>IF($C$2=15.5,J23,IF($C$2=16.5,L23,IF($C$2=17.5,N23,IF($C$2=18.5,P23,IF($C$2=19.5,R23,IF($C$2=20.5,T23,IF($C$2=21.5,V23,IF($C$2=22.5,X23,IF($C$2=23.5,Z23,IF($C$2=24.5,AB23,IF($C$2=25.5,AD23,IF($C$2=26.5,AF23,IF($C$2=27.5,AH23,IF($C$2=28.5,AJ23,IF($C$2=29.5,AL23,IF($C$2=30.5,AN23,IF($C$2=31.5,AP23,IF($C$2=32.5,AR23,IF($C$2=33.5,AT23)))))))))))))))))))</f>
        <v>11.14</v>
      </c>
      <c r="BK23" s="442">
        <f t="shared" si="1"/>
        <v>11.67</v>
      </c>
      <c r="BN23" s="440" t="e">
        <f>#REF!</f>
        <v>#REF!</v>
      </c>
      <c r="BO23" s="440">
        <v>30</v>
      </c>
      <c r="BP23" s="507">
        <v>0.8</v>
      </c>
      <c r="BQ23" s="508"/>
    </row>
    <row r="24" spans="2:79" x14ac:dyDescent="0.45">
      <c r="B24" s="435">
        <v>20</v>
      </c>
      <c r="C24" s="436">
        <f>IF($C$2=34.5,'S3'!AD24,IF($C$2=35.5,'S3'!AF24,IF($C$2=36.5,'S3'!AH24,IF($C$2=37.5,'S3'!AJ24,IF($C$2=38.5,'S3'!AL24,IF($C$2=39.5,'S3'!AN24,IF($C$2=40.5,'S3'!AP24,IF($C$2=27.5,'S3'!P24,IF($C$2=28.5,'S3'!R24,IF($C$2=29.5,'S3'!T24,IF($C$2=30.5,'S3'!V24,IF($C$2=31.5,'S3'!Z24,IF($C$2=32.5,'S3'!Z24,IF($C$2=33.5,'S3'!AB24))))))))))))))</f>
        <v>52.59</v>
      </c>
      <c r="D24" s="436">
        <f>IF($C$2=34.5,'S3'!AE24,IF($C$2=35.5,'S3'!AG24,IF($C$2=36.5,'S3'!AI24,IF($C$2=37.5,'S3'!AK24,IF($C$2=38.5,'S3'!AM24,IF($C$2=39.5,'S3'!AO24,IF($C$2=40.5,'S3'!AQ24,IF($C$2=27.5,'S3'!Q24,IF($C$2=28.5,'S3'!S24,IF($C$2=29.5,'S3'!U24,IF($C$2=30.5,'S3'!W24,IF($C$2=31.5,'S3'!Y24,IF($C$2=32.5,'S3'!AA24,IF($C$2=33.5,'S3'!AC24))))))))))))))</f>
        <v>73.63</v>
      </c>
      <c r="E24" s="437">
        <f>IF($E$2=34.5,'S3'!BP24,IF($E$2=35.5,'S3'!BQ24,IF($E$2=36.5,'S3'!BR24,IF($E$2=37.5,'S3'!BS24,IF($E$2=38.5,'S3'!BT24,IF($E$2=39.5,'S3'!BU24,IF($E$2=40.5,'S3'!BV24,IF($E$2=22.5,'S3'!BD24,IF($E$2=23.5,'S3'!BE24,IF($E$2=24.5,'S3'!BF24,IF($E$2=25.5,'S3'!BG24,IF($E$2=26.5,'S3'!BH24,IF($E$2=27.5,'S3'!BI24,IF($E$2=28.5,'S3'!BJ24,IF($E$2=29.5,'S3'!BK24,IF($E$2=30.5,'S3'!BL24,IF($E$2=31.5,'S3'!BM24,IF($E$2=32.5,'S3'!BN24,IF($E$2=33.5,'S3'!BO24)))))))))))))))))))</f>
        <v>32.75</v>
      </c>
      <c r="F24" s="437">
        <f t="shared" si="0"/>
        <v>45.85</v>
      </c>
      <c r="H24" s="480" t="s">
        <v>50</v>
      </c>
      <c r="I24" s="440" t="s">
        <v>17</v>
      </c>
      <c r="J24" s="443">
        <v>12.29</v>
      </c>
      <c r="K24" s="443">
        <v>13.14</v>
      </c>
      <c r="L24" s="443">
        <v>12.42</v>
      </c>
      <c r="M24" s="443">
        <v>13.27</v>
      </c>
      <c r="N24" s="443">
        <v>12.54</v>
      </c>
      <c r="O24" s="443">
        <v>13.39</v>
      </c>
      <c r="P24" s="443">
        <v>12.67</v>
      </c>
      <c r="Q24" s="443">
        <v>13.52</v>
      </c>
      <c r="R24" s="443">
        <v>12.79</v>
      </c>
      <c r="S24" s="443">
        <v>13.64</v>
      </c>
      <c r="T24" s="443">
        <v>12.91</v>
      </c>
      <c r="U24" s="443">
        <v>13.76</v>
      </c>
      <c r="V24" s="443">
        <v>13.04</v>
      </c>
      <c r="W24" s="443">
        <v>13.89</v>
      </c>
      <c r="X24" s="481">
        <v>13.16</v>
      </c>
      <c r="Y24" s="481">
        <v>14.01</v>
      </c>
      <c r="Z24" s="481">
        <v>13.28</v>
      </c>
      <c r="AA24" s="481">
        <v>14.13</v>
      </c>
      <c r="AB24" s="481">
        <v>13.41</v>
      </c>
      <c r="AC24" s="481">
        <v>14.26</v>
      </c>
      <c r="AD24" s="481">
        <v>13.53</v>
      </c>
      <c r="AE24" s="481">
        <v>14.38</v>
      </c>
      <c r="AF24" s="481">
        <v>13.66</v>
      </c>
      <c r="AG24" s="481">
        <v>14.51</v>
      </c>
      <c r="AH24" s="481">
        <v>13.78</v>
      </c>
      <c r="AI24" s="481">
        <v>14.63</v>
      </c>
      <c r="AJ24" s="481">
        <v>13.9</v>
      </c>
      <c r="AK24" s="481">
        <v>14.75</v>
      </c>
      <c r="AL24" s="481">
        <v>14.03</v>
      </c>
      <c r="AM24" s="481">
        <v>14.88</v>
      </c>
      <c r="AN24" s="481">
        <v>14.15</v>
      </c>
      <c r="AO24" s="481">
        <v>15</v>
      </c>
      <c r="AP24" s="482">
        <v>14.27</v>
      </c>
      <c r="AQ24" s="482">
        <v>15.12</v>
      </c>
      <c r="AR24" s="483">
        <v>14.4</v>
      </c>
      <c r="AS24" s="483">
        <v>15.25</v>
      </c>
      <c r="AT24" s="483">
        <v>14.52</v>
      </c>
      <c r="AU24" s="483">
        <v>15.37</v>
      </c>
      <c r="AV24" s="483">
        <v>14.65</v>
      </c>
      <c r="AW24" s="483">
        <v>15.5</v>
      </c>
      <c r="AX24" s="483">
        <v>14.77</v>
      </c>
      <c r="AY24" s="483">
        <v>15.62</v>
      </c>
      <c r="AZ24" s="483">
        <v>11.88</v>
      </c>
      <c r="BA24" s="483">
        <v>12.5</v>
      </c>
      <c r="BB24" s="483">
        <v>12.01</v>
      </c>
      <c r="BC24" s="483">
        <v>12.62</v>
      </c>
      <c r="BD24" s="483">
        <v>12.13</v>
      </c>
      <c r="BE24" s="483">
        <v>12.75</v>
      </c>
      <c r="BF24" s="483">
        <v>12.25</v>
      </c>
      <c r="BG24" s="483">
        <v>12.87</v>
      </c>
      <c r="BH24" s="483">
        <v>10.029999999999999</v>
      </c>
      <c r="BI24" s="483">
        <v>10.64</v>
      </c>
      <c r="BJ24" s="442">
        <f>IF($C$2=15.5,J24,IF($C$2=16.5,L24,IF($C$2=17.5,N24,IF($C$2=18.5,P24,IF($C$2=19.5,R24,IF($C$2=20.5,T24,IF($C$2=21.5,V24,IF($C$2=22.5,X24,IF($C$2=23.5,Z24,IF($C$2=24.5,AB24,IF($C$2=25.5,AD24,IF($C$2=26.5,AF24,IF($C$2=27.5,AH24,IF($C$2=28.5,AJ24,IF($C$2=29.5,AL24,IF($C$2=30.5,AN24,IF($C$2=31.5,AP24,IF($C$2=32.5,AR24,IF($C$2=33.5,AT24)))))))))))))))))))</f>
        <v>14.4</v>
      </c>
      <c r="BK24" s="442">
        <f t="shared" si="1"/>
        <v>15.25</v>
      </c>
      <c r="BN24" s="440" t="e">
        <f>BN23*10</f>
        <v>#REF!</v>
      </c>
      <c r="BO24" s="440">
        <v>40</v>
      </c>
      <c r="BP24" s="507">
        <v>0.9</v>
      </c>
    </row>
    <row r="25" spans="2:79" x14ac:dyDescent="0.45">
      <c r="B25" s="435">
        <v>21</v>
      </c>
      <c r="C25" s="436">
        <f>IF($C$2=34.5,'S3'!AD25,IF($C$2=35.5,'S3'!AF25,IF($C$2=36.5,'S3'!AH25,IF($C$2=37.5,'S3'!AJ25,IF($C$2=38.5,'S3'!AL25,IF($C$2=39.5,'S3'!AN25,IF($C$2=40.5,'S3'!AP25,IF($C$2=27.5,'S3'!P25,IF($C$2=28.5,'S3'!R25,IF($C$2=29.5,'S3'!T25,IF($C$2=30.5,'S3'!V25,IF($C$2=31.5,'S3'!Z25,IF($C$2=32.5,'S3'!Z25,IF($C$2=33.5,'S3'!AB25))))))))))))))</f>
        <v>55.16</v>
      </c>
      <c r="D25" s="436">
        <f>IF($C$2=34.5,'S3'!AE25,IF($C$2=35.5,'S3'!AG25,IF($C$2=36.5,'S3'!AI25,IF($C$2=37.5,'S3'!AK25,IF($C$2=38.5,'S3'!AM25,IF($C$2=39.5,'S3'!AO25,IF($C$2=40.5,'S3'!AQ25,IF($C$2=27.5,'S3'!Q25,IF($C$2=28.5,'S3'!S25,IF($C$2=29.5,'S3'!U25,IF($C$2=30.5,'S3'!W25,IF($C$2=31.5,'S3'!Y25,IF($C$2=32.5,'S3'!AA25,IF($C$2=33.5,'S3'!AC25))))))))))))))</f>
        <v>77.22</v>
      </c>
      <c r="E25" s="437">
        <f>IF($E$2=34.5,'S3'!BP25,IF($E$2=35.5,'S3'!BQ25,IF($E$2=36.5,'S3'!BR25,IF($E$2=37.5,'S3'!BS25,IF($E$2=38.5,'S3'!BT25,IF($E$2=39.5,'S3'!BU25,IF($E$2=40.5,'S3'!BV25,IF($E$2=22.5,'S3'!BD25,IF($E$2=23.5,'S3'!BE25,IF($E$2=24.5,'S3'!BF25,IF($E$2=25.5,'S3'!BG25,IF($E$2=26.5,'S3'!BH25,IF($E$2=27.5,'S3'!BI25,IF($E$2=28.5,'S3'!BJ25,IF($E$2=29.5,'S3'!BK25,IF($E$2=30.5,'S3'!BL25,IF($E$2=31.5,'S3'!BM25,IF($E$2=32.5,'S3'!BN25,IF($E$2=33.5,'S3'!BO25)))))))))))))))))))</f>
        <v>34.36</v>
      </c>
      <c r="F25" s="437">
        <f t="shared" si="0"/>
        <v>48.1</v>
      </c>
      <c r="H25" s="480" t="s">
        <v>51</v>
      </c>
      <c r="I25" s="440" t="s">
        <v>17</v>
      </c>
      <c r="J25" s="443">
        <v>9.9</v>
      </c>
      <c r="K25" s="443">
        <v>10.34</v>
      </c>
      <c r="L25" s="443">
        <v>9.99</v>
      </c>
      <c r="M25" s="443">
        <v>10.43</v>
      </c>
      <c r="N25" s="443">
        <v>10.09</v>
      </c>
      <c r="O25" s="443">
        <v>10.53</v>
      </c>
      <c r="P25" s="443">
        <v>10.19</v>
      </c>
      <c r="Q25" s="443">
        <v>10.63</v>
      </c>
      <c r="R25" s="443">
        <v>10.29</v>
      </c>
      <c r="S25" s="443">
        <v>10.73</v>
      </c>
      <c r="T25" s="443">
        <v>10.39</v>
      </c>
      <c r="U25" s="443">
        <v>10.83</v>
      </c>
      <c r="V25" s="443">
        <v>10.48</v>
      </c>
      <c r="W25" s="443">
        <v>10.92</v>
      </c>
      <c r="X25" s="481">
        <v>10.58</v>
      </c>
      <c r="Y25" s="481">
        <v>11.02</v>
      </c>
      <c r="Z25" s="481">
        <v>10.68</v>
      </c>
      <c r="AA25" s="481">
        <v>11.12</v>
      </c>
      <c r="AB25" s="481">
        <v>10.78</v>
      </c>
      <c r="AC25" s="481">
        <v>11.22</v>
      </c>
      <c r="AD25" s="481">
        <v>10.87</v>
      </c>
      <c r="AE25" s="481">
        <v>11.31</v>
      </c>
      <c r="AF25" s="481">
        <v>10.97</v>
      </c>
      <c r="AG25" s="481">
        <v>11.41</v>
      </c>
      <c r="AH25" s="481">
        <v>11.07</v>
      </c>
      <c r="AI25" s="481">
        <v>11.51</v>
      </c>
      <c r="AJ25" s="481">
        <v>11.17</v>
      </c>
      <c r="AK25" s="481">
        <v>11.61</v>
      </c>
      <c r="AL25" s="481">
        <v>11.26</v>
      </c>
      <c r="AM25" s="481">
        <v>11.7</v>
      </c>
      <c r="AN25" s="481">
        <v>11.36</v>
      </c>
      <c r="AO25" s="481">
        <v>11.8</v>
      </c>
      <c r="AP25" s="482">
        <v>11.46</v>
      </c>
      <c r="AQ25" s="482">
        <v>11.9</v>
      </c>
      <c r="AR25" s="483">
        <v>11.56</v>
      </c>
      <c r="AS25" s="483">
        <v>12</v>
      </c>
      <c r="AT25" s="483">
        <v>11.66</v>
      </c>
      <c r="AU25" s="483">
        <v>12.1</v>
      </c>
      <c r="AV25" s="483">
        <v>11.75</v>
      </c>
      <c r="AW25" s="483">
        <v>12.19</v>
      </c>
      <c r="AX25" s="483">
        <v>11.85</v>
      </c>
      <c r="AY25" s="483">
        <v>12.29</v>
      </c>
      <c r="AZ25" s="483">
        <v>9.59</v>
      </c>
      <c r="BA25" s="483">
        <v>9.9</v>
      </c>
      <c r="BB25" s="483">
        <v>9.68</v>
      </c>
      <c r="BC25" s="483">
        <v>10</v>
      </c>
      <c r="BD25" s="483">
        <v>9.7799999999999994</v>
      </c>
      <c r="BE25" s="483">
        <v>10.09</v>
      </c>
      <c r="BF25" s="483">
        <v>9.8800000000000008</v>
      </c>
      <c r="BG25" s="483">
        <v>10.19</v>
      </c>
      <c r="BH25" s="483">
        <v>8.1199999999999992</v>
      </c>
      <c r="BI25" s="483">
        <v>8.43</v>
      </c>
      <c r="BJ25" s="442">
        <f>IF($C$2=15.5,J25,IF($C$2=16.5,L25,IF($C$2=17.5,N25,IF($C$2=18.5,P25,IF($C$2=19.5,R25,IF($C$2=20.5,T25,IF($C$2=21.5,V25,IF($C$2=22.5,X25,IF($C$2=23.5,Z25,IF($C$2=24.5,AB25,IF($C$2=25.5,AD25,IF($C$2=26.5,AF25,IF($C$2=27.5,AH25,IF($C$2=28.5,AJ25,IF($C$2=29.5,AL25,IF($C$2=30.5,AN25,IF($C$2=31.5,AP25,IF($C$2=32.5,AR25,IF($C$2=33.5,AT25)))))))))))))))))))</f>
        <v>11.56</v>
      </c>
      <c r="BK25" s="442">
        <f t="shared" si="1"/>
        <v>12</v>
      </c>
      <c r="BN25" s="440" t="e">
        <f>VLOOKUP(BN24,BO23:BP28,2)</f>
        <v>#REF!</v>
      </c>
      <c r="BO25" s="440">
        <v>50</v>
      </c>
      <c r="BP25" s="507">
        <v>1</v>
      </c>
    </row>
    <row r="26" spans="2:79" x14ac:dyDescent="0.45">
      <c r="B26" s="435">
        <v>22</v>
      </c>
      <c r="C26" s="436">
        <f>IF($C$2=34.5,'S3'!AD26,IF($C$2=35.5,'S3'!AF26,IF($C$2=36.5,'S3'!AH26,IF($C$2=37.5,'S3'!AJ26,IF($C$2=38.5,'S3'!AL26,IF($C$2=39.5,'S3'!AN26,IF($C$2=40.5,'S3'!AP26,IF($C$2=27.5,'S3'!P26,IF($C$2=28.5,'S3'!R26,IF($C$2=29.5,'S3'!T26,IF($C$2=30.5,'S3'!V26,IF($C$2=31.5,'S3'!Z26,IF($C$2=32.5,'S3'!Z26,IF($C$2=33.5,'S3'!AB26))))))))))))))</f>
        <v>57.73</v>
      </c>
      <c r="D26" s="436">
        <f>IF($C$2=34.5,'S3'!AE26,IF($C$2=35.5,'S3'!AG26,IF($C$2=36.5,'S3'!AI26,IF($C$2=37.5,'S3'!AK26,IF($C$2=38.5,'S3'!AM26,IF($C$2=39.5,'S3'!AO26,IF($C$2=40.5,'S3'!AQ26,IF($C$2=27.5,'S3'!Q26,IF($C$2=28.5,'S3'!S26,IF($C$2=29.5,'S3'!U26,IF($C$2=30.5,'S3'!W26,IF($C$2=31.5,'S3'!Y26,IF($C$2=32.5,'S3'!AA26,IF($C$2=33.5,'S3'!AC26))))))))))))))</f>
        <v>80.819999999999993</v>
      </c>
      <c r="E26" s="437">
        <f>IF($E$2=34.5,'S3'!BP26,IF($E$2=35.5,'S3'!BQ26,IF($E$2=36.5,'S3'!BR26,IF($E$2=37.5,'S3'!BS26,IF($E$2=38.5,'S3'!BT26,IF($E$2=39.5,'S3'!BU26,IF($E$2=40.5,'S3'!BV26,IF($E$2=22.5,'S3'!BD26,IF($E$2=23.5,'S3'!BE26,IF($E$2=24.5,'S3'!BF26,IF($E$2=25.5,'S3'!BG26,IF($E$2=26.5,'S3'!BH26,IF($E$2=27.5,'S3'!BI26,IF($E$2=28.5,'S3'!BJ26,IF($E$2=29.5,'S3'!BK26,IF($E$2=30.5,'S3'!BL26,IF($E$2=31.5,'S3'!BM26,IF($E$2=32.5,'S3'!BN26,IF($E$2=33.5,'S3'!BO26)))))))))))))))))))</f>
        <v>35.96</v>
      </c>
      <c r="F26" s="437">
        <f t="shared" si="0"/>
        <v>50.34</v>
      </c>
      <c r="H26" s="479" t="s">
        <v>349</v>
      </c>
      <c r="I26" s="440" t="s">
        <v>17</v>
      </c>
      <c r="J26" s="443">
        <v>5.35</v>
      </c>
      <c r="K26" s="443">
        <v>5.51</v>
      </c>
      <c r="L26" s="443">
        <v>8.48</v>
      </c>
      <c r="M26" s="443">
        <v>5.64</v>
      </c>
      <c r="N26" s="443">
        <v>5.6</v>
      </c>
      <c r="O26" s="443">
        <v>5.76</v>
      </c>
      <c r="P26" s="443">
        <v>5.73</v>
      </c>
      <c r="Q26" s="443">
        <v>5.89</v>
      </c>
      <c r="R26" s="443">
        <v>5.86</v>
      </c>
      <c r="S26" s="443">
        <v>6.02</v>
      </c>
      <c r="T26" s="443">
        <v>5.99</v>
      </c>
      <c r="U26" s="443">
        <v>6.15</v>
      </c>
      <c r="V26" s="443">
        <v>6.12</v>
      </c>
      <c r="W26" s="443">
        <v>6.28</v>
      </c>
      <c r="X26" s="481">
        <v>6.25</v>
      </c>
      <c r="Y26" s="481">
        <v>6.41</v>
      </c>
      <c r="Z26" s="481">
        <v>6.38</v>
      </c>
      <c r="AA26" s="481">
        <v>6.54</v>
      </c>
      <c r="AB26" s="481">
        <v>6.51</v>
      </c>
      <c r="AC26" s="481">
        <v>6.67</v>
      </c>
      <c r="AD26" s="481">
        <v>6.63</v>
      </c>
      <c r="AE26" s="481">
        <v>6.79</v>
      </c>
      <c r="AF26" s="481">
        <v>6.76</v>
      </c>
      <c r="AG26" s="481">
        <v>6.92</v>
      </c>
      <c r="AH26" s="481">
        <v>6.89</v>
      </c>
      <c r="AI26" s="481">
        <v>7.05</v>
      </c>
      <c r="AJ26" s="481">
        <v>7.02</v>
      </c>
      <c r="AK26" s="481">
        <v>7.18</v>
      </c>
      <c r="AL26" s="481">
        <v>7.15</v>
      </c>
      <c r="AM26" s="481">
        <v>7.31</v>
      </c>
      <c r="AN26" s="481">
        <v>7.28</v>
      </c>
      <c r="AO26" s="481">
        <v>7.44</v>
      </c>
      <c r="AP26" s="482">
        <v>7.41</v>
      </c>
      <c r="AQ26" s="482">
        <v>7.57</v>
      </c>
      <c r="AR26" s="483">
        <v>7.54</v>
      </c>
      <c r="AS26" s="483">
        <v>7.7</v>
      </c>
      <c r="AT26" s="483">
        <v>7.67</v>
      </c>
      <c r="AU26" s="483">
        <v>7.83</v>
      </c>
      <c r="AV26" s="483">
        <v>7.79</v>
      </c>
      <c r="AW26" s="483">
        <v>7.95</v>
      </c>
      <c r="AX26" s="483">
        <v>7.92</v>
      </c>
      <c r="AY26" s="483">
        <v>8.08</v>
      </c>
      <c r="AZ26" s="483">
        <v>7.28</v>
      </c>
      <c r="BA26" s="483">
        <v>7.42</v>
      </c>
      <c r="BB26" s="483">
        <v>7.41</v>
      </c>
      <c r="BC26" s="483">
        <v>7.55</v>
      </c>
      <c r="BD26" s="483">
        <v>7.54</v>
      </c>
      <c r="BE26" s="483">
        <v>7.68</v>
      </c>
      <c r="BF26" s="483">
        <v>7.67</v>
      </c>
      <c r="BG26" s="483">
        <v>7.81</v>
      </c>
      <c r="BH26" s="483">
        <v>5.35</v>
      </c>
      <c r="BI26" s="483">
        <v>5.49</v>
      </c>
      <c r="BJ26" s="442">
        <f>IF($C$2=15.5,J26,IF($C$2=16.5,L26,IF($C$2=17.5,N26,IF($C$2=18.5,P26,IF($C$2=19.5,R26,IF($C$2=20.5,T26,IF($C$2=21.5,V26,IF($C$2=22.5,X26,IF($C$2=23.5,Z26,IF($C$2=24.5,AB26,IF($C$2=25.5,AD26,IF($C$2=26.5,AF26,IF($C$2=27.5,AH26,IF($C$2=28.5,AJ26,IF($C$2=29.5,AL26,IF($C$2=30.5,AN26,IF($C$2=31.5,AP26,IF($C$2=32.5,AR26,IF($C$2=33.5,AT26)))))))))))))))))))</f>
        <v>7.54</v>
      </c>
      <c r="BK26" s="442">
        <f t="shared" si="1"/>
        <v>7.7</v>
      </c>
      <c r="BN26" s="440"/>
      <c r="BO26" s="440">
        <v>60</v>
      </c>
      <c r="BP26" s="507">
        <v>1.6</v>
      </c>
    </row>
    <row r="27" spans="2:79" x14ac:dyDescent="0.45">
      <c r="B27" s="435">
        <v>23</v>
      </c>
      <c r="C27" s="436">
        <f>IF($C$2=34.5,'S3'!AD27,IF($C$2=35.5,'S3'!AF27,IF($C$2=36.5,'S3'!AH27,IF($C$2=37.5,'S3'!AJ27,IF($C$2=38.5,'S3'!AL27,IF($C$2=39.5,'S3'!AN27,IF($C$2=40.5,'S3'!AP27,IF($C$2=27.5,'S3'!P27,IF($C$2=28.5,'S3'!R27,IF($C$2=29.5,'S3'!T27,IF($C$2=30.5,'S3'!V27,IF($C$2=31.5,'S3'!Z27,IF($C$2=32.5,'S3'!Z27,IF($C$2=33.5,'S3'!AB27))))))))))))))</f>
        <v>60.29</v>
      </c>
      <c r="D27" s="436">
        <f>IF($C$2=34.5,'S3'!AE27,IF($C$2=35.5,'S3'!AG27,IF($C$2=36.5,'S3'!AI27,IF($C$2=37.5,'S3'!AK27,IF($C$2=38.5,'S3'!AM27,IF($C$2=39.5,'S3'!AO27,IF($C$2=40.5,'S3'!AQ27,IF($C$2=27.5,'S3'!Q27,IF($C$2=28.5,'S3'!S27,IF($C$2=29.5,'S3'!U27,IF($C$2=30.5,'S3'!W27,IF($C$2=31.5,'S3'!Y27,IF($C$2=32.5,'S3'!AA27,IF($C$2=33.5,'S3'!AC27))))))))))))))</f>
        <v>84.41</v>
      </c>
      <c r="E27" s="437">
        <f>IF($E$2=34.5,'S3'!BP27,IF($E$2=35.5,'S3'!BQ27,IF($E$2=36.5,'S3'!BR27,IF($E$2=37.5,'S3'!BS27,IF($E$2=38.5,'S3'!BT27,IF($E$2=39.5,'S3'!BU27,IF($E$2=40.5,'S3'!BV27,IF($E$2=22.5,'S3'!BD27,IF($E$2=23.5,'S3'!BE27,IF($E$2=24.5,'S3'!BF27,IF($E$2=25.5,'S3'!BG27,IF($E$2=26.5,'S3'!BH27,IF($E$2=27.5,'S3'!BI27,IF($E$2=28.5,'S3'!BJ27,IF($E$2=29.5,'S3'!BK27,IF($E$2=30.5,'S3'!BL27,IF($E$2=31.5,'S3'!BM27,IF($E$2=32.5,'S3'!BN27,IF($E$2=33.5,'S3'!BO27)))))))))))))))))))</f>
        <v>37.57</v>
      </c>
      <c r="F27" s="437">
        <f t="shared" si="0"/>
        <v>52.6</v>
      </c>
      <c r="H27" s="479" t="s">
        <v>350</v>
      </c>
      <c r="I27" s="440" t="s">
        <v>17</v>
      </c>
      <c r="J27" s="443">
        <v>5.26</v>
      </c>
      <c r="K27" s="443">
        <v>5.48</v>
      </c>
      <c r="L27" s="443">
        <v>5.38</v>
      </c>
      <c r="M27" s="443">
        <v>5.6</v>
      </c>
      <c r="N27" s="443">
        <v>5.5</v>
      </c>
      <c r="O27" s="443">
        <v>5.72</v>
      </c>
      <c r="P27" s="443">
        <v>5.62</v>
      </c>
      <c r="Q27" s="443">
        <v>5.84</v>
      </c>
      <c r="R27" s="443">
        <v>5.74</v>
      </c>
      <c r="S27" s="443">
        <v>5.96</v>
      </c>
      <c r="T27" s="443">
        <v>5.86</v>
      </c>
      <c r="U27" s="443">
        <v>6.08</v>
      </c>
      <c r="V27" s="443">
        <v>5.98</v>
      </c>
      <c r="W27" s="443">
        <v>6.2</v>
      </c>
      <c r="X27" s="481">
        <v>6.1</v>
      </c>
      <c r="Y27" s="481">
        <v>6.32</v>
      </c>
      <c r="Z27" s="481">
        <v>6.22</v>
      </c>
      <c r="AA27" s="481">
        <v>6.44</v>
      </c>
      <c r="AB27" s="481">
        <v>6.34</v>
      </c>
      <c r="AC27" s="481">
        <v>6.56</v>
      </c>
      <c r="AD27" s="481">
        <v>6.45</v>
      </c>
      <c r="AE27" s="481">
        <v>6.67</v>
      </c>
      <c r="AF27" s="481">
        <v>6.57</v>
      </c>
      <c r="AG27" s="481">
        <v>6.79</v>
      </c>
      <c r="AH27" s="481">
        <v>6.69</v>
      </c>
      <c r="AI27" s="481">
        <v>6.91</v>
      </c>
      <c r="AJ27" s="481">
        <v>6.81</v>
      </c>
      <c r="AK27" s="481">
        <v>7.03</v>
      </c>
      <c r="AL27" s="481">
        <v>6.93</v>
      </c>
      <c r="AM27" s="481">
        <v>7.15</v>
      </c>
      <c r="AN27" s="481">
        <v>7.05</v>
      </c>
      <c r="AO27" s="481">
        <v>7.27</v>
      </c>
      <c r="AP27" s="482">
        <v>7.17</v>
      </c>
      <c r="AQ27" s="482">
        <v>7.39</v>
      </c>
      <c r="AR27" s="483">
        <v>7.29</v>
      </c>
      <c r="AS27" s="483">
        <v>7.51</v>
      </c>
      <c r="AT27" s="483">
        <v>7.41</v>
      </c>
      <c r="AU27" s="483">
        <v>7.63</v>
      </c>
      <c r="AV27" s="483">
        <v>7.53</v>
      </c>
      <c r="AW27" s="483">
        <v>7.75</v>
      </c>
      <c r="AX27" s="483">
        <v>7.65</v>
      </c>
      <c r="AY27" s="483">
        <v>7.87</v>
      </c>
      <c r="AZ27" s="483">
        <v>6.91</v>
      </c>
      <c r="BA27" s="483">
        <v>7.11</v>
      </c>
      <c r="BB27" s="483">
        <v>7.03</v>
      </c>
      <c r="BC27" s="483">
        <v>7.23</v>
      </c>
      <c r="BD27" s="483">
        <v>7.15</v>
      </c>
      <c r="BE27" s="483">
        <v>7.35</v>
      </c>
      <c r="BF27" s="483">
        <v>7.27</v>
      </c>
      <c r="BG27" s="483">
        <v>7.47</v>
      </c>
      <c r="BH27" s="483">
        <v>5.12</v>
      </c>
      <c r="BI27" s="483">
        <v>5.32</v>
      </c>
      <c r="BJ27" s="442">
        <f>IF($C$2=15.5,J27,IF($C$2=16.5,L27,IF($C$2=17.5,N27,IF($C$2=18.5,P27,IF($C$2=19.5,R27,IF($C$2=20.5,T27,IF($C$2=21.5,V27,IF($C$2=22.5,X27,IF($C$2=23.5,Z27,IF($C$2=24.5,AB27,IF($C$2=25.5,AD27,IF($C$2=26.5,AF27,IF($C$2=27.5,AH27,IF($C$2=28.5,AJ27,IF($C$2=29.5,AL27,IF($C$2=30.5,AN27,IF($C$2=31.5,AP27,IF($C$2=32.5,AR27,IF($C$2=33.5,AT27)))))))))))))))))))</f>
        <v>7.29</v>
      </c>
      <c r="BK27" s="442">
        <f t="shared" si="1"/>
        <v>7.51</v>
      </c>
      <c r="BN27" s="440"/>
      <c r="BO27" s="440">
        <v>70</v>
      </c>
      <c r="BP27" s="507">
        <v>1.7</v>
      </c>
    </row>
    <row r="28" spans="2:79" x14ac:dyDescent="0.45">
      <c r="B28" s="435">
        <v>24</v>
      </c>
      <c r="C28" s="436">
        <f>IF($C$2=34.5,'S3'!AD28,IF($C$2=35.5,'S3'!AF28,IF($C$2=36.5,'S3'!AH28,IF($C$2=37.5,'S3'!AJ28,IF($C$2=38.5,'S3'!AL28,IF($C$2=39.5,'S3'!AN28,IF($C$2=40.5,'S3'!AP28,IF($C$2=27.5,'S3'!P28,IF($C$2=28.5,'S3'!R28,IF($C$2=29.5,'S3'!T28,IF($C$2=30.5,'S3'!V28,IF($C$2=31.5,'S3'!Z28,IF($C$2=32.5,'S3'!Z28,IF($C$2=33.5,'S3'!AB28))))))))))))))</f>
        <v>62.86</v>
      </c>
      <c r="D28" s="436">
        <f>IF($C$2=34.5,'S3'!AE28,IF($C$2=35.5,'S3'!AG28,IF($C$2=36.5,'S3'!AI28,IF($C$2=37.5,'S3'!AK28,IF($C$2=38.5,'S3'!AM28,IF($C$2=39.5,'S3'!AO28,IF($C$2=40.5,'S3'!AQ28,IF($C$2=27.5,'S3'!Q28,IF($C$2=28.5,'S3'!S28,IF($C$2=29.5,'S3'!U28,IF($C$2=30.5,'S3'!W28,IF($C$2=31.5,'S3'!Y28,IF($C$2=32.5,'S3'!AA28,IF($C$2=33.5,'S3'!AC28))))))))))))))</f>
        <v>88</v>
      </c>
      <c r="E28" s="437">
        <f>IF($E$2=34.5,'S3'!BP28,IF($E$2=35.5,'S3'!BQ28,IF($E$2=36.5,'S3'!BR28,IF($E$2=37.5,'S3'!BS28,IF($E$2=38.5,'S3'!BT28,IF($E$2=39.5,'S3'!BU28,IF($E$2=40.5,'S3'!BV28,IF($E$2=22.5,'S3'!BD28,IF($E$2=23.5,'S3'!BE28,IF($E$2=24.5,'S3'!BF28,IF($E$2=25.5,'S3'!BG28,IF($E$2=26.5,'S3'!BH28,IF($E$2=27.5,'S3'!BI28,IF($E$2=28.5,'S3'!BJ28,IF($E$2=29.5,'S3'!BK28,IF($E$2=30.5,'S3'!BL28,IF($E$2=31.5,'S3'!BM28,IF($E$2=32.5,'S3'!BN28,IF($E$2=33.5,'S3'!BO28)))))))))))))))))))</f>
        <v>39.18</v>
      </c>
      <c r="F28" s="437">
        <f t="shared" si="0"/>
        <v>54.85</v>
      </c>
      <c r="H28" s="448" t="s">
        <v>351</v>
      </c>
      <c r="I28" s="449"/>
      <c r="J28" s="439"/>
      <c r="K28" s="439"/>
      <c r="L28" s="439"/>
      <c r="M28" s="439"/>
      <c r="N28" s="439"/>
      <c r="O28" s="439"/>
      <c r="P28" s="439"/>
      <c r="Q28" s="439"/>
      <c r="R28" s="439"/>
      <c r="S28" s="439"/>
      <c r="T28" s="439"/>
      <c r="U28" s="439"/>
      <c r="V28" s="439"/>
      <c r="W28" s="439"/>
      <c r="X28" s="441"/>
      <c r="Y28" s="441"/>
      <c r="Z28" s="441"/>
      <c r="AA28" s="441"/>
      <c r="AB28" s="441"/>
      <c r="AC28" s="441"/>
      <c r="AD28" s="441"/>
      <c r="AE28" s="441"/>
      <c r="AF28" s="441"/>
      <c r="AG28" s="441"/>
      <c r="AH28" s="441"/>
      <c r="AI28" s="441"/>
      <c r="AJ28" s="441"/>
      <c r="AK28" s="441"/>
      <c r="AL28" s="441"/>
      <c r="AM28" s="441"/>
      <c r="AN28" s="441"/>
      <c r="AO28" s="441"/>
      <c r="AP28" s="439"/>
      <c r="AQ28" s="439"/>
      <c r="AR28" s="439"/>
      <c r="AS28" s="439"/>
      <c r="AT28" s="439"/>
      <c r="AU28" s="439"/>
      <c r="AV28" s="439"/>
      <c r="AW28" s="439"/>
      <c r="AX28" s="439"/>
      <c r="AY28" s="439"/>
      <c r="AZ28" s="439"/>
      <c r="BA28" s="439"/>
      <c r="BB28" s="439"/>
      <c r="BC28" s="439"/>
      <c r="BD28" s="439"/>
      <c r="BE28" s="439"/>
      <c r="BF28" s="439"/>
      <c r="BG28" s="439"/>
      <c r="BH28" s="439"/>
      <c r="BI28" s="439"/>
      <c r="BJ28" s="439"/>
      <c r="BK28" s="442">
        <f t="shared" si="1"/>
        <v>0</v>
      </c>
      <c r="BN28" s="509"/>
      <c r="BO28" s="510">
        <v>80</v>
      </c>
      <c r="BP28" s="511">
        <v>1.8</v>
      </c>
    </row>
    <row r="29" spans="2:79" x14ac:dyDescent="0.45">
      <c r="B29" s="435">
        <v>25</v>
      </c>
      <c r="C29" s="436">
        <f>IF($C$2=34.5,'S3'!AD29,IF($C$2=35.5,'S3'!AF29,IF($C$2=36.5,'S3'!AH29,IF($C$2=37.5,'S3'!AJ29,IF($C$2=38.5,'S3'!AL29,IF($C$2=39.5,'S3'!AN29,IF($C$2=40.5,'S3'!AP29,IF($C$2=27.5,'S3'!P29,IF($C$2=28.5,'S3'!R29,IF($C$2=29.5,'S3'!T29,IF($C$2=30.5,'S3'!V29,IF($C$2=31.5,'S3'!Z29,IF($C$2=32.5,'S3'!Z29,IF($C$2=33.5,'S3'!AB29))))))))))))))</f>
        <v>65.430000000000007</v>
      </c>
      <c r="D29" s="436">
        <f>IF($C$2=34.5,'S3'!AE29,IF($C$2=35.5,'S3'!AG29,IF($C$2=36.5,'S3'!AI29,IF($C$2=37.5,'S3'!AK29,IF($C$2=38.5,'S3'!AM29,IF($C$2=39.5,'S3'!AO29,IF($C$2=40.5,'S3'!AQ29,IF($C$2=27.5,'S3'!Q29,IF($C$2=28.5,'S3'!S29,IF($C$2=29.5,'S3'!U29,IF($C$2=30.5,'S3'!W29,IF($C$2=31.5,'S3'!Y29,IF($C$2=32.5,'S3'!AA29,IF($C$2=33.5,'S3'!AC29))))))))))))))</f>
        <v>91.6</v>
      </c>
      <c r="E29" s="437">
        <f>IF($E$2=34.5,'S3'!BP29,IF($E$2=35.5,'S3'!BQ29,IF($E$2=36.5,'S3'!BR29,IF($E$2=37.5,'S3'!BS29,IF($E$2=38.5,'S3'!BT29,IF($E$2=39.5,'S3'!BU29,IF($E$2=40.5,'S3'!BV29,IF($E$2=22.5,'S3'!BD29,IF($E$2=23.5,'S3'!BE29,IF($E$2=24.5,'S3'!BF29,IF($E$2=25.5,'S3'!BG29,IF($E$2=26.5,'S3'!BH29,IF($E$2=27.5,'S3'!BI29,IF($E$2=28.5,'S3'!BJ29,IF($E$2=29.5,'S3'!BK29,IF($E$2=30.5,'S3'!BL29,IF($E$2=31.5,'S3'!BM29,IF($E$2=32.5,'S3'!BN29,IF($E$2=33.5,'S3'!BO29)))))))))))))))))))</f>
        <v>40.79</v>
      </c>
      <c r="F29" s="437">
        <f t="shared" si="0"/>
        <v>57.11</v>
      </c>
      <c r="H29" s="480" t="s">
        <v>352</v>
      </c>
      <c r="I29" s="440" t="s">
        <v>17</v>
      </c>
      <c r="J29" s="439"/>
      <c r="K29" s="439"/>
      <c r="L29" s="439"/>
      <c r="M29" s="439"/>
      <c r="N29" s="439"/>
      <c r="O29" s="439"/>
      <c r="P29" s="439"/>
      <c r="Q29" s="439"/>
      <c r="R29" s="439"/>
      <c r="S29" s="439"/>
      <c r="T29" s="439"/>
      <c r="U29" s="439"/>
      <c r="V29" s="439"/>
      <c r="W29" s="439"/>
      <c r="X29" s="441"/>
      <c r="Y29" s="441">
        <v>15.1</v>
      </c>
      <c r="Z29" s="441"/>
      <c r="AA29" s="441">
        <v>15.36</v>
      </c>
      <c r="AB29" s="441"/>
      <c r="AC29" s="441">
        <v>15.62</v>
      </c>
      <c r="AD29" s="441"/>
      <c r="AE29" s="441">
        <v>15.88</v>
      </c>
      <c r="AF29" s="441"/>
      <c r="AG29" s="441">
        <v>16.14</v>
      </c>
      <c r="AH29" s="441"/>
      <c r="AI29" s="441">
        <v>16.399999999999999</v>
      </c>
      <c r="AJ29" s="441"/>
      <c r="AK29" s="441">
        <v>16.66</v>
      </c>
      <c r="AL29" s="441"/>
      <c r="AM29" s="441">
        <v>16.920000000000002</v>
      </c>
      <c r="AN29" s="441"/>
      <c r="AO29" s="441">
        <v>17.18</v>
      </c>
      <c r="AP29" s="439"/>
      <c r="AQ29" s="439"/>
      <c r="AR29" s="439"/>
      <c r="AS29" s="439"/>
      <c r="AT29" s="439"/>
      <c r="AU29" s="439"/>
      <c r="AV29" s="439"/>
      <c r="AW29" s="439"/>
      <c r="AX29" s="439"/>
      <c r="AY29" s="439"/>
      <c r="AZ29" s="439"/>
      <c r="BA29" s="439"/>
      <c r="BB29" s="439"/>
      <c r="BC29" s="439"/>
      <c r="BD29" s="439"/>
      <c r="BE29" s="439"/>
      <c r="BF29" s="439"/>
      <c r="BG29" s="439"/>
      <c r="BH29" s="439"/>
      <c r="BI29" s="439"/>
      <c r="BJ29" s="439"/>
      <c r="BK29" s="442">
        <f t="shared" si="1"/>
        <v>0</v>
      </c>
    </row>
    <row r="30" spans="2:79" ht="21.75" thickBot="1" x14ac:dyDescent="0.5">
      <c r="B30" s="435">
        <v>26</v>
      </c>
      <c r="C30" s="436">
        <f>IF($C$2=34.5,'S3'!AD30,IF($C$2=35.5,'S3'!AF30,IF($C$2=36.5,'S3'!AH30,IF($C$2=37.5,'S3'!AJ30,IF($C$2=38.5,'S3'!AL30,IF($C$2=39.5,'S3'!AN30,IF($C$2=40.5,'S3'!AP30,IF($C$2=27.5,'S3'!P30,IF($C$2=28.5,'S3'!R30,IF($C$2=29.5,'S3'!T30,IF($C$2=30.5,'S3'!V30,IF($C$2=31.5,'S3'!Z30,IF($C$2=32.5,'S3'!Z30,IF($C$2=33.5,'S3'!AB30))))))))))))))</f>
        <v>67.989999999999995</v>
      </c>
      <c r="D30" s="436">
        <f>IF($C$2=34.5,'S3'!AE30,IF($C$2=35.5,'S3'!AG30,IF($C$2=36.5,'S3'!AI30,IF($C$2=37.5,'S3'!AK30,IF($C$2=38.5,'S3'!AM30,IF($C$2=39.5,'S3'!AO30,IF($C$2=40.5,'S3'!AQ30,IF($C$2=27.5,'S3'!Q30,IF($C$2=28.5,'S3'!S30,IF($C$2=29.5,'S3'!U30,IF($C$2=30.5,'S3'!W30,IF($C$2=31.5,'S3'!Y30,IF($C$2=32.5,'S3'!AA30,IF($C$2=33.5,'S3'!AC30))))))))))))))</f>
        <v>95.19</v>
      </c>
      <c r="E30" s="437">
        <f>IF($E$2=34.5,'S3'!BP30,IF($E$2=35.5,'S3'!BQ30,IF($E$2=36.5,'S3'!BR30,IF($E$2=37.5,'S3'!BS30,IF($E$2=38.5,'S3'!BT30,IF($E$2=39.5,'S3'!BU30,IF($E$2=40.5,'S3'!BV30,IF($E$2=22.5,'S3'!BD30,IF($E$2=23.5,'S3'!BE30,IF($E$2=24.5,'S3'!BF30,IF($E$2=25.5,'S3'!BG30,IF($E$2=26.5,'S3'!BH30,IF($E$2=27.5,'S3'!BI30,IF($E$2=28.5,'S3'!BJ30,IF($E$2=29.5,'S3'!BK30,IF($E$2=30.5,'S3'!BL30,IF($E$2=31.5,'S3'!BM30,IF($E$2=32.5,'S3'!BN30,IF($E$2=33.5,'S3'!BO30)))))))))))))))))))</f>
        <v>42.39</v>
      </c>
      <c r="F30" s="437">
        <f t="shared" si="0"/>
        <v>59.35</v>
      </c>
      <c r="H30" s="480" t="s">
        <v>353</v>
      </c>
      <c r="I30" s="440" t="s">
        <v>17</v>
      </c>
      <c r="J30" s="439"/>
      <c r="K30" s="439"/>
      <c r="L30" s="439"/>
      <c r="M30" s="439"/>
      <c r="N30" s="439"/>
      <c r="O30" s="439"/>
      <c r="P30" s="439"/>
      <c r="Q30" s="439"/>
      <c r="R30" s="439"/>
      <c r="S30" s="439"/>
      <c r="T30" s="439"/>
      <c r="U30" s="439"/>
      <c r="V30" s="439"/>
      <c r="W30" s="439"/>
      <c r="X30" s="441"/>
      <c r="Y30" s="441">
        <v>20.86</v>
      </c>
      <c r="Z30" s="441"/>
      <c r="AA30" s="441">
        <v>21.22</v>
      </c>
      <c r="AB30" s="441"/>
      <c r="AC30" s="441">
        <v>21.58</v>
      </c>
      <c r="AD30" s="441"/>
      <c r="AE30" s="441">
        <v>21.94</v>
      </c>
      <c r="AF30" s="441"/>
      <c r="AG30" s="441">
        <v>22.3</v>
      </c>
      <c r="AH30" s="441"/>
      <c r="AI30" s="441">
        <v>22.66</v>
      </c>
      <c r="AJ30" s="441"/>
      <c r="AK30" s="441">
        <v>23.02</v>
      </c>
      <c r="AL30" s="441"/>
      <c r="AM30" s="441">
        <v>23.38</v>
      </c>
      <c r="AN30" s="441"/>
      <c r="AO30" s="441">
        <v>23.74</v>
      </c>
      <c r="AP30" s="439"/>
      <c r="AQ30" s="439"/>
      <c r="AR30" s="439"/>
      <c r="AS30" s="439"/>
      <c r="AT30" s="439"/>
      <c r="AU30" s="439"/>
      <c r="AV30" s="439"/>
      <c r="AW30" s="439"/>
      <c r="AX30" s="439"/>
      <c r="AY30" s="439"/>
      <c r="AZ30" s="439"/>
      <c r="BA30" s="439"/>
      <c r="BB30" s="439"/>
      <c r="BC30" s="439"/>
      <c r="BD30" s="439"/>
      <c r="BE30" s="439"/>
      <c r="BF30" s="439"/>
      <c r="BG30" s="439"/>
      <c r="BH30" s="439"/>
      <c r="BI30" s="439"/>
      <c r="BJ30" s="439"/>
      <c r="BK30" s="442">
        <f t="shared" si="1"/>
        <v>0</v>
      </c>
    </row>
    <row r="31" spans="2:79" ht="21.75" thickBot="1" x14ac:dyDescent="0.5">
      <c r="B31" s="435">
        <v>27</v>
      </c>
      <c r="C31" s="436">
        <f>IF($C$2=34.5,'S3'!AD31,IF($C$2=35.5,'S3'!AF31,IF($C$2=36.5,'S3'!AH31,IF($C$2=37.5,'S3'!AJ31,IF($C$2=38.5,'S3'!AL31,IF($C$2=39.5,'S3'!AN31,IF($C$2=40.5,'S3'!AP31,IF($C$2=27.5,'S3'!P31,IF($C$2=28.5,'S3'!R31,IF($C$2=29.5,'S3'!T31,IF($C$2=30.5,'S3'!V31,IF($C$2=31.5,'S3'!Z31,IF($C$2=32.5,'S3'!Z31,IF($C$2=33.5,'S3'!AB31))))))))))))))</f>
        <v>70.56</v>
      </c>
      <c r="D31" s="436">
        <f>IF($C$2=34.5,'S3'!AE31,IF($C$2=35.5,'S3'!AG31,IF($C$2=36.5,'S3'!AI31,IF($C$2=37.5,'S3'!AK31,IF($C$2=38.5,'S3'!AM31,IF($C$2=39.5,'S3'!AO31,IF($C$2=40.5,'S3'!AQ31,IF($C$2=27.5,'S3'!Q31,IF($C$2=28.5,'S3'!S31,IF($C$2=29.5,'S3'!U31,IF($C$2=30.5,'S3'!W31,IF($C$2=31.5,'S3'!Y31,IF($C$2=32.5,'S3'!AA31,IF($C$2=33.5,'S3'!AC31))))))))))))))</f>
        <v>98.78</v>
      </c>
      <c r="E31" s="437">
        <f>IF($E$2=34.5,'S3'!BP31,IF($E$2=35.5,'S3'!BQ31,IF($E$2=36.5,'S3'!BR31,IF($E$2=37.5,'S3'!BS31,IF($E$2=38.5,'S3'!BT31,IF($E$2=39.5,'S3'!BU31,IF($E$2=40.5,'S3'!BV31,IF($E$2=22.5,'S3'!BD31,IF($E$2=23.5,'S3'!BE31,IF($E$2=24.5,'S3'!BF31,IF($E$2=25.5,'S3'!BG31,IF($E$2=26.5,'S3'!BH31,IF($E$2=27.5,'S3'!BI31,IF($E$2=28.5,'S3'!BJ31,IF($E$2=29.5,'S3'!BK31,IF($E$2=30.5,'S3'!BL31,IF($E$2=31.5,'S3'!BM31,IF($E$2=32.5,'S3'!BN31,IF($E$2=33.5,'S3'!BO31)))))))))))))))))))</f>
        <v>44</v>
      </c>
      <c r="F31" s="437">
        <f t="shared" si="0"/>
        <v>61.6</v>
      </c>
      <c r="H31" s="448" t="s">
        <v>354</v>
      </c>
      <c r="I31" s="449"/>
      <c r="J31" s="439"/>
      <c r="K31" s="439"/>
      <c r="L31" s="439"/>
      <c r="M31" s="439"/>
      <c r="N31" s="439"/>
      <c r="O31" s="439"/>
      <c r="P31" s="439"/>
      <c r="Q31" s="439"/>
      <c r="R31" s="439"/>
      <c r="S31" s="439"/>
      <c r="T31" s="439"/>
      <c r="U31" s="439"/>
      <c r="V31" s="439"/>
      <c r="W31" s="439"/>
      <c r="X31" s="441"/>
      <c r="Y31" s="441"/>
      <c r="Z31" s="441"/>
      <c r="AA31" s="441"/>
      <c r="AB31" s="441"/>
      <c r="AC31" s="441"/>
      <c r="AD31" s="441"/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39"/>
      <c r="AQ31" s="439"/>
      <c r="AR31" s="439"/>
      <c r="AS31" s="439"/>
      <c r="AT31" s="439"/>
      <c r="AU31" s="439"/>
      <c r="AV31" s="439"/>
      <c r="AW31" s="439"/>
      <c r="AX31" s="439"/>
      <c r="AY31" s="439"/>
      <c r="AZ31" s="439"/>
      <c r="BA31" s="439"/>
      <c r="BB31" s="439"/>
      <c r="BC31" s="439"/>
      <c r="BD31" s="439"/>
      <c r="BE31" s="439"/>
      <c r="BF31" s="439"/>
      <c r="BG31" s="439"/>
      <c r="BH31" s="439"/>
      <c r="BI31" s="439"/>
      <c r="BJ31" s="439"/>
      <c r="BK31" s="442">
        <f t="shared" si="1"/>
        <v>0</v>
      </c>
      <c r="BN31" s="1054" t="s">
        <v>98</v>
      </c>
      <c r="BO31" s="1055"/>
      <c r="BP31" s="512" t="s">
        <v>117</v>
      </c>
      <c r="BQ31" s="513" t="e">
        <f>IF(#REF!=0,'S2'!$BN$17,IF(#REF!=1,'S2'!$BO$17,IF(#REF!=2,'S2'!$BP$17)))</f>
        <v>#REF!</v>
      </c>
    </row>
    <row r="32" spans="2:79" x14ac:dyDescent="0.45">
      <c r="B32" s="435">
        <v>28</v>
      </c>
      <c r="C32" s="436">
        <f>IF($C$2=34.5,'S3'!AD32,IF($C$2=35.5,'S3'!AF32,IF($C$2=36.5,'S3'!AH32,IF($C$2=37.5,'S3'!AJ32,IF($C$2=38.5,'S3'!AL32,IF($C$2=39.5,'S3'!AN32,IF($C$2=40.5,'S3'!AP32,IF($C$2=27.5,'S3'!P32,IF($C$2=28.5,'S3'!R32,IF($C$2=29.5,'S3'!T32,IF($C$2=30.5,'S3'!V32,IF($C$2=31.5,'S3'!Z32,IF($C$2=32.5,'S3'!Z32,IF($C$2=33.5,'S3'!AB32))))))))))))))</f>
        <v>73.13</v>
      </c>
      <c r="D32" s="436">
        <f>IF($C$2=34.5,'S3'!AE32,IF($C$2=35.5,'S3'!AG32,IF($C$2=36.5,'S3'!AI32,IF($C$2=37.5,'S3'!AK32,IF($C$2=38.5,'S3'!AM32,IF($C$2=39.5,'S3'!AO32,IF($C$2=40.5,'S3'!AQ32,IF($C$2=27.5,'S3'!Q32,IF($C$2=28.5,'S3'!S32,IF($C$2=29.5,'S3'!U32,IF($C$2=30.5,'S3'!W32,IF($C$2=31.5,'S3'!Y32,IF($C$2=32.5,'S3'!AA32,IF($C$2=33.5,'S3'!AC32))))))))))))))</f>
        <v>102.38</v>
      </c>
      <c r="E32" s="437">
        <f>IF($E$2=34.5,'S3'!BP32,IF($E$2=35.5,'S3'!BQ32,IF($E$2=36.5,'S3'!BR32,IF($E$2=37.5,'S3'!BS32,IF($E$2=38.5,'S3'!BT32,IF($E$2=39.5,'S3'!BU32,IF($E$2=40.5,'S3'!BV32,IF($E$2=22.5,'S3'!BD32,IF($E$2=23.5,'S3'!BE32,IF($E$2=24.5,'S3'!BF32,IF($E$2=25.5,'S3'!BG32,IF($E$2=26.5,'S3'!BH32,IF($E$2=27.5,'S3'!BI32,IF($E$2=28.5,'S3'!BJ32,IF($E$2=29.5,'S3'!BK32,IF($E$2=30.5,'S3'!BL32,IF($E$2=31.5,'S3'!BM32,IF($E$2=32.5,'S3'!BN32,IF($E$2=33.5,'S3'!BO32)))))))))))))))))))</f>
        <v>45.61</v>
      </c>
      <c r="F32" s="437">
        <f t="shared" si="0"/>
        <v>63.85</v>
      </c>
      <c r="H32" s="480" t="s">
        <v>358</v>
      </c>
      <c r="I32" s="440" t="s">
        <v>52</v>
      </c>
      <c r="J32" s="443">
        <v>221.46</v>
      </c>
      <c r="K32" s="443">
        <v>225.65</v>
      </c>
      <c r="L32" s="443">
        <v>232.24</v>
      </c>
      <c r="M32" s="443">
        <v>236.43</v>
      </c>
      <c r="N32" s="443">
        <v>243.03</v>
      </c>
      <c r="O32" s="443">
        <v>247.22</v>
      </c>
      <c r="P32" s="443">
        <v>253.81</v>
      </c>
      <c r="Q32" s="443">
        <v>258</v>
      </c>
      <c r="R32" s="443">
        <v>264.58999999999997</v>
      </c>
      <c r="S32" s="443">
        <v>268.77999999999997</v>
      </c>
      <c r="T32" s="443">
        <v>275.38</v>
      </c>
      <c r="U32" s="443">
        <v>279.57</v>
      </c>
      <c r="V32" s="443">
        <v>286.16000000000003</v>
      </c>
      <c r="W32" s="443">
        <v>290.35000000000002</v>
      </c>
      <c r="X32" s="481">
        <v>296.94</v>
      </c>
      <c r="Y32" s="481">
        <v>301.13</v>
      </c>
      <c r="Z32" s="481">
        <v>307.73</v>
      </c>
      <c r="AA32" s="481">
        <v>311.92</v>
      </c>
      <c r="AB32" s="481">
        <v>318.51</v>
      </c>
      <c r="AC32" s="481">
        <v>322.7</v>
      </c>
      <c r="AD32" s="481">
        <v>329.29</v>
      </c>
      <c r="AE32" s="481">
        <v>333.48</v>
      </c>
      <c r="AF32" s="481">
        <v>340.08</v>
      </c>
      <c r="AG32" s="481">
        <v>344.27</v>
      </c>
      <c r="AH32" s="481">
        <v>350.86</v>
      </c>
      <c r="AI32" s="481">
        <v>355.05</v>
      </c>
      <c r="AJ32" s="481">
        <v>361.64</v>
      </c>
      <c r="AK32" s="481">
        <v>365.83</v>
      </c>
      <c r="AL32" s="481">
        <v>372.43</v>
      </c>
      <c r="AM32" s="481">
        <v>376.62</v>
      </c>
      <c r="AN32" s="481">
        <v>383.21</v>
      </c>
      <c r="AO32" s="481">
        <v>387.4</v>
      </c>
      <c r="AP32" s="482">
        <v>393.99</v>
      </c>
      <c r="AQ32" s="482">
        <v>398.18</v>
      </c>
      <c r="AR32" s="483">
        <v>404.78</v>
      </c>
      <c r="AS32" s="483">
        <v>408.97</v>
      </c>
      <c r="AT32" s="483">
        <v>415.56</v>
      </c>
      <c r="AU32" s="483">
        <v>419.75</v>
      </c>
      <c r="AV32" s="483">
        <v>426.35</v>
      </c>
      <c r="AW32" s="483">
        <v>430.54</v>
      </c>
      <c r="AX32" s="483">
        <v>437.13</v>
      </c>
      <c r="AY32" s="483">
        <v>441.32</v>
      </c>
      <c r="AZ32" s="483">
        <v>445.64</v>
      </c>
      <c r="BA32" s="483">
        <v>449.84</v>
      </c>
      <c r="BB32" s="483">
        <v>456.43</v>
      </c>
      <c r="BC32" s="483">
        <v>460.62</v>
      </c>
      <c r="BD32" s="483">
        <v>467.21</v>
      </c>
      <c r="BE32" s="483">
        <v>471.4</v>
      </c>
      <c r="BF32" s="483">
        <v>478</v>
      </c>
      <c r="BG32" s="483">
        <v>482.19</v>
      </c>
      <c r="BH32" s="483">
        <v>283.89</v>
      </c>
      <c r="BI32" s="483">
        <v>288.08</v>
      </c>
      <c r="BJ32" s="442">
        <f>IF($C$2=15.5,J32,IF($C$2=16.5,L32,IF($C$2=17.5,N32,IF($C$2=18.5,P32,IF($C$2=19.5,R32,IF($C$2=20.5,T32,IF($C$2=21.5,V32,IF($C$2=22.5,X32,IF($C$2=23.5,Z32,IF($C$2=24.5,AB32,IF($C$2=25.5,AD32,IF($C$2=26.5,AF32,IF($C$2=27.5,AH32,IF($C$2=28.5,AJ32,IF($C$2=29.5,AL32,IF($C$2=30.5,AN32,IF($C$2=31.5,AP32,IF($C$2=32.5,AR32,IF($C$2=33.5,AT32)))))))))))))))))))</f>
        <v>404.78</v>
      </c>
      <c r="BK32" s="442">
        <f t="shared" si="1"/>
        <v>408.97</v>
      </c>
    </row>
    <row r="33" spans="2:63" x14ac:dyDescent="0.45">
      <c r="B33" s="435">
        <v>29</v>
      </c>
      <c r="C33" s="436">
        <f>IF($C$2=34.5,'S3'!AD33,IF($C$2=35.5,'S3'!AF33,IF($C$2=36.5,'S3'!AH33,IF($C$2=37.5,'S3'!AJ33,IF($C$2=38.5,'S3'!AL33,IF($C$2=39.5,'S3'!AN33,IF($C$2=40.5,'S3'!AP33,IF($C$2=27.5,'S3'!P33,IF($C$2=28.5,'S3'!R33,IF($C$2=29.5,'S3'!T33,IF($C$2=30.5,'S3'!V33,IF($C$2=31.5,'S3'!Z33,IF($C$2=32.5,'S3'!Z33,IF($C$2=33.5,'S3'!AB33))))))))))))))</f>
        <v>75.680000000000007</v>
      </c>
      <c r="D33" s="436">
        <f>IF($C$2=34.5,'S3'!AE33,IF($C$2=35.5,'S3'!AG33,IF($C$2=36.5,'S3'!AI33,IF($C$2=37.5,'S3'!AK33,IF($C$2=38.5,'S3'!AM33,IF($C$2=39.5,'S3'!AO33,IF($C$2=40.5,'S3'!AQ33,IF($C$2=27.5,'S3'!Q33,IF($C$2=28.5,'S3'!S33,IF($C$2=29.5,'S3'!U33,IF($C$2=30.5,'S3'!W33,IF($C$2=31.5,'S3'!Y33,IF($C$2=32.5,'S3'!AA33,IF($C$2=33.5,'S3'!AC33))))))))))))))</f>
        <v>105.95</v>
      </c>
      <c r="E33" s="437">
        <f>IF($E$2=34.5,'S3'!BP33,IF($E$2=35.5,'S3'!BQ33,IF($E$2=36.5,'S3'!BR33,IF($E$2=37.5,'S3'!BS33,IF($E$2=38.5,'S3'!BT33,IF($E$2=39.5,'S3'!BU33,IF($E$2=40.5,'S3'!BV33,IF($E$2=22.5,'S3'!BD33,IF($E$2=23.5,'S3'!BE33,IF($E$2=24.5,'S3'!BF33,IF($E$2=25.5,'S3'!BG33,IF($E$2=26.5,'S3'!BH33,IF($E$2=27.5,'S3'!BI33,IF($E$2=28.5,'S3'!BJ33,IF($E$2=29.5,'S3'!BK33,IF($E$2=30.5,'S3'!BL33,IF($E$2=31.5,'S3'!BM33,IF($E$2=32.5,'S3'!BN33,IF($E$2=33.5,'S3'!BO33)))))))))))))))))))</f>
        <v>47.21</v>
      </c>
      <c r="F33" s="437">
        <f t="shared" si="0"/>
        <v>66.09</v>
      </c>
      <c r="H33" s="439" t="s">
        <v>355</v>
      </c>
      <c r="I33" s="449"/>
      <c r="J33" s="439"/>
      <c r="K33" s="439"/>
      <c r="L33" s="439"/>
      <c r="M33" s="439"/>
      <c r="N33" s="439"/>
      <c r="O33" s="439"/>
      <c r="P33" s="439"/>
      <c r="Q33" s="439"/>
      <c r="R33" s="439"/>
      <c r="S33" s="439"/>
      <c r="T33" s="439"/>
      <c r="U33" s="439"/>
      <c r="V33" s="439"/>
      <c r="W33" s="439"/>
      <c r="X33" s="441"/>
      <c r="Y33" s="441"/>
      <c r="Z33" s="441"/>
      <c r="AA33" s="441"/>
      <c r="AB33" s="441"/>
      <c r="AC33" s="441"/>
      <c r="AD33" s="441"/>
      <c r="AE33" s="441"/>
      <c r="AF33" s="441"/>
      <c r="AG33" s="441"/>
      <c r="AH33" s="441"/>
      <c r="AI33" s="441"/>
      <c r="AJ33" s="441"/>
      <c r="AK33" s="441"/>
      <c r="AL33" s="441"/>
      <c r="AM33" s="441"/>
      <c r="AN33" s="441"/>
      <c r="AO33" s="441"/>
      <c r="AP33" s="439"/>
      <c r="AQ33" s="439"/>
      <c r="AR33" s="439"/>
      <c r="AS33" s="439"/>
      <c r="AT33" s="439"/>
      <c r="AU33" s="439"/>
      <c r="AV33" s="439"/>
      <c r="AW33" s="439"/>
      <c r="AX33" s="439"/>
      <c r="AY33" s="439"/>
      <c r="AZ33" s="439"/>
      <c r="BA33" s="439"/>
      <c r="BB33" s="439"/>
      <c r="BC33" s="439"/>
      <c r="BD33" s="439"/>
      <c r="BE33" s="439"/>
      <c r="BF33" s="439"/>
      <c r="BG33" s="439"/>
      <c r="BH33" s="439"/>
      <c r="BI33" s="439"/>
      <c r="BJ33" s="439"/>
      <c r="BK33" s="442">
        <f t="shared" si="1"/>
        <v>0</v>
      </c>
    </row>
    <row r="34" spans="2:63" x14ac:dyDescent="0.45">
      <c r="B34" s="435">
        <v>30</v>
      </c>
      <c r="C34" s="436">
        <f>IF($C$2=34.5,'S3'!AD34,IF($C$2=35.5,'S3'!AF34,IF($C$2=36.5,'S3'!AH34,IF($C$2=37.5,'S3'!AJ34,IF($C$2=38.5,'S3'!AL34,IF($C$2=39.5,'S3'!AN34,IF($C$2=40.5,'S3'!AP34,IF($C$2=27.5,'S3'!P34,IF($C$2=28.5,'S3'!R34,IF($C$2=29.5,'S3'!T34,IF($C$2=30.5,'S3'!V34,IF($C$2=31.5,'S3'!Z34,IF($C$2=32.5,'S3'!Z34,IF($C$2=33.5,'S3'!AB34))))))))))))))</f>
        <v>78.260000000000005</v>
      </c>
      <c r="D34" s="436">
        <f>IF($C$2=34.5,'S3'!AE34,IF($C$2=35.5,'S3'!AG34,IF($C$2=36.5,'S3'!AI34,IF($C$2=37.5,'S3'!AK34,IF($C$2=38.5,'S3'!AM34,IF($C$2=39.5,'S3'!AO34,IF($C$2=40.5,'S3'!AQ34,IF($C$2=27.5,'S3'!Q34,IF($C$2=28.5,'S3'!S34,IF($C$2=29.5,'S3'!U34,IF($C$2=30.5,'S3'!W34,IF($C$2=31.5,'S3'!Y34,IF($C$2=32.5,'S3'!AA34,IF($C$2=33.5,'S3'!AC34))))))))))))))</f>
        <v>109.56</v>
      </c>
      <c r="E34" s="437">
        <f>IF($E$2=34.5,'S3'!BP34,IF($E$2=35.5,'S3'!BQ34,IF($E$2=36.5,'S3'!BR34,IF($E$2=37.5,'S3'!BS34,IF($E$2=38.5,'S3'!BT34,IF($E$2=39.5,'S3'!BU34,IF($E$2=40.5,'S3'!BV34,IF($E$2=22.5,'S3'!BD34,IF($E$2=23.5,'S3'!BE34,IF($E$2=24.5,'S3'!BF34,IF($E$2=25.5,'S3'!BG34,IF($E$2=26.5,'S3'!BH34,IF($E$2=27.5,'S3'!BI34,IF($E$2=28.5,'S3'!BJ34,IF($E$2=29.5,'S3'!BK34,IF($E$2=30.5,'S3'!BL34,IF($E$2=31.5,'S3'!BM34,IF($E$2=32.5,'S3'!BN34,IF($E$2=33.5,'S3'!BO34)))))))))))))))))))</f>
        <v>48.82</v>
      </c>
      <c r="F34" s="437">
        <f t="shared" si="0"/>
        <v>68.349999999999994</v>
      </c>
      <c r="H34" s="439" t="s">
        <v>356</v>
      </c>
      <c r="I34" s="449" t="s">
        <v>376</v>
      </c>
      <c r="J34" s="439"/>
      <c r="K34" s="439"/>
      <c r="L34" s="439"/>
      <c r="M34" s="439"/>
      <c r="N34" s="439"/>
      <c r="O34" s="439"/>
      <c r="P34" s="439"/>
      <c r="Q34" s="439"/>
      <c r="R34" s="439"/>
      <c r="S34" s="439"/>
      <c r="T34" s="439"/>
      <c r="U34" s="439"/>
      <c r="V34" s="439"/>
      <c r="W34" s="439"/>
      <c r="X34" s="441"/>
      <c r="Y34" s="441">
        <v>250000</v>
      </c>
      <c r="Z34" s="441">
        <v>250000</v>
      </c>
      <c r="AA34" s="441">
        <v>250000</v>
      </c>
      <c r="AB34" s="441">
        <v>250000</v>
      </c>
      <c r="AC34" s="441">
        <v>250000</v>
      </c>
      <c r="AD34" s="441">
        <v>250000</v>
      </c>
      <c r="AE34" s="441">
        <v>250000</v>
      </c>
      <c r="AF34" s="441">
        <v>250000</v>
      </c>
      <c r="AG34" s="441">
        <v>250000</v>
      </c>
      <c r="AH34" s="441">
        <v>250000</v>
      </c>
      <c r="AI34" s="441">
        <v>250000</v>
      </c>
      <c r="AJ34" s="441">
        <v>250000</v>
      </c>
      <c r="AK34" s="441">
        <v>250000</v>
      </c>
      <c r="AL34" s="441">
        <v>250000</v>
      </c>
      <c r="AM34" s="441">
        <v>250000</v>
      </c>
      <c r="AN34" s="441">
        <v>250000</v>
      </c>
      <c r="AO34" s="441">
        <v>250000</v>
      </c>
      <c r="AP34" s="514">
        <v>250000</v>
      </c>
      <c r="AQ34" s="514">
        <v>250000</v>
      </c>
      <c r="AR34" s="514">
        <v>250000</v>
      </c>
      <c r="AS34" s="514">
        <v>250000</v>
      </c>
      <c r="AT34" s="514">
        <v>250000</v>
      </c>
      <c r="AU34" s="514">
        <v>250000</v>
      </c>
      <c r="AV34" s="514">
        <v>250000</v>
      </c>
      <c r="AW34" s="514">
        <v>250000</v>
      </c>
      <c r="AX34" s="514">
        <v>250000</v>
      </c>
      <c r="AY34" s="514">
        <v>250000</v>
      </c>
      <c r="AZ34" s="514">
        <v>250000</v>
      </c>
      <c r="BA34" s="514">
        <v>250000</v>
      </c>
      <c r="BB34" s="514">
        <v>250000</v>
      </c>
      <c r="BC34" s="514">
        <v>250000</v>
      </c>
      <c r="BD34" s="514">
        <v>250000</v>
      </c>
      <c r="BE34" s="514">
        <v>250000</v>
      </c>
      <c r="BF34" s="514">
        <v>250000</v>
      </c>
      <c r="BG34" s="514">
        <v>250000</v>
      </c>
      <c r="BH34" s="514">
        <v>250000</v>
      </c>
      <c r="BI34" s="514">
        <v>250000</v>
      </c>
      <c r="BJ34" s="439"/>
      <c r="BK34" s="442">
        <f t="shared" si="1"/>
        <v>250000</v>
      </c>
    </row>
    <row r="35" spans="2:63" x14ac:dyDescent="0.45">
      <c r="B35" s="435">
        <v>31</v>
      </c>
      <c r="C35" s="436">
        <f>IF($C$2=34.5,'S3'!AD35,IF($C$2=35.5,'S3'!AF35,IF($C$2=36.5,'S3'!AH35,IF($C$2=37.5,'S3'!AJ35,IF($C$2=38.5,'S3'!AL35,IF($C$2=39.5,'S3'!AN35,IF($C$2=40.5,'S3'!AP35,IF($C$2=27.5,'S3'!P35,IF($C$2=28.5,'S3'!R35,IF($C$2=29.5,'S3'!T35,IF($C$2=30.5,'S3'!V35,IF($C$2=31.5,'S3'!Z35,IF($C$2=32.5,'S3'!Z35,IF($C$2=33.5,'S3'!AB35))))))))))))))</f>
        <v>80.819999999999993</v>
      </c>
      <c r="D35" s="436">
        <f>IF($C$2=34.5,'S3'!AE35,IF($C$2=35.5,'S3'!AG35,IF($C$2=36.5,'S3'!AI35,IF($C$2=37.5,'S3'!AK35,IF($C$2=38.5,'S3'!AM35,IF($C$2=39.5,'S3'!AO35,IF($C$2=40.5,'S3'!AQ35,IF($C$2=27.5,'S3'!Q35,IF($C$2=28.5,'S3'!S35,IF($C$2=29.5,'S3'!U35,IF($C$2=30.5,'S3'!W35,IF($C$2=31.5,'S3'!Y35,IF($C$2=32.5,'S3'!AA35,IF($C$2=33.5,'S3'!AC35))))))))))))))</f>
        <v>113.15</v>
      </c>
      <c r="E35" s="437">
        <f>IF($E$2=34.5,'S3'!BP35,IF($E$2=35.5,'S3'!BQ35,IF($E$2=36.5,'S3'!BR35,IF($E$2=37.5,'S3'!BS35,IF($E$2=38.5,'S3'!BT35,IF($E$2=39.5,'S3'!BU35,IF($E$2=40.5,'S3'!BV35,IF($E$2=22.5,'S3'!BD35,IF($E$2=23.5,'S3'!BE35,IF($E$2=24.5,'S3'!BF35,IF($E$2=25.5,'S3'!BG35,IF($E$2=26.5,'S3'!BH35,IF($E$2=27.5,'S3'!BI35,IF($E$2=28.5,'S3'!BJ35,IF($E$2=29.5,'S3'!BK35,IF($E$2=30.5,'S3'!BL35,IF($E$2=31.5,'S3'!BM35,IF($E$2=32.5,'S3'!BN35,IF($E$2=33.5,'S3'!BO35)))))))))))))))))))</f>
        <v>50.42</v>
      </c>
      <c r="F35" s="437">
        <f t="shared" si="0"/>
        <v>70.59</v>
      </c>
      <c r="H35" s="439" t="s">
        <v>357</v>
      </c>
      <c r="I35" s="449"/>
      <c r="J35" s="439"/>
      <c r="K35" s="439"/>
      <c r="L35" s="439"/>
      <c r="M35" s="439"/>
      <c r="N35" s="439"/>
      <c r="O35" s="439"/>
      <c r="P35" s="439"/>
      <c r="Q35" s="439"/>
      <c r="R35" s="439"/>
      <c r="S35" s="439"/>
      <c r="T35" s="439"/>
      <c r="U35" s="439"/>
      <c r="V35" s="439"/>
      <c r="W35" s="439"/>
      <c r="X35" s="441"/>
      <c r="Y35" s="441"/>
      <c r="Z35" s="441"/>
      <c r="AA35" s="441"/>
      <c r="AB35" s="441"/>
      <c r="AC35" s="441"/>
      <c r="AD35" s="441"/>
      <c r="AE35" s="441"/>
      <c r="AF35" s="441"/>
      <c r="AG35" s="441"/>
      <c r="AH35" s="441"/>
      <c r="AI35" s="441"/>
      <c r="AJ35" s="441"/>
      <c r="AK35" s="441"/>
      <c r="AL35" s="441"/>
      <c r="AM35" s="441"/>
      <c r="AN35" s="441"/>
      <c r="AO35" s="441"/>
      <c r="AP35" s="439"/>
      <c r="AQ35" s="439"/>
      <c r="AR35" s="439"/>
      <c r="AS35" s="439"/>
      <c r="AT35" s="439"/>
      <c r="AU35" s="439"/>
      <c r="AV35" s="439"/>
      <c r="AW35" s="439"/>
      <c r="AX35" s="439"/>
      <c r="AY35" s="439"/>
      <c r="AZ35" s="439"/>
      <c r="BA35" s="439"/>
      <c r="BB35" s="439"/>
      <c r="BC35" s="439"/>
      <c r="BD35" s="439"/>
      <c r="BE35" s="439"/>
      <c r="BF35" s="439"/>
      <c r="BG35" s="439"/>
      <c r="BH35" s="439"/>
      <c r="BI35" s="439"/>
      <c r="BJ35" s="439"/>
      <c r="BK35" s="442">
        <f t="shared" si="1"/>
        <v>0</v>
      </c>
    </row>
    <row r="36" spans="2:63" x14ac:dyDescent="0.45">
      <c r="B36" s="435">
        <v>32</v>
      </c>
      <c r="C36" s="436">
        <f>IF($C$2=34.5,'S3'!AD36,IF($C$2=35.5,'S3'!AF36,IF($C$2=36.5,'S3'!AH36,IF($C$2=37.5,'S3'!AJ36,IF($C$2=38.5,'S3'!AL36,IF($C$2=39.5,'S3'!AN36,IF($C$2=40.5,'S3'!AP36,IF($C$2=27.5,'S3'!P36,IF($C$2=28.5,'S3'!R36,IF($C$2=29.5,'S3'!T36,IF($C$2=30.5,'S3'!V36,IF($C$2=31.5,'S3'!Z36,IF($C$2=32.5,'S3'!Z36,IF($C$2=33.5,'S3'!AB36))))))))))))))</f>
        <v>83.4</v>
      </c>
      <c r="D36" s="436">
        <f>IF($C$2=34.5,'S3'!AE36,IF($C$2=35.5,'S3'!AG36,IF($C$2=36.5,'S3'!AI36,IF($C$2=37.5,'S3'!AK36,IF($C$2=38.5,'S3'!AM36,IF($C$2=39.5,'S3'!AO36,IF($C$2=40.5,'S3'!AQ36,IF($C$2=27.5,'S3'!Q36,IF($C$2=28.5,'S3'!S36,IF($C$2=29.5,'S3'!U36,IF($C$2=30.5,'S3'!W36,IF($C$2=31.5,'S3'!Y36,IF($C$2=32.5,'S3'!AA36,IF($C$2=33.5,'S3'!AC36))))))))))))))</f>
        <v>116.76</v>
      </c>
      <c r="E36" s="437">
        <f>IF($E$2=34.5,'S3'!BP36,IF($E$2=35.5,'S3'!BQ36,IF($E$2=36.5,'S3'!BR36,IF($E$2=37.5,'S3'!BS36,IF($E$2=38.5,'S3'!BT36,IF($E$2=39.5,'S3'!BU36,IF($E$2=40.5,'S3'!BV36,IF($E$2=22.5,'S3'!BD36,IF($E$2=23.5,'S3'!BE36,IF($E$2=24.5,'S3'!BF36,IF($E$2=25.5,'S3'!BG36,IF($E$2=26.5,'S3'!BH36,IF($E$2=27.5,'S3'!BI36,IF($E$2=28.5,'S3'!BJ36,IF($E$2=29.5,'S3'!BK36,IF($E$2=30.5,'S3'!BL36,IF($E$2=31.5,'S3'!BM36,IF($E$2=32.5,'S3'!BN36,IF($E$2=33.5,'S3'!BO36)))))))))))))))))))</f>
        <v>52.03</v>
      </c>
      <c r="F36" s="437">
        <f t="shared" si="0"/>
        <v>72.84</v>
      </c>
      <c r="H36" s="480" t="s">
        <v>92</v>
      </c>
      <c r="I36" s="440" t="s">
        <v>17</v>
      </c>
      <c r="J36" s="443">
        <v>12.54</v>
      </c>
      <c r="K36" s="443">
        <v>13.25</v>
      </c>
      <c r="L36" s="443">
        <v>12.7</v>
      </c>
      <c r="M36" s="443">
        <v>13.41</v>
      </c>
      <c r="N36" s="443">
        <v>12.87</v>
      </c>
      <c r="O36" s="443">
        <v>13.58</v>
      </c>
      <c r="P36" s="443">
        <v>13.03</v>
      </c>
      <c r="Q36" s="443">
        <v>13.74</v>
      </c>
      <c r="R36" s="443">
        <v>13.2</v>
      </c>
      <c r="S36" s="443">
        <v>13.91</v>
      </c>
      <c r="T36" s="443">
        <v>13.37</v>
      </c>
      <c r="U36" s="443">
        <v>14.08</v>
      </c>
      <c r="V36" s="443">
        <v>13.53</v>
      </c>
      <c r="W36" s="443">
        <v>14.24</v>
      </c>
      <c r="X36" s="481">
        <v>13.7</v>
      </c>
      <c r="Y36" s="481">
        <v>14.41</v>
      </c>
      <c r="Z36" s="481">
        <v>13.86</v>
      </c>
      <c r="AA36" s="481">
        <v>14.57</v>
      </c>
      <c r="AB36" s="481">
        <v>14.03</v>
      </c>
      <c r="AC36" s="481">
        <v>14.74</v>
      </c>
      <c r="AD36" s="481">
        <v>14.19</v>
      </c>
      <c r="AE36" s="481">
        <v>14.9</v>
      </c>
      <c r="AF36" s="481">
        <v>14.36</v>
      </c>
      <c r="AG36" s="481">
        <v>15.07</v>
      </c>
      <c r="AH36" s="481">
        <v>14.52</v>
      </c>
      <c r="AI36" s="481">
        <v>15.23</v>
      </c>
      <c r="AJ36" s="481">
        <v>14.69</v>
      </c>
      <c r="AK36" s="481">
        <v>15.4</v>
      </c>
      <c r="AL36" s="481">
        <v>14.85</v>
      </c>
      <c r="AM36" s="481">
        <v>15.56</v>
      </c>
      <c r="AN36" s="481">
        <v>15.02</v>
      </c>
      <c r="AO36" s="481">
        <v>15.73</v>
      </c>
      <c r="AP36" s="482">
        <v>15.18</v>
      </c>
      <c r="AQ36" s="482">
        <v>15.89</v>
      </c>
      <c r="AR36" s="483">
        <v>15.35</v>
      </c>
      <c r="AS36" s="483">
        <v>16.059999999999999</v>
      </c>
      <c r="AT36" s="483">
        <v>15.52</v>
      </c>
      <c r="AU36" s="483">
        <v>16.23</v>
      </c>
      <c r="AV36" s="483">
        <v>15.68</v>
      </c>
      <c r="AW36" s="483">
        <v>16.39</v>
      </c>
      <c r="AX36" s="483">
        <v>15.85</v>
      </c>
      <c r="AY36" s="483">
        <v>16.559999999999999</v>
      </c>
      <c r="AZ36" s="483">
        <v>14.31</v>
      </c>
      <c r="BA36" s="483">
        <v>14.95</v>
      </c>
      <c r="BB36" s="483">
        <v>14.48</v>
      </c>
      <c r="BC36" s="483">
        <v>15.12</v>
      </c>
      <c r="BD36" s="483">
        <v>14.64</v>
      </c>
      <c r="BE36" s="483">
        <v>15.28</v>
      </c>
      <c r="BF36" s="483">
        <v>14.81</v>
      </c>
      <c r="BG36" s="483">
        <v>15.45</v>
      </c>
      <c r="BH36" s="483">
        <v>11.83</v>
      </c>
      <c r="BI36" s="483">
        <v>12.47</v>
      </c>
      <c r="BJ36" s="442">
        <f>IF($C$2=15.5,J36,IF($C$2=16.5,L36,IF($C$2=17.5,N36,IF($C$2=18.5,P36,IF($C$2=19.5,R36,IF($C$2=20.5,T36,IF($C$2=21.5,V36,IF($C$2=22.5,X36,IF($C$2=23.5,Z36,IF($C$2=24.5,AB36,IF($C$2=25.5,AD36,IF($C$2=26.5,AF36,IF($C$2=27.5,AH36,IF($C$2=28.5,AJ36,IF($C$2=29.5,AL36,IF($C$2=30.5,AN36,IF($C$2=31.5,AP36,IF($C$2=32.5,AR36,IF($C$2=33.5,AT36)))))))))))))))))))</f>
        <v>15.35</v>
      </c>
      <c r="BK36" s="442">
        <f t="shared" si="1"/>
        <v>16.059999999999999</v>
      </c>
    </row>
    <row r="37" spans="2:63" x14ac:dyDescent="0.45">
      <c r="B37" s="435">
        <v>33</v>
      </c>
      <c r="C37" s="436">
        <f>IF($C$2=34.5,'S3'!AD37,IF($C$2=35.5,'S3'!AF37,IF($C$2=36.5,'S3'!AH37,IF($C$2=37.5,'S3'!AJ37,IF($C$2=38.5,'S3'!AL37,IF($C$2=39.5,'S3'!AN37,IF($C$2=40.5,'S3'!AP37,IF($C$2=27.5,'S3'!P37,IF($C$2=28.5,'S3'!R37,IF($C$2=29.5,'S3'!T37,IF($C$2=30.5,'S3'!V37,IF($C$2=31.5,'S3'!Z37,IF($C$2=32.5,'S3'!Z37,IF($C$2=33.5,'S3'!AB37))))))))))))))</f>
        <v>85.96</v>
      </c>
      <c r="D37" s="436">
        <f>IF($C$2=34.5,'S3'!AE37,IF($C$2=35.5,'S3'!AG37,IF($C$2=36.5,'S3'!AI37,IF($C$2=37.5,'S3'!AK37,IF($C$2=38.5,'S3'!AM37,IF($C$2=39.5,'S3'!AO37,IF($C$2=40.5,'S3'!AQ37,IF($C$2=27.5,'S3'!Q37,IF($C$2=28.5,'S3'!S37,IF($C$2=29.5,'S3'!U37,IF($C$2=30.5,'S3'!W37,IF($C$2=31.5,'S3'!Y37,IF($C$2=32.5,'S3'!AA37,IF($C$2=33.5,'S3'!AC37))))))))))))))</f>
        <v>120.34</v>
      </c>
      <c r="E37" s="437">
        <f>IF($E$2=34.5,'S3'!BP37,IF($E$2=35.5,'S3'!BQ37,IF($E$2=36.5,'S3'!BR37,IF($E$2=37.5,'S3'!BS37,IF($E$2=38.5,'S3'!BT37,IF($E$2=39.5,'S3'!BU37,IF($E$2=40.5,'S3'!BV37,IF($E$2=22.5,'S3'!BD37,IF($E$2=23.5,'S3'!BE37,IF($E$2=24.5,'S3'!BF37,IF($E$2=25.5,'S3'!BG37,IF($E$2=26.5,'S3'!BH37,IF($E$2=27.5,'S3'!BI37,IF($E$2=28.5,'S3'!BJ37,IF($E$2=29.5,'S3'!BK37,IF($E$2=30.5,'S3'!BL37,IF($E$2=31.5,'S3'!BM37,IF($E$2=32.5,'S3'!BN37,IF($E$2=33.5,'S3'!BO37)))))))))))))))))))</f>
        <v>53.64</v>
      </c>
      <c r="F37" s="437">
        <f t="shared" si="0"/>
        <v>75.099999999999994</v>
      </c>
      <c r="H37" s="480" t="s">
        <v>93</v>
      </c>
      <c r="I37" s="440" t="s">
        <v>17</v>
      </c>
      <c r="J37" s="443">
        <v>10.09</v>
      </c>
      <c r="K37" s="443">
        <v>10.66</v>
      </c>
      <c r="L37" s="443">
        <v>10.199999999999999</v>
      </c>
      <c r="M37" s="443">
        <v>10.77</v>
      </c>
      <c r="N37" s="443">
        <v>10.31</v>
      </c>
      <c r="O37" s="443">
        <v>10.88</v>
      </c>
      <c r="P37" s="443">
        <v>10.42</v>
      </c>
      <c r="Q37" s="443">
        <v>10.99</v>
      </c>
      <c r="R37" s="443">
        <v>10.53</v>
      </c>
      <c r="S37" s="443">
        <v>11.1</v>
      </c>
      <c r="T37" s="443">
        <v>10.64</v>
      </c>
      <c r="U37" s="443">
        <v>11.21</v>
      </c>
      <c r="V37" s="443">
        <v>10.27</v>
      </c>
      <c r="W37" s="443">
        <v>11.32</v>
      </c>
      <c r="X37" s="481">
        <v>10.86</v>
      </c>
      <c r="Y37" s="481">
        <v>11.43</v>
      </c>
      <c r="Z37" s="481">
        <v>10.97</v>
      </c>
      <c r="AA37" s="481">
        <v>11.54</v>
      </c>
      <c r="AB37" s="481">
        <v>11.08</v>
      </c>
      <c r="AC37" s="481">
        <v>11.65</v>
      </c>
      <c r="AD37" s="481">
        <v>11.19</v>
      </c>
      <c r="AE37" s="481">
        <v>11.76</v>
      </c>
      <c r="AF37" s="481">
        <v>11.3</v>
      </c>
      <c r="AG37" s="481">
        <v>11.87</v>
      </c>
      <c r="AH37" s="481">
        <v>11.41</v>
      </c>
      <c r="AI37" s="481">
        <v>11.98</v>
      </c>
      <c r="AJ37" s="481">
        <v>11.52</v>
      </c>
      <c r="AK37" s="481">
        <v>12.09</v>
      </c>
      <c r="AL37" s="481">
        <v>11.63</v>
      </c>
      <c r="AM37" s="481">
        <v>12.2</v>
      </c>
      <c r="AN37" s="481">
        <v>11.74</v>
      </c>
      <c r="AO37" s="481">
        <v>12.31</v>
      </c>
      <c r="AP37" s="482">
        <v>11.85</v>
      </c>
      <c r="AQ37" s="482">
        <v>12.42</v>
      </c>
      <c r="AR37" s="483">
        <v>11.96</v>
      </c>
      <c r="AS37" s="483">
        <v>12.53</v>
      </c>
      <c r="AT37" s="483">
        <v>12.07</v>
      </c>
      <c r="AU37" s="483">
        <v>12.64</v>
      </c>
      <c r="AV37" s="483">
        <v>12.18</v>
      </c>
      <c r="AW37" s="483">
        <v>12.75</v>
      </c>
      <c r="AX37" s="483">
        <v>12.29</v>
      </c>
      <c r="AY37" s="483">
        <v>12.86</v>
      </c>
      <c r="AZ37" s="483">
        <v>11.04</v>
      </c>
      <c r="BA37" s="483">
        <v>11.57</v>
      </c>
      <c r="BB37" s="483">
        <v>11.15</v>
      </c>
      <c r="BC37" s="483">
        <v>11.68</v>
      </c>
      <c r="BD37" s="483">
        <v>11.26</v>
      </c>
      <c r="BE37" s="483">
        <v>11.79</v>
      </c>
      <c r="BF37" s="483">
        <v>11.38</v>
      </c>
      <c r="BG37" s="483">
        <v>11.9</v>
      </c>
      <c r="BH37" s="483">
        <v>9.39</v>
      </c>
      <c r="BI37" s="483">
        <v>9.91</v>
      </c>
      <c r="BJ37" s="442">
        <f>IF($C$2=15.5,J37,IF($C$2=16.5,L37,IF($C$2=17.5,N37,IF($C$2=18.5,P37,IF($C$2=19.5,R37,IF($C$2=20.5,T37,IF($C$2=21.5,V37,IF($C$2=22.5,X37,IF($C$2=23.5,Z37,IF($C$2=24.5,AB37,IF($C$2=25.5,AD37,IF($C$2=26.5,AF37,IF($C$2=27.5,AH37,IF($C$2=28.5,AJ37,IF($C$2=29.5,AL37,IF($C$2=30.5,AN37,IF($C$2=31.5,AP37,IF($C$2=32.5,AR37,IF($C$2=33.5,AT37)))))))))))))))))))</f>
        <v>11.96</v>
      </c>
      <c r="BK37" s="442">
        <f t="shared" si="1"/>
        <v>12.53</v>
      </c>
    </row>
    <row r="38" spans="2:63" x14ac:dyDescent="0.45">
      <c r="B38" s="435">
        <v>34</v>
      </c>
      <c r="C38" s="436">
        <f>IF($C$2=34.5,'S3'!AD38,IF($C$2=35.5,'S3'!AF38,IF($C$2=36.5,'S3'!AH38,IF($C$2=37.5,'S3'!AJ38,IF($C$2=38.5,'S3'!AL38,IF($C$2=39.5,'S3'!AN38,IF($C$2=40.5,'S3'!AP38,IF($C$2=27.5,'S3'!P38,IF($C$2=28.5,'S3'!R38,IF($C$2=29.5,'S3'!T38,IF($C$2=30.5,'S3'!V38,IF($C$2=31.5,'S3'!Z38,IF($C$2=32.5,'S3'!Z38,IF($C$2=33.5,'S3'!AB38))))))))))))))</f>
        <v>88.53</v>
      </c>
      <c r="D38" s="436">
        <f>IF($C$2=34.5,'S3'!AE38,IF($C$2=35.5,'S3'!AG38,IF($C$2=36.5,'S3'!AI38,IF($C$2=37.5,'S3'!AK38,IF($C$2=38.5,'S3'!AM38,IF($C$2=39.5,'S3'!AO38,IF($C$2=40.5,'S3'!AQ38,IF($C$2=27.5,'S3'!Q38,IF($C$2=28.5,'S3'!S38,IF($C$2=29.5,'S3'!U38,IF($C$2=30.5,'S3'!W38,IF($C$2=31.5,'S3'!Y38,IF($C$2=32.5,'S3'!AA38,IF($C$2=33.5,'S3'!AC38))))))))))))))</f>
        <v>123.94</v>
      </c>
      <c r="E38" s="437">
        <f>IF($E$2=34.5,'S3'!BP38,IF($E$2=35.5,'S3'!BQ38,IF($E$2=36.5,'S3'!BR38,IF($E$2=37.5,'S3'!BS38,IF($E$2=38.5,'S3'!BT38,IF($E$2=39.5,'S3'!BU38,IF($E$2=40.5,'S3'!BV38,IF($E$2=22.5,'S3'!BD38,IF($E$2=23.5,'S3'!BE38,IF($E$2=24.5,'S3'!BF38,IF($E$2=25.5,'S3'!BG38,IF($E$2=26.5,'S3'!BH38,IF($E$2=27.5,'S3'!BI38,IF($E$2=28.5,'S3'!BJ38,IF($E$2=29.5,'S3'!BK38,IF($E$2=30.5,'S3'!BL38,IF($E$2=31.5,'S3'!BM38,IF($E$2=32.5,'S3'!BN38,IF($E$2=33.5,'S3'!BO38)))))))))))))))))))</f>
        <v>55.24</v>
      </c>
      <c r="F38" s="437">
        <f t="shared" si="0"/>
        <v>77.34</v>
      </c>
      <c r="H38" s="479" t="s">
        <v>359</v>
      </c>
      <c r="I38" s="440"/>
      <c r="J38" s="443"/>
      <c r="K38" s="443"/>
      <c r="L38" s="443"/>
      <c r="M38" s="443"/>
      <c r="N38" s="443"/>
      <c r="O38" s="443"/>
      <c r="P38" s="443"/>
      <c r="Q38" s="443"/>
      <c r="R38" s="443"/>
      <c r="S38" s="443"/>
      <c r="T38" s="443"/>
      <c r="U38" s="443"/>
      <c r="V38" s="443"/>
      <c r="W38" s="443"/>
      <c r="X38" s="515"/>
      <c r="Y38" s="515"/>
      <c r="Z38" s="515"/>
      <c r="AA38" s="515"/>
      <c r="AB38" s="515"/>
      <c r="AC38" s="515"/>
      <c r="AD38" s="515"/>
      <c r="AE38" s="515"/>
      <c r="AF38" s="515"/>
      <c r="AG38" s="515"/>
      <c r="AH38" s="515"/>
      <c r="AI38" s="515"/>
      <c r="AJ38" s="515"/>
      <c r="AK38" s="515"/>
      <c r="AL38" s="515"/>
      <c r="AM38" s="515"/>
      <c r="AN38" s="515"/>
      <c r="AO38" s="515"/>
      <c r="AP38" s="516"/>
      <c r="AQ38" s="516"/>
      <c r="AR38" s="517"/>
      <c r="AS38" s="517"/>
      <c r="AT38" s="517"/>
      <c r="AU38" s="517"/>
      <c r="AV38" s="517"/>
      <c r="AW38" s="517"/>
      <c r="AX38" s="517"/>
      <c r="AY38" s="517"/>
      <c r="AZ38" s="517"/>
      <c r="BA38" s="517"/>
      <c r="BB38" s="517"/>
      <c r="BC38" s="517"/>
      <c r="BD38" s="517"/>
      <c r="BE38" s="517"/>
      <c r="BF38" s="517"/>
      <c r="BG38" s="517"/>
      <c r="BH38" s="517"/>
      <c r="BI38" s="517"/>
      <c r="BJ38" s="488"/>
      <c r="BK38" s="442">
        <f t="shared" si="1"/>
        <v>0</v>
      </c>
    </row>
    <row r="39" spans="2:63" x14ac:dyDescent="0.45">
      <c r="B39" s="435">
        <v>35</v>
      </c>
      <c r="C39" s="436">
        <f>IF($C$2=34.5,'S3'!AD39,IF($C$2=35.5,'S3'!AF39,IF($C$2=36.5,'S3'!AH39,IF($C$2=37.5,'S3'!AJ39,IF($C$2=38.5,'S3'!AL39,IF($C$2=39.5,'S3'!AN39,IF($C$2=40.5,'S3'!AP39,IF($C$2=27.5,'S3'!P39,IF($C$2=28.5,'S3'!R39,IF($C$2=29.5,'S3'!T39,IF($C$2=30.5,'S3'!V39,IF($C$2=31.5,'S3'!Z39,IF($C$2=32.5,'S3'!Z39,IF($C$2=33.5,'S3'!AB39))))))))))))))</f>
        <v>91.09</v>
      </c>
      <c r="D39" s="436">
        <f>IF($C$2=34.5,'S3'!AE39,IF($C$2=35.5,'S3'!AG39,IF($C$2=36.5,'S3'!AI39,IF($C$2=37.5,'S3'!AK39,IF($C$2=38.5,'S3'!AM39,IF($C$2=39.5,'S3'!AO39,IF($C$2=40.5,'S3'!AQ39,IF($C$2=27.5,'S3'!Q39,IF($C$2=28.5,'S3'!S39,IF($C$2=29.5,'S3'!U39,IF($C$2=30.5,'S3'!W39,IF($C$2=31.5,'S3'!Y39,IF($C$2=32.5,'S3'!AA39,IF($C$2=33.5,'S3'!AC39))))))))))))))</f>
        <v>127.53</v>
      </c>
      <c r="E39" s="437">
        <f>IF($E$2=34.5,'S3'!BP39,IF($E$2=35.5,'S3'!BQ39,IF($E$2=36.5,'S3'!BR39,IF($E$2=37.5,'S3'!BS39,IF($E$2=38.5,'S3'!BT39,IF($E$2=39.5,'S3'!BU39,IF($E$2=40.5,'S3'!BV39,IF($E$2=22.5,'S3'!BD39,IF($E$2=23.5,'S3'!BE39,IF($E$2=24.5,'S3'!BF39,IF($E$2=25.5,'S3'!BG39,IF($E$2=26.5,'S3'!BH39,IF($E$2=27.5,'S3'!BI39,IF($E$2=28.5,'S3'!BJ39,IF($E$2=29.5,'S3'!BK39,IF($E$2=30.5,'S3'!BL39,IF($E$2=31.5,'S3'!BM39,IF($E$2=32.5,'S3'!BN39,IF($E$2=33.5,'S3'!BO39)))))))))))))))))))</f>
        <v>56.85</v>
      </c>
      <c r="F39" s="437">
        <f t="shared" si="0"/>
        <v>79.59</v>
      </c>
      <c r="H39" s="480" t="s">
        <v>356</v>
      </c>
      <c r="I39" s="440"/>
      <c r="J39" s="443"/>
      <c r="K39" s="443"/>
      <c r="L39" s="443"/>
      <c r="M39" s="443"/>
      <c r="N39" s="443"/>
      <c r="O39" s="443"/>
      <c r="P39" s="443"/>
      <c r="Q39" s="443"/>
      <c r="R39" s="443"/>
      <c r="S39" s="443"/>
      <c r="T39" s="443"/>
      <c r="U39" s="443"/>
      <c r="V39" s="443"/>
      <c r="W39" s="443"/>
      <c r="X39" s="481"/>
      <c r="Y39" s="518">
        <v>150000</v>
      </c>
      <c r="Z39" s="518">
        <v>150000</v>
      </c>
      <c r="AA39" s="518">
        <v>150000</v>
      </c>
      <c r="AB39" s="518">
        <v>150000</v>
      </c>
      <c r="AC39" s="518">
        <v>150000</v>
      </c>
      <c r="AD39" s="518">
        <v>150000</v>
      </c>
      <c r="AE39" s="518">
        <v>150000</v>
      </c>
      <c r="AF39" s="518">
        <v>150000</v>
      </c>
      <c r="AG39" s="518">
        <v>150000</v>
      </c>
      <c r="AH39" s="518">
        <v>150000</v>
      </c>
      <c r="AI39" s="518">
        <v>150000</v>
      </c>
      <c r="AJ39" s="518">
        <v>150000</v>
      </c>
      <c r="AK39" s="518">
        <v>150000</v>
      </c>
      <c r="AL39" s="518">
        <v>150000</v>
      </c>
      <c r="AM39" s="518">
        <v>150000</v>
      </c>
      <c r="AN39" s="518">
        <v>150000</v>
      </c>
      <c r="AO39" s="518">
        <v>150000</v>
      </c>
      <c r="AP39" s="519">
        <v>150000</v>
      </c>
      <c r="AQ39" s="519">
        <v>150000</v>
      </c>
      <c r="AR39" s="519">
        <v>150000</v>
      </c>
      <c r="AS39" s="519">
        <v>150000</v>
      </c>
      <c r="AT39" s="519">
        <v>150000</v>
      </c>
      <c r="AU39" s="519">
        <v>150000</v>
      </c>
      <c r="AV39" s="519">
        <v>150000</v>
      </c>
      <c r="AW39" s="519">
        <v>150000</v>
      </c>
      <c r="AX39" s="519">
        <v>150000</v>
      </c>
      <c r="AY39" s="519">
        <v>150000</v>
      </c>
      <c r="AZ39" s="519">
        <v>150000</v>
      </c>
      <c r="BA39" s="519">
        <v>150000</v>
      </c>
      <c r="BB39" s="519">
        <v>150000</v>
      </c>
      <c r="BC39" s="519">
        <v>150000</v>
      </c>
      <c r="BD39" s="519">
        <v>150000</v>
      </c>
      <c r="BE39" s="519">
        <v>150000</v>
      </c>
      <c r="BF39" s="519">
        <v>150000</v>
      </c>
      <c r="BG39" s="519">
        <v>150000</v>
      </c>
      <c r="BH39" s="519">
        <v>150000</v>
      </c>
      <c r="BI39" s="519">
        <v>150000</v>
      </c>
      <c r="BJ39" s="519">
        <v>150000</v>
      </c>
      <c r="BK39" s="442">
        <f t="shared" si="1"/>
        <v>150000</v>
      </c>
    </row>
    <row r="40" spans="2:63" x14ac:dyDescent="0.45">
      <c r="B40" s="435">
        <v>36</v>
      </c>
      <c r="C40" s="436">
        <f>IF($C$2=34.5,'S3'!AD40,IF($C$2=35.5,'S3'!AF40,IF($C$2=36.5,'S3'!AH40,IF($C$2=37.5,'S3'!AJ40,IF($C$2=38.5,'S3'!AL40,IF($C$2=39.5,'S3'!AN40,IF($C$2=40.5,'S3'!AP40,IF($C$2=27.5,'S3'!P40,IF($C$2=28.5,'S3'!R40,IF($C$2=29.5,'S3'!T40,IF($C$2=30.5,'S3'!V40,IF($C$2=31.5,'S3'!Z40,IF($C$2=32.5,'S3'!Z40,IF($C$2=33.5,'S3'!AB40))))))))))))))</f>
        <v>93.66</v>
      </c>
      <c r="D40" s="436">
        <f>IF($C$2=34.5,'S3'!AE40,IF($C$2=35.5,'S3'!AG40,IF($C$2=36.5,'S3'!AI40,IF($C$2=37.5,'S3'!AK40,IF($C$2=38.5,'S3'!AM40,IF($C$2=39.5,'S3'!AO40,IF($C$2=40.5,'S3'!AQ40,IF($C$2=27.5,'S3'!Q40,IF($C$2=28.5,'S3'!S40,IF($C$2=29.5,'S3'!U40,IF($C$2=30.5,'S3'!W40,IF($C$2=31.5,'S3'!Y40,IF($C$2=32.5,'S3'!AA40,IF($C$2=33.5,'S3'!AC40))))))))))))))</f>
        <v>131.12</v>
      </c>
      <c r="E40" s="437">
        <f>IF($E$2=34.5,'S3'!BP40,IF($E$2=35.5,'S3'!BQ40,IF($E$2=36.5,'S3'!BR40,IF($E$2=37.5,'S3'!BS40,IF($E$2=38.5,'S3'!BT40,IF($E$2=39.5,'S3'!BU40,IF($E$2=40.5,'S3'!BV40,IF($E$2=22.5,'S3'!BD40,IF($E$2=23.5,'S3'!BE40,IF($E$2=24.5,'S3'!BF40,IF($E$2=25.5,'S3'!BG40,IF($E$2=26.5,'S3'!BH40,IF($E$2=27.5,'S3'!BI40,IF($E$2=28.5,'S3'!BJ40,IF($E$2=29.5,'S3'!BK40,IF($E$2=30.5,'S3'!BL40,IF($E$2=31.5,'S3'!BM40,IF($E$2=32.5,'S3'!BN40,IF($E$2=33.5,'S3'!BO40)))))))))))))))))))</f>
        <v>58.46</v>
      </c>
      <c r="F40" s="437">
        <f t="shared" si="0"/>
        <v>81.84</v>
      </c>
      <c r="H40" s="439" t="s">
        <v>360</v>
      </c>
      <c r="I40" s="449"/>
      <c r="J40" s="439"/>
      <c r="K40" s="439"/>
      <c r="L40" s="439"/>
      <c r="M40" s="439"/>
      <c r="N40" s="439"/>
      <c r="O40" s="439"/>
      <c r="P40" s="439"/>
      <c r="Q40" s="439"/>
      <c r="R40" s="439"/>
      <c r="S40" s="439"/>
      <c r="T40" s="439"/>
      <c r="U40" s="439"/>
      <c r="V40" s="439"/>
      <c r="W40" s="439"/>
      <c r="X40" s="441"/>
      <c r="Y40" s="481">
        <v>176.4</v>
      </c>
      <c r="Z40" s="441"/>
      <c r="AA40" s="441">
        <v>179.87</v>
      </c>
      <c r="AB40" s="441"/>
      <c r="AC40" s="441">
        <v>183.33</v>
      </c>
      <c r="AD40" s="441"/>
      <c r="AE40" s="441">
        <v>186.79</v>
      </c>
      <c r="AF40" s="441"/>
      <c r="AG40" s="441">
        <v>190.26</v>
      </c>
      <c r="AH40" s="441"/>
      <c r="AI40" s="441">
        <v>193.72</v>
      </c>
      <c r="AJ40" s="441"/>
      <c r="AK40" s="441">
        <v>197.19</v>
      </c>
      <c r="AL40" s="441"/>
      <c r="AM40" s="441">
        <v>200.65</v>
      </c>
      <c r="AN40" s="441"/>
      <c r="AO40" s="441">
        <v>204.12</v>
      </c>
      <c r="AP40" s="439"/>
      <c r="AQ40" s="439"/>
      <c r="AR40" s="439"/>
      <c r="AS40" s="439"/>
      <c r="AT40" s="439"/>
      <c r="AU40" s="439"/>
      <c r="AV40" s="439"/>
      <c r="AW40" s="439"/>
      <c r="AX40" s="439"/>
      <c r="AY40" s="439"/>
      <c r="AZ40" s="439"/>
      <c r="BA40" s="439"/>
      <c r="BB40" s="439"/>
      <c r="BC40" s="439"/>
      <c r="BD40" s="439"/>
      <c r="BE40" s="439"/>
      <c r="BF40" s="439"/>
      <c r="BG40" s="439"/>
      <c r="BH40" s="439"/>
      <c r="BI40" s="439"/>
      <c r="BJ40" s="439"/>
      <c r="BK40" s="442">
        <f t="shared" si="1"/>
        <v>0</v>
      </c>
    </row>
    <row r="41" spans="2:63" x14ac:dyDescent="0.45">
      <c r="B41" s="435">
        <v>37</v>
      </c>
      <c r="C41" s="436">
        <f>IF($C$2=34.5,'S3'!AD41,IF($C$2=35.5,'S3'!AF41,IF($C$2=36.5,'S3'!AH41,IF($C$2=37.5,'S3'!AJ41,IF($C$2=38.5,'S3'!AL41,IF($C$2=39.5,'S3'!AN41,IF($C$2=40.5,'S3'!AP41,IF($C$2=27.5,'S3'!P41,IF($C$2=28.5,'S3'!R41,IF($C$2=29.5,'S3'!T41,IF($C$2=30.5,'S3'!V41,IF($C$2=31.5,'S3'!Z41,IF($C$2=32.5,'S3'!Z41,IF($C$2=33.5,'S3'!AB41))))))))))))))</f>
        <v>96.23</v>
      </c>
      <c r="D41" s="436">
        <f>IF($C$2=34.5,'S3'!AE41,IF($C$2=35.5,'S3'!AG41,IF($C$2=36.5,'S3'!AI41,IF($C$2=37.5,'S3'!AK41,IF($C$2=38.5,'S3'!AM41,IF($C$2=39.5,'S3'!AO41,IF($C$2=40.5,'S3'!AQ41,IF($C$2=27.5,'S3'!Q41,IF($C$2=28.5,'S3'!S41,IF($C$2=29.5,'S3'!U41,IF($C$2=30.5,'S3'!W41,IF($C$2=31.5,'S3'!Y41,IF($C$2=32.5,'S3'!AA41,IF($C$2=33.5,'S3'!AC41))))))))))))))</f>
        <v>134.72</v>
      </c>
      <c r="E41" s="437">
        <f>IF($E$2=34.5,'S3'!BP41,IF($E$2=35.5,'S3'!BQ41,IF($E$2=36.5,'S3'!BR41,IF($E$2=37.5,'S3'!BS41,IF($E$2=38.5,'S3'!BT41,IF($E$2=39.5,'S3'!BU41,IF($E$2=40.5,'S3'!BV41,IF($E$2=22.5,'S3'!BD41,IF($E$2=23.5,'S3'!BE41,IF($E$2=24.5,'S3'!BF41,IF($E$2=25.5,'S3'!BG41,IF($E$2=26.5,'S3'!BH41,IF($E$2=27.5,'S3'!BI41,IF($E$2=28.5,'S3'!BJ41,IF($E$2=29.5,'S3'!BK41,IF($E$2=30.5,'S3'!BL41,IF($E$2=31.5,'S3'!BM41,IF($E$2=32.5,'S3'!BN41,IF($E$2=33.5,'S3'!BO41)))))))))))))))))))</f>
        <v>60.06</v>
      </c>
      <c r="F41" s="437">
        <f t="shared" si="0"/>
        <v>84.08</v>
      </c>
      <c r="H41" s="439" t="s">
        <v>361</v>
      </c>
      <c r="I41" s="449"/>
      <c r="J41" s="439"/>
      <c r="K41" s="439"/>
      <c r="L41" s="439"/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W41" s="439"/>
      <c r="X41" s="441"/>
      <c r="Y41" s="441">
        <v>12.86</v>
      </c>
      <c r="Z41" s="441"/>
      <c r="AA41" s="441">
        <v>13.14</v>
      </c>
      <c r="AB41" s="441"/>
      <c r="AC41" s="441">
        <v>13.41</v>
      </c>
      <c r="AD41" s="441"/>
      <c r="AE41" s="441">
        <v>13.69</v>
      </c>
      <c r="AF41" s="441"/>
      <c r="AG41" s="441">
        <v>13.96</v>
      </c>
      <c r="AH41" s="441"/>
      <c r="AI41" s="441">
        <v>14.24</v>
      </c>
      <c r="AJ41" s="441"/>
      <c r="AK41" s="441">
        <v>14.52</v>
      </c>
      <c r="AL41" s="441"/>
      <c r="AM41" s="441">
        <v>14.79</v>
      </c>
      <c r="AN41" s="441"/>
      <c r="AO41" s="441">
        <v>15.07</v>
      </c>
      <c r="AP41" s="439"/>
      <c r="AQ41" s="439"/>
      <c r="AR41" s="439"/>
      <c r="AS41" s="439"/>
      <c r="AT41" s="439"/>
      <c r="AU41" s="439"/>
      <c r="AV41" s="439"/>
      <c r="AW41" s="439"/>
      <c r="AX41" s="439"/>
      <c r="AY41" s="439"/>
      <c r="AZ41" s="439"/>
      <c r="BA41" s="439"/>
      <c r="BB41" s="439"/>
      <c r="BC41" s="439"/>
      <c r="BD41" s="439"/>
      <c r="BE41" s="439"/>
      <c r="BF41" s="439"/>
      <c r="BG41" s="439"/>
      <c r="BH41" s="439"/>
      <c r="BI41" s="439"/>
      <c r="BJ41" s="439"/>
      <c r="BK41" s="442">
        <f t="shared" si="1"/>
        <v>0</v>
      </c>
    </row>
    <row r="42" spans="2:63" x14ac:dyDescent="0.45">
      <c r="B42" s="435">
        <v>38</v>
      </c>
      <c r="C42" s="436">
        <f>IF($C$2=34.5,'S3'!AD42,IF($C$2=35.5,'S3'!AF42,IF($C$2=36.5,'S3'!AH42,IF($C$2=37.5,'S3'!AJ42,IF($C$2=38.5,'S3'!AL42,IF($C$2=39.5,'S3'!AN42,IF($C$2=40.5,'S3'!AP42,IF($C$2=27.5,'S3'!P42,IF($C$2=28.5,'S3'!R42,IF($C$2=29.5,'S3'!T42,IF($C$2=30.5,'S3'!V42,IF($C$2=31.5,'S3'!Z42,IF($C$2=32.5,'S3'!Z42,IF($C$2=33.5,'S3'!AB42))))))))))))))</f>
        <v>98.8</v>
      </c>
      <c r="D42" s="436">
        <f>IF($C$2=34.5,'S3'!AE42,IF($C$2=35.5,'S3'!AG42,IF($C$2=36.5,'S3'!AI42,IF($C$2=37.5,'S3'!AK42,IF($C$2=38.5,'S3'!AM42,IF($C$2=39.5,'S3'!AO42,IF($C$2=40.5,'S3'!AQ42,IF($C$2=27.5,'S3'!Q42,IF($C$2=28.5,'S3'!S42,IF($C$2=29.5,'S3'!U42,IF($C$2=30.5,'S3'!W42,IF($C$2=31.5,'S3'!Y42,IF($C$2=32.5,'S3'!AA42,IF($C$2=33.5,'S3'!AC42))))))))))))))</f>
        <v>138.32</v>
      </c>
      <c r="E42" s="437">
        <f>IF($E$2=34.5,'S3'!BP42,IF($E$2=35.5,'S3'!BQ42,IF($E$2=36.5,'S3'!BR42,IF($E$2=37.5,'S3'!BS42,IF($E$2=38.5,'S3'!BT42,IF($E$2=39.5,'S3'!BU42,IF($E$2=40.5,'S3'!BV42,IF($E$2=22.5,'S3'!BD42,IF($E$2=23.5,'S3'!BE42,IF($E$2=24.5,'S3'!BF42,IF($E$2=25.5,'S3'!BG42,IF($E$2=26.5,'S3'!BH42,IF($E$2=27.5,'S3'!BI42,IF($E$2=28.5,'S3'!BJ42,IF($E$2=29.5,'S3'!BK42,IF($E$2=30.5,'S3'!BL42,IF($E$2=31.5,'S3'!BM42,IF($E$2=32.5,'S3'!BN42,IF($E$2=33.5,'S3'!BO42)))))))))))))))))))</f>
        <v>61.67</v>
      </c>
      <c r="F42" s="437">
        <f t="shared" si="0"/>
        <v>86.34</v>
      </c>
      <c r="H42" s="439" t="s">
        <v>362</v>
      </c>
      <c r="I42" s="449"/>
      <c r="J42" s="439"/>
      <c r="K42" s="439"/>
      <c r="L42" s="439"/>
      <c r="M42" s="439"/>
      <c r="N42" s="439"/>
      <c r="O42" s="439"/>
      <c r="P42" s="439"/>
      <c r="Q42" s="439"/>
      <c r="R42" s="439"/>
      <c r="S42" s="439"/>
      <c r="T42" s="439"/>
      <c r="U42" s="439"/>
      <c r="V42" s="439"/>
      <c r="W42" s="439"/>
      <c r="X42" s="441"/>
      <c r="Y42" s="441">
        <v>21.94</v>
      </c>
      <c r="Z42" s="441"/>
      <c r="AA42" s="441">
        <v>21.94</v>
      </c>
      <c r="AB42" s="441"/>
      <c r="AC42" s="441">
        <v>21.94</v>
      </c>
      <c r="AD42" s="441"/>
      <c r="AE42" s="441">
        <v>21.94</v>
      </c>
      <c r="AF42" s="441"/>
      <c r="AG42" s="441">
        <v>21.94</v>
      </c>
      <c r="AH42" s="441">
        <v>21.94</v>
      </c>
      <c r="AI42" s="441">
        <v>21.94</v>
      </c>
      <c r="AJ42" s="441">
        <v>21.94</v>
      </c>
      <c r="AK42" s="441">
        <v>21.94</v>
      </c>
      <c r="AL42" s="441">
        <v>21.94</v>
      </c>
      <c r="AM42" s="441">
        <v>21.94</v>
      </c>
      <c r="AN42" s="441">
        <v>21.94</v>
      </c>
      <c r="AO42" s="441">
        <v>21.94</v>
      </c>
      <c r="AP42" s="514">
        <v>21.94</v>
      </c>
      <c r="AQ42" s="514">
        <v>21.94</v>
      </c>
      <c r="AR42" s="514">
        <v>21.94</v>
      </c>
      <c r="AS42" s="514">
        <v>21.94</v>
      </c>
      <c r="AT42" s="514">
        <v>21.94</v>
      </c>
      <c r="AU42" s="514">
        <v>21.94</v>
      </c>
      <c r="AV42" s="514">
        <v>21.94</v>
      </c>
      <c r="AW42" s="514">
        <v>21.94</v>
      </c>
      <c r="AX42" s="514">
        <v>21.94</v>
      </c>
      <c r="AY42" s="514">
        <v>21.94</v>
      </c>
      <c r="AZ42" s="514">
        <v>21.94</v>
      </c>
      <c r="BA42" s="514">
        <v>21.94</v>
      </c>
      <c r="BB42" s="514">
        <v>21.94</v>
      </c>
      <c r="BC42" s="514">
        <v>21.94</v>
      </c>
      <c r="BD42" s="514">
        <v>21.94</v>
      </c>
      <c r="BE42" s="514">
        <v>21.94</v>
      </c>
      <c r="BF42" s="514">
        <v>21.94</v>
      </c>
      <c r="BG42" s="514">
        <v>21.94</v>
      </c>
      <c r="BH42" s="514">
        <v>21.94</v>
      </c>
      <c r="BI42" s="514">
        <v>21.94</v>
      </c>
      <c r="BJ42" s="439"/>
      <c r="BK42" s="442">
        <f t="shared" si="1"/>
        <v>21.94</v>
      </c>
    </row>
    <row r="43" spans="2:63" x14ac:dyDescent="0.45">
      <c r="B43" s="435">
        <v>39</v>
      </c>
      <c r="C43" s="436">
        <f>IF($C$2=34.5,'S3'!AD43,IF($C$2=35.5,'S3'!AF43,IF($C$2=36.5,'S3'!AH43,IF($C$2=37.5,'S3'!AJ43,IF($C$2=38.5,'S3'!AL43,IF($C$2=39.5,'S3'!AN43,IF($C$2=40.5,'S3'!AP43,IF($C$2=27.5,'S3'!P43,IF($C$2=28.5,'S3'!R43,IF($C$2=29.5,'S3'!T43,IF($C$2=30.5,'S3'!V43,IF($C$2=31.5,'S3'!Z43,IF($C$2=32.5,'S3'!Z43,IF($C$2=33.5,'S3'!AB43))))))))))))))</f>
        <v>101.37</v>
      </c>
      <c r="D43" s="436">
        <f>IF($C$2=34.5,'S3'!AE43,IF($C$2=35.5,'S3'!AG43,IF($C$2=36.5,'S3'!AI43,IF($C$2=37.5,'S3'!AK43,IF($C$2=38.5,'S3'!AM43,IF($C$2=39.5,'S3'!AO43,IF($C$2=40.5,'S3'!AQ43,IF($C$2=27.5,'S3'!Q43,IF($C$2=28.5,'S3'!S43,IF($C$2=29.5,'S3'!U43,IF($C$2=30.5,'S3'!W43,IF($C$2=31.5,'S3'!Y43,IF($C$2=32.5,'S3'!AA43,IF($C$2=33.5,'S3'!AC43))))))))))))))</f>
        <v>141.91999999999999</v>
      </c>
      <c r="E43" s="437">
        <f>IF($E$2=34.5,'S3'!BP43,IF($E$2=35.5,'S3'!BQ43,IF($E$2=36.5,'S3'!BR43,IF($E$2=37.5,'S3'!BS43,IF($E$2=38.5,'S3'!BT43,IF($E$2=39.5,'S3'!BU43,IF($E$2=40.5,'S3'!BV43,IF($E$2=22.5,'S3'!BD43,IF($E$2=23.5,'S3'!BE43,IF($E$2=24.5,'S3'!BF43,IF($E$2=25.5,'S3'!BG43,IF($E$2=26.5,'S3'!BH43,IF($E$2=27.5,'S3'!BI43,IF($E$2=28.5,'S3'!BJ43,IF($E$2=29.5,'S3'!BK43,IF($E$2=30.5,'S3'!BL43,IF($E$2=31.5,'S3'!BM43,IF($E$2=32.5,'S3'!BN43,IF($E$2=33.5,'S3'!BO43)))))))))))))))))))</f>
        <v>63.28</v>
      </c>
      <c r="F43" s="437">
        <f t="shared" si="0"/>
        <v>88.59</v>
      </c>
      <c r="H43" s="439" t="s">
        <v>363</v>
      </c>
      <c r="I43" s="449"/>
      <c r="J43" s="439"/>
      <c r="K43" s="439"/>
      <c r="L43" s="439"/>
      <c r="M43" s="439"/>
      <c r="N43" s="439"/>
      <c r="O43" s="439"/>
      <c r="P43" s="439"/>
      <c r="Q43" s="439"/>
      <c r="R43" s="439"/>
      <c r="S43" s="439"/>
      <c r="T43" s="439"/>
      <c r="U43" s="439"/>
      <c r="V43" s="439"/>
      <c r="W43" s="439"/>
      <c r="X43" s="441"/>
      <c r="Y43" s="441">
        <v>12.22</v>
      </c>
      <c r="Z43" s="441"/>
      <c r="AA43" s="441">
        <v>12.26</v>
      </c>
      <c r="AB43" s="441"/>
      <c r="AC43" s="441">
        <v>12.31</v>
      </c>
      <c r="AD43" s="441"/>
      <c r="AE43" s="441">
        <v>12.36</v>
      </c>
      <c r="AF43" s="441"/>
      <c r="AG43" s="441">
        <v>12.41</v>
      </c>
      <c r="AH43" s="441"/>
      <c r="AI43" s="441">
        <v>12.46</v>
      </c>
      <c r="AJ43" s="441"/>
      <c r="AK43" s="441">
        <v>12.5</v>
      </c>
      <c r="AL43" s="441"/>
      <c r="AM43" s="441">
        <v>12.55</v>
      </c>
      <c r="AN43" s="441"/>
      <c r="AO43" s="441">
        <v>12.6</v>
      </c>
      <c r="AP43" s="439"/>
      <c r="AQ43" s="439"/>
      <c r="AR43" s="439"/>
      <c r="AS43" s="439"/>
      <c r="AT43" s="439"/>
      <c r="AU43" s="439"/>
      <c r="AV43" s="439"/>
      <c r="AW43" s="439"/>
      <c r="AX43" s="439"/>
      <c r="AY43" s="439"/>
      <c r="AZ43" s="439"/>
      <c r="BA43" s="439"/>
      <c r="BB43" s="439"/>
      <c r="BC43" s="439"/>
      <c r="BD43" s="439"/>
      <c r="BE43" s="439"/>
      <c r="BF43" s="439"/>
      <c r="BG43" s="439"/>
      <c r="BH43" s="439"/>
      <c r="BI43" s="439"/>
      <c r="BJ43" s="439"/>
      <c r="BK43" s="442">
        <f t="shared" si="1"/>
        <v>0</v>
      </c>
    </row>
    <row r="44" spans="2:63" x14ac:dyDescent="0.45">
      <c r="B44" s="435">
        <v>40</v>
      </c>
      <c r="C44" s="436">
        <f>IF($C$2=34.5,'S3'!AD44,IF($C$2=35.5,'S3'!AF44,IF($C$2=36.5,'S3'!AH44,IF($C$2=37.5,'S3'!AJ44,IF($C$2=38.5,'S3'!AL44,IF($C$2=39.5,'S3'!AN44,IF($C$2=40.5,'S3'!AP44,IF($C$2=27.5,'S3'!P44,IF($C$2=28.5,'S3'!R44,IF($C$2=29.5,'S3'!T44,IF($C$2=30.5,'S3'!V44,IF($C$2=31.5,'S3'!Z44,IF($C$2=32.5,'S3'!Z44,IF($C$2=33.5,'S3'!AB44))))))))))))))</f>
        <v>103.93</v>
      </c>
      <c r="D44" s="436">
        <f>IF($C$2=34.5,'S3'!AE44,IF($C$2=35.5,'S3'!AG44,IF($C$2=36.5,'S3'!AI44,IF($C$2=37.5,'S3'!AK44,IF($C$2=38.5,'S3'!AM44,IF($C$2=39.5,'S3'!AO44,IF($C$2=40.5,'S3'!AQ44,IF($C$2=27.5,'S3'!Q44,IF($C$2=28.5,'S3'!S44,IF($C$2=29.5,'S3'!U44,IF($C$2=30.5,'S3'!W44,IF($C$2=31.5,'S3'!Y44,IF($C$2=32.5,'S3'!AA44,IF($C$2=33.5,'S3'!AC44))))))))))))))</f>
        <v>145.5</v>
      </c>
      <c r="E44" s="437">
        <f>IF($E$2=34.5,'S3'!BP44,IF($E$2=35.5,'S3'!BQ44,IF($E$2=36.5,'S3'!BR44,IF($E$2=37.5,'S3'!BS44,IF($E$2=38.5,'S3'!BT44,IF($E$2=39.5,'S3'!BU44,IF($E$2=40.5,'S3'!BV44,IF($E$2=22.5,'S3'!BD44,IF($E$2=23.5,'S3'!BE44,IF($E$2=24.5,'S3'!BF44,IF($E$2=25.5,'S3'!BG44,IF($E$2=26.5,'S3'!BH44,IF($E$2=27.5,'S3'!BI44,IF($E$2=28.5,'S3'!BJ44,IF($E$2=29.5,'S3'!BK44,IF($E$2=30.5,'S3'!BL44,IF($E$2=31.5,'S3'!BM44,IF($E$2=32.5,'S3'!BN44,IF($E$2=33.5,'S3'!BO44)))))))))))))))))))</f>
        <v>64.88</v>
      </c>
      <c r="F44" s="437">
        <f t="shared" si="0"/>
        <v>90.83</v>
      </c>
      <c r="H44" s="439" t="s">
        <v>364</v>
      </c>
      <c r="I44" s="449"/>
      <c r="J44" s="439"/>
      <c r="K44" s="439"/>
      <c r="L44" s="439"/>
      <c r="M44" s="439"/>
      <c r="N44" s="439"/>
      <c r="O44" s="439"/>
      <c r="P44" s="439"/>
      <c r="Q44" s="439"/>
      <c r="R44" s="439"/>
      <c r="S44" s="439"/>
      <c r="T44" s="439"/>
      <c r="U44" s="439"/>
      <c r="V44" s="439"/>
      <c r="W44" s="439"/>
      <c r="X44" s="441"/>
      <c r="Y44" s="441">
        <v>22.06</v>
      </c>
      <c r="Z44" s="441"/>
      <c r="AA44" s="441">
        <v>22.31</v>
      </c>
      <c r="AB44" s="441"/>
      <c r="AC44" s="441">
        <v>22.55</v>
      </c>
      <c r="AD44" s="441"/>
      <c r="AE44" s="441">
        <v>22.79</v>
      </c>
      <c r="AF44" s="441"/>
      <c r="AG44" s="441">
        <v>23.04</v>
      </c>
      <c r="AH44" s="441"/>
      <c r="AI44" s="441">
        <v>23.28</v>
      </c>
      <c r="AJ44" s="441"/>
      <c r="AK44" s="441">
        <v>23.53</v>
      </c>
      <c r="AL44" s="441"/>
      <c r="AM44" s="441">
        <v>23.77</v>
      </c>
      <c r="AN44" s="441"/>
      <c r="AO44" s="441">
        <v>24.02</v>
      </c>
      <c r="AP44" s="439"/>
      <c r="AQ44" s="439"/>
      <c r="AR44" s="439"/>
      <c r="AS44" s="439"/>
      <c r="AT44" s="439"/>
      <c r="AU44" s="439"/>
      <c r="AV44" s="439"/>
      <c r="AW44" s="439"/>
      <c r="AX44" s="439"/>
      <c r="AY44" s="439"/>
      <c r="AZ44" s="439"/>
      <c r="BA44" s="439"/>
      <c r="BB44" s="439"/>
      <c r="BC44" s="439"/>
      <c r="BD44" s="439"/>
      <c r="BE44" s="439"/>
      <c r="BF44" s="439"/>
      <c r="BG44" s="439"/>
      <c r="BH44" s="439"/>
      <c r="BI44" s="439"/>
      <c r="BJ44" s="439"/>
      <c r="BK44" s="442">
        <f t="shared" si="1"/>
        <v>0</v>
      </c>
    </row>
    <row r="45" spans="2:63" x14ac:dyDescent="0.45">
      <c r="B45" s="435">
        <v>41</v>
      </c>
      <c r="C45" s="436">
        <f>IF($C$2=34.5,'S3'!AD45,IF($C$2=35.5,'S3'!AF45,IF($C$2=36.5,'S3'!AH45,IF($C$2=37.5,'S3'!AJ45,IF($C$2=38.5,'S3'!AL45,IF($C$2=39.5,'S3'!AN45,IF($C$2=40.5,'S3'!AP45,IF($C$2=27.5,'S3'!P45,IF($C$2=28.5,'S3'!R45,IF($C$2=29.5,'S3'!T45,IF($C$2=30.5,'S3'!V45,IF($C$2=31.5,'S3'!Z45,IF($C$2=32.5,'S3'!Z45,IF($C$2=33.5,'S3'!AB45))))))))))))))</f>
        <v>106.51</v>
      </c>
      <c r="D45" s="436">
        <f>IF($C$2=34.5,'S3'!AE45,IF($C$2=35.5,'S3'!AG45,IF($C$2=36.5,'S3'!AI45,IF($C$2=37.5,'S3'!AK45,IF($C$2=38.5,'S3'!AM45,IF($C$2=39.5,'S3'!AO45,IF($C$2=40.5,'S3'!AQ45,IF($C$2=27.5,'S3'!Q45,IF($C$2=28.5,'S3'!S45,IF($C$2=29.5,'S3'!U45,IF($C$2=30.5,'S3'!W45,IF($C$2=31.5,'S3'!Y45,IF($C$2=32.5,'S3'!AA45,IF($C$2=33.5,'S3'!AC45))))))))))))))</f>
        <v>149.11000000000001</v>
      </c>
      <c r="E45" s="437">
        <f>IF($E$2=34.5,'S3'!BP45,IF($E$2=35.5,'S3'!BQ45,IF($E$2=36.5,'S3'!BR45,IF($E$2=37.5,'S3'!BS45,IF($E$2=38.5,'S3'!BT45,IF($E$2=39.5,'S3'!BU45,IF($E$2=40.5,'S3'!BV45,IF($E$2=22.5,'S3'!BD45,IF($E$2=23.5,'S3'!BE45,IF($E$2=24.5,'S3'!BF45,IF($E$2=25.5,'S3'!BG45,IF($E$2=26.5,'S3'!BH45,IF($E$2=27.5,'S3'!BI45,IF($E$2=28.5,'S3'!BJ45,IF($E$2=29.5,'S3'!BK45,IF($E$2=30.5,'S3'!BL45,IF($E$2=31.5,'S3'!BM45,IF($E$2=32.5,'S3'!BN45,IF($E$2=33.5,'S3'!BO45)))))))))))))))))))</f>
        <v>66.489999999999995</v>
      </c>
      <c r="F45" s="437">
        <f t="shared" si="0"/>
        <v>93.09</v>
      </c>
      <c r="H45" s="439" t="s">
        <v>365</v>
      </c>
      <c r="I45" s="449"/>
      <c r="J45" s="439"/>
      <c r="K45" s="439"/>
      <c r="L45" s="439"/>
      <c r="M45" s="439"/>
      <c r="N45" s="439"/>
      <c r="O45" s="439"/>
      <c r="P45" s="439"/>
      <c r="Q45" s="439"/>
      <c r="R45" s="439"/>
      <c r="S45" s="439"/>
      <c r="T45" s="439"/>
      <c r="U45" s="439"/>
      <c r="V45" s="439"/>
      <c r="W45" s="439"/>
      <c r="X45" s="441"/>
      <c r="Y45" s="441">
        <v>13.35</v>
      </c>
      <c r="Z45" s="441"/>
      <c r="AA45" s="441">
        <v>13.58</v>
      </c>
      <c r="AB45" s="441"/>
      <c r="AC45" s="441">
        <v>13.8</v>
      </c>
      <c r="AD45" s="441"/>
      <c r="AE45" s="441">
        <v>14.03</v>
      </c>
      <c r="AF45" s="441"/>
      <c r="AG45" s="441">
        <v>14.25</v>
      </c>
      <c r="AH45" s="441"/>
      <c r="AI45" s="441">
        <v>14.47</v>
      </c>
      <c r="AJ45" s="441"/>
      <c r="AK45" s="441">
        <v>14.7</v>
      </c>
      <c r="AL45" s="441"/>
      <c r="AM45" s="441">
        <v>14.92</v>
      </c>
      <c r="AN45" s="441"/>
      <c r="AO45" s="441">
        <v>15.15</v>
      </c>
      <c r="AP45" s="439"/>
      <c r="AQ45" s="439"/>
      <c r="AR45" s="439"/>
      <c r="AS45" s="439"/>
      <c r="AT45" s="439"/>
      <c r="AU45" s="439"/>
      <c r="AV45" s="439"/>
      <c r="AW45" s="439"/>
      <c r="AX45" s="439"/>
      <c r="AY45" s="439"/>
      <c r="AZ45" s="439"/>
      <c r="BA45" s="439"/>
      <c r="BB45" s="439"/>
      <c r="BC45" s="439"/>
      <c r="BD45" s="439"/>
      <c r="BE45" s="439"/>
      <c r="BF45" s="439"/>
      <c r="BG45" s="439"/>
      <c r="BH45" s="439"/>
      <c r="BI45" s="439"/>
      <c r="BJ45" s="439"/>
      <c r="BK45" s="442">
        <f t="shared" si="1"/>
        <v>0</v>
      </c>
    </row>
    <row r="46" spans="2:63" x14ac:dyDescent="0.45">
      <c r="B46" s="435">
        <v>42</v>
      </c>
      <c r="C46" s="436">
        <f>IF($C$2=34.5,'S3'!AD46,IF($C$2=35.5,'S3'!AF46,IF($C$2=36.5,'S3'!AH46,IF($C$2=37.5,'S3'!AJ46,IF($C$2=38.5,'S3'!AL46,IF($C$2=39.5,'S3'!AN46,IF($C$2=40.5,'S3'!AP46,IF($C$2=27.5,'S3'!P46,IF($C$2=28.5,'S3'!R46,IF($C$2=29.5,'S3'!T46,IF($C$2=30.5,'S3'!V46,IF($C$2=31.5,'S3'!Z46,IF($C$2=32.5,'S3'!Z46,IF($C$2=33.5,'S3'!AB46))))))))))))))</f>
        <v>109.07</v>
      </c>
      <c r="D46" s="436">
        <f>IF($C$2=34.5,'S3'!AE46,IF($C$2=35.5,'S3'!AG46,IF($C$2=36.5,'S3'!AI46,IF($C$2=37.5,'S3'!AK46,IF($C$2=38.5,'S3'!AM46,IF($C$2=39.5,'S3'!AO46,IF($C$2=40.5,'S3'!AQ46,IF($C$2=27.5,'S3'!Q46,IF($C$2=28.5,'S3'!S46,IF($C$2=29.5,'S3'!U46,IF($C$2=30.5,'S3'!W46,IF($C$2=31.5,'S3'!Y46,IF($C$2=32.5,'S3'!AA46,IF($C$2=33.5,'S3'!AC46))))))))))))))</f>
        <v>152.69999999999999</v>
      </c>
      <c r="E46" s="437">
        <f>IF($E$2=34.5,'S3'!BP46,IF($E$2=35.5,'S3'!BQ46,IF($E$2=36.5,'S3'!BR46,IF($E$2=37.5,'S3'!BS46,IF($E$2=38.5,'S3'!BT46,IF($E$2=39.5,'S3'!BU46,IF($E$2=40.5,'S3'!BV46,IF($E$2=22.5,'S3'!BD46,IF($E$2=23.5,'S3'!BE46,IF($E$2=24.5,'S3'!BF46,IF($E$2=25.5,'S3'!BG46,IF($E$2=26.5,'S3'!BH46,IF($E$2=27.5,'S3'!BI46,IF($E$2=28.5,'S3'!BJ46,IF($E$2=29.5,'S3'!BK46,IF($E$2=30.5,'S3'!BL46,IF($E$2=31.5,'S3'!BM46,IF($E$2=32.5,'S3'!BN46,IF($E$2=33.5,'S3'!BO46)))))))))))))))))))</f>
        <v>68.099999999999994</v>
      </c>
      <c r="F46" s="437">
        <f t="shared" si="0"/>
        <v>95.34</v>
      </c>
      <c r="H46" s="439" t="s">
        <v>366</v>
      </c>
      <c r="I46" s="449"/>
      <c r="J46" s="439"/>
      <c r="K46" s="439"/>
      <c r="L46" s="439"/>
      <c r="M46" s="439"/>
      <c r="N46" s="439"/>
      <c r="O46" s="439"/>
      <c r="P46" s="439"/>
      <c r="Q46" s="439"/>
      <c r="R46" s="439"/>
      <c r="S46" s="439"/>
      <c r="T46" s="439"/>
      <c r="U46" s="439"/>
      <c r="V46" s="439"/>
      <c r="W46" s="439"/>
      <c r="X46" s="441"/>
      <c r="Y46" s="441">
        <v>8.4600000000000009</v>
      </c>
      <c r="Z46" s="441"/>
      <c r="AA46" s="441">
        <v>8.6</v>
      </c>
      <c r="AB46" s="441"/>
      <c r="AC46" s="441">
        <v>8.73</v>
      </c>
      <c r="AD46" s="441"/>
      <c r="AE46" s="441">
        <v>8.8699999999999992</v>
      </c>
      <c r="AF46" s="441"/>
      <c r="AG46" s="441">
        <v>9</v>
      </c>
      <c r="AH46" s="441"/>
      <c r="AI46" s="441">
        <v>9.14</v>
      </c>
      <c r="AJ46" s="441"/>
      <c r="AK46" s="441">
        <v>9.27</v>
      </c>
      <c r="AL46" s="441"/>
      <c r="AM46" s="441">
        <v>9.41</v>
      </c>
      <c r="AN46" s="441"/>
      <c r="AO46" s="441">
        <v>9.5399999999999991</v>
      </c>
      <c r="AP46" s="439"/>
      <c r="AQ46" s="439"/>
      <c r="AR46" s="439"/>
      <c r="AS46" s="439"/>
      <c r="AT46" s="439"/>
      <c r="AU46" s="439"/>
      <c r="AV46" s="439"/>
      <c r="AW46" s="439"/>
      <c r="AX46" s="439"/>
      <c r="AY46" s="439"/>
      <c r="AZ46" s="439"/>
      <c r="BA46" s="439"/>
      <c r="BB46" s="439"/>
      <c r="BC46" s="439"/>
      <c r="BD46" s="439"/>
      <c r="BE46" s="439"/>
      <c r="BF46" s="439"/>
      <c r="BG46" s="439"/>
      <c r="BH46" s="439"/>
      <c r="BI46" s="439"/>
      <c r="BJ46" s="439"/>
      <c r="BK46" s="442">
        <f t="shared" si="1"/>
        <v>0</v>
      </c>
    </row>
    <row r="47" spans="2:63" x14ac:dyDescent="0.45">
      <c r="B47" s="435">
        <v>43</v>
      </c>
      <c r="C47" s="436">
        <f>IF($C$2=34.5,'S3'!AD47,IF($C$2=35.5,'S3'!AF47,IF($C$2=36.5,'S3'!AH47,IF($C$2=37.5,'S3'!AJ47,IF($C$2=38.5,'S3'!AL47,IF($C$2=39.5,'S3'!AN47,IF($C$2=40.5,'S3'!AP47,IF($C$2=27.5,'S3'!P47,IF($C$2=28.5,'S3'!R47,IF($C$2=29.5,'S3'!T47,IF($C$2=30.5,'S3'!V47,IF($C$2=31.5,'S3'!Z47,IF($C$2=32.5,'S3'!Z47,IF($C$2=33.5,'S3'!AB47))))))))))))))</f>
        <v>111.63</v>
      </c>
      <c r="D47" s="436">
        <f>IF($C$2=34.5,'S3'!AE47,IF($C$2=35.5,'S3'!AG47,IF($C$2=36.5,'S3'!AI47,IF($C$2=37.5,'S3'!AK47,IF($C$2=38.5,'S3'!AM47,IF($C$2=39.5,'S3'!AO47,IF($C$2=40.5,'S3'!AQ47,IF($C$2=27.5,'S3'!Q47,IF($C$2=28.5,'S3'!S47,IF($C$2=29.5,'S3'!U47,IF($C$2=30.5,'S3'!W47,IF($C$2=31.5,'S3'!Y47,IF($C$2=32.5,'S3'!AA47,IF($C$2=33.5,'S3'!AC47))))))))))))))</f>
        <v>156.28</v>
      </c>
      <c r="E47" s="437">
        <f>IF($E$2=34.5,'S3'!BP47,IF($E$2=35.5,'S3'!BQ47,IF($E$2=36.5,'S3'!BR47,IF($E$2=37.5,'S3'!BS47,IF($E$2=38.5,'S3'!BT47,IF($E$2=39.5,'S3'!BU47,IF($E$2=40.5,'S3'!BV47,IF($E$2=22.5,'S3'!BD47,IF($E$2=23.5,'S3'!BE47,IF($E$2=24.5,'S3'!BF47,IF($E$2=25.5,'S3'!BG47,IF($E$2=26.5,'S3'!BH47,IF($E$2=27.5,'S3'!BI47,IF($E$2=28.5,'S3'!BJ47,IF($E$2=29.5,'S3'!BK47,IF($E$2=30.5,'S3'!BL47,IF($E$2=31.5,'S3'!BM47,IF($E$2=32.5,'S3'!BN47,IF($E$2=33.5,'S3'!BO47)))))))))))))))))))</f>
        <v>69.7</v>
      </c>
      <c r="F47" s="437">
        <f t="shared" si="0"/>
        <v>97.58</v>
      </c>
      <c r="H47" s="448" t="s">
        <v>367</v>
      </c>
      <c r="I47" s="449"/>
      <c r="J47" s="439"/>
      <c r="K47" s="439"/>
      <c r="L47" s="439"/>
      <c r="M47" s="439"/>
      <c r="N47" s="439"/>
      <c r="O47" s="439"/>
      <c r="P47" s="439"/>
      <c r="Q47" s="439"/>
      <c r="R47" s="439"/>
      <c r="S47" s="439"/>
      <c r="T47" s="439"/>
      <c r="U47" s="439"/>
      <c r="V47" s="439"/>
      <c r="W47" s="439"/>
      <c r="X47" s="441"/>
      <c r="Y47" s="441"/>
      <c r="Z47" s="441"/>
      <c r="AA47" s="441"/>
      <c r="AB47" s="441"/>
      <c r="AC47" s="441"/>
      <c r="AD47" s="441"/>
      <c r="AE47" s="441"/>
      <c r="AF47" s="441"/>
      <c r="AG47" s="441"/>
      <c r="AH47" s="441"/>
      <c r="AI47" s="441"/>
      <c r="AJ47" s="441"/>
      <c r="AK47" s="441"/>
      <c r="AL47" s="441"/>
      <c r="AM47" s="441"/>
      <c r="AN47" s="441"/>
      <c r="AO47" s="441"/>
      <c r="AP47" s="439"/>
      <c r="AQ47" s="439"/>
      <c r="AR47" s="439"/>
      <c r="AS47" s="439"/>
      <c r="AT47" s="439"/>
      <c r="AU47" s="439"/>
      <c r="AV47" s="439"/>
      <c r="AW47" s="439"/>
      <c r="AX47" s="439"/>
      <c r="AY47" s="439"/>
      <c r="AZ47" s="439"/>
      <c r="BA47" s="439"/>
      <c r="BB47" s="439"/>
      <c r="BC47" s="439"/>
      <c r="BD47" s="439"/>
      <c r="BE47" s="439"/>
      <c r="BF47" s="439"/>
      <c r="BG47" s="439"/>
      <c r="BH47" s="439"/>
      <c r="BI47" s="439"/>
      <c r="BJ47" s="439"/>
      <c r="BK47" s="442">
        <f t="shared" si="1"/>
        <v>0</v>
      </c>
    </row>
    <row r="48" spans="2:63" x14ac:dyDescent="0.45">
      <c r="B48" s="435">
        <v>44</v>
      </c>
      <c r="C48" s="436">
        <f>IF($C$2=34.5,'S3'!AD48,IF($C$2=35.5,'S3'!AF48,IF($C$2=36.5,'S3'!AH48,IF($C$2=37.5,'S3'!AJ48,IF($C$2=38.5,'S3'!AL48,IF($C$2=39.5,'S3'!AN48,IF($C$2=40.5,'S3'!AP48,IF($C$2=27.5,'S3'!P48,IF($C$2=28.5,'S3'!R48,IF($C$2=29.5,'S3'!T48,IF($C$2=30.5,'S3'!V48,IF($C$2=31.5,'S3'!Z48,IF($C$2=32.5,'S3'!Z48,IF($C$2=33.5,'S3'!AB48))))))))))))))</f>
        <v>114.2</v>
      </c>
      <c r="D48" s="436">
        <f>IF($C$2=34.5,'S3'!AE48,IF($C$2=35.5,'S3'!AG48,IF($C$2=36.5,'S3'!AI48,IF($C$2=37.5,'S3'!AK48,IF($C$2=38.5,'S3'!AM48,IF($C$2=39.5,'S3'!AO48,IF($C$2=40.5,'S3'!AQ48,IF($C$2=27.5,'S3'!Q48,IF($C$2=28.5,'S3'!S48,IF($C$2=29.5,'S3'!U48,IF($C$2=30.5,'S3'!W48,IF($C$2=31.5,'S3'!Y48,IF($C$2=32.5,'S3'!AA48,IF($C$2=33.5,'S3'!AC48))))))))))))))</f>
        <v>159.88</v>
      </c>
      <c r="E48" s="437">
        <f>IF($E$2=34.5,'S3'!BP48,IF($E$2=35.5,'S3'!BQ48,IF($E$2=36.5,'S3'!BR48,IF($E$2=37.5,'S3'!BS48,IF($E$2=38.5,'S3'!BT48,IF($E$2=39.5,'S3'!BU48,IF($E$2=40.5,'S3'!BV48,IF($E$2=22.5,'S3'!BD48,IF($E$2=23.5,'S3'!BE48,IF($E$2=24.5,'S3'!BF48,IF($E$2=25.5,'S3'!BG48,IF($E$2=26.5,'S3'!BH48,IF($E$2=27.5,'S3'!BI48,IF($E$2=28.5,'S3'!BJ48,IF($E$2=29.5,'S3'!BK48,IF($E$2=30.5,'S3'!BL48,IF($E$2=31.5,'S3'!BM48,IF($E$2=32.5,'S3'!BN48,IF($E$2=33.5,'S3'!BO48)))))))))))))))))))</f>
        <v>71.31</v>
      </c>
      <c r="F48" s="437">
        <f t="shared" si="0"/>
        <v>99.83</v>
      </c>
      <c r="H48" s="439" t="s">
        <v>368</v>
      </c>
      <c r="I48" s="449"/>
      <c r="J48" s="439"/>
      <c r="K48" s="439"/>
      <c r="L48" s="439"/>
      <c r="M48" s="439"/>
      <c r="N48" s="439"/>
      <c r="O48" s="439"/>
      <c r="P48" s="439"/>
      <c r="Q48" s="439"/>
      <c r="R48" s="439"/>
      <c r="S48" s="439"/>
      <c r="T48" s="439"/>
      <c r="U48" s="439"/>
      <c r="V48" s="439"/>
      <c r="W48" s="439"/>
      <c r="X48" s="441"/>
      <c r="Y48" s="441">
        <v>46.25</v>
      </c>
      <c r="Z48" s="441"/>
      <c r="AA48" s="441">
        <v>46.69</v>
      </c>
      <c r="AB48" s="441"/>
      <c r="AC48" s="441">
        <v>47.13</v>
      </c>
      <c r="AD48" s="441"/>
      <c r="AE48" s="441">
        <v>47.58</v>
      </c>
      <c r="AF48" s="441"/>
      <c r="AG48" s="441">
        <v>48.02</v>
      </c>
      <c r="AH48" s="441"/>
      <c r="AI48" s="441">
        <v>48.46</v>
      </c>
      <c r="AJ48" s="441"/>
      <c r="AK48" s="441">
        <v>48.9</v>
      </c>
      <c r="AL48" s="441"/>
      <c r="AM48" s="441">
        <v>49.35</v>
      </c>
      <c r="AN48" s="441"/>
      <c r="AO48" s="441">
        <v>49.79</v>
      </c>
      <c r="AP48" s="439"/>
      <c r="AQ48" s="439">
        <v>50.23</v>
      </c>
      <c r="AR48" s="439"/>
      <c r="AS48" s="439">
        <v>50.68</v>
      </c>
      <c r="AT48" s="439"/>
      <c r="AU48" s="439">
        <v>51.12</v>
      </c>
      <c r="AV48" s="439"/>
      <c r="AW48" s="439">
        <v>51.56</v>
      </c>
      <c r="AX48" s="439"/>
      <c r="AY48" s="439">
        <v>52</v>
      </c>
      <c r="AZ48" s="439"/>
      <c r="BA48" s="439">
        <v>52.45</v>
      </c>
      <c r="BB48" s="439"/>
      <c r="BC48" s="439"/>
      <c r="BD48" s="439"/>
      <c r="BE48" s="439"/>
      <c r="BF48" s="439"/>
      <c r="BG48" s="439"/>
      <c r="BH48" s="439"/>
      <c r="BI48" s="439"/>
      <c r="BJ48" s="439"/>
      <c r="BK48" s="442">
        <f t="shared" si="1"/>
        <v>50.68</v>
      </c>
    </row>
    <row r="49" spans="2:63" x14ac:dyDescent="0.45">
      <c r="B49" s="435">
        <v>45</v>
      </c>
      <c r="C49" s="436">
        <f>IF($C$2=34.5,'S3'!AD49,IF($C$2=35.5,'S3'!AF49,IF($C$2=36.5,'S3'!AH49,IF($C$2=37.5,'S3'!AJ49,IF($C$2=38.5,'S3'!AL49,IF($C$2=39.5,'S3'!AN49,IF($C$2=40.5,'S3'!AP49,IF($C$2=27.5,'S3'!P49,IF($C$2=28.5,'S3'!R49,IF($C$2=29.5,'S3'!T49,IF($C$2=30.5,'S3'!V49,IF($C$2=31.5,'S3'!Z49,IF($C$2=32.5,'S3'!Z49,IF($C$2=33.5,'S3'!AB49))))))))))))))</f>
        <v>116.76</v>
      </c>
      <c r="D49" s="436">
        <f>IF($C$2=34.5,'S3'!AE49,IF($C$2=35.5,'S3'!AG49,IF($C$2=36.5,'S3'!AI49,IF($C$2=37.5,'S3'!AK49,IF($C$2=38.5,'S3'!AM49,IF($C$2=39.5,'S3'!AO49,IF($C$2=40.5,'S3'!AQ49,IF($C$2=27.5,'S3'!Q49,IF($C$2=28.5,'S3'!S49,IF($C$2=29.5,'S3'!U49,IF($C$2=30.5,'S3'!W49,IF($C$2=31.5,'S3'!Y49,IF($C$2=32.5,'S3'!AA49,IF($C$2=33.5,'S3'!AC49))))))))))))))</f>
        <v>163.46</v>
      </c>
      <c r="E49" s="437">
        <f>IF($E$2=34.5,'S3'!BP49,IF($E$2=35.5,'S3'!BQ49,IF($E$2=36.5,'S3'!BR49,IF($E$2=37.5,'S3'!BS49,IF($E$2=38.5,'S3'!BT49,IF($E$2=39.5,'S3'!BU49,IF($E$2=40.5,'S3'!BV49,IF($E$2=22.5,'S3'!BD49,IF($E$2=23.5,'S3'!BE49,IF($E$2=24.5,'S3'!BF49,IF($E$2=25.5,'S3'!BG49,IF($E$2=26.5,'S3'!BH49,IF($E$2=27.5,'S3'!BI49,IF($E$2=28.5,'S3'!BJ49,IF($E$2=29.5,'S3'!BK49,IF($E$2=30.5,'S3'!BL49,IF($E$2=31.5,'S3'!BM49,IF($E$2=32.5,'S3'!BN49,IF($E$2=33.5,'S3'!BO49)))))))))))))))))))</f>
        <v>72.92</v>
      </c>
      <c r="F49" s="437">
        <f t="shared" si="0"/>
        <v>102.09</v>
      </c>
      <c r="H49" s="439" t="s">
        <v>369</v>
      </c>
      <c r="I49" s="449"/>
      <c r="J49" s="439"/>
      <c r="K49" s="439"/>
      <c r="L49" s="439"/>
      <c r="M49" s="439"/>
      <c r="N49" s="439"/>
      <c r="O49" s="439"/>
      <c r="P49" s="439"/>
      <c r="Q49" s="439"/>
      <c r="R49" s="439"/>
      <c r="S49" s="439"/>
      <c r="T49" s="439"/>
      <c r="U49" s="439"/>
      <c r="V49" s="439"/>
      <c r="W49" s="439"/>
      <c r="X49" s="441"/>
      <c r="Y49" s="441">
        <v>42.27</v>
      </c>
      <c r="Z49" s="441"/>
      <c r="AA49" s="441">
        <v>42.95</v>
      </c>
      <c r="AB49" s="441"/>
      <c r="AC49" s="441">
        <v>43.62</v>
      </c>
      <c r="AD49" s="441"/>
      <c r="AE49" s="441">
        <v>44.3</v>
      </c>
      <c r="AF49" s="441"/>
      <c r="AG49" s="441">
        <v>44.98</v>
      </c>
      <c r="AH49" s="441"/>
      <c r="AI49" s="441">
        <v>45.65</v>
      </c>
      <c r="AJ49" s="441"/>
      <c r="AK49" s="441">
        <v>46.33</v>
      </c>
      <c r="AL49" s="441"/>
      <c r="AM49" s="441">
        <v>47.01</v>
      </c>
      <c r="AN49" s="441"/>
      <c r="AO49" s="441">
        <v>47.68</v>
      </c>
      <c r="AP49" s="439"/>
      <c r="AQ49" s="439">
        <v>48.36</v>
      </c>
      <c r="AR49" s="439"/>
      <c r="AS49" s="439">
        <v>49.03</v>
      </c>
      <c r="AT49" s="439"/>
      <c r="AU49" s="439">
        <v>49.71</v>
      </c>
      <c r="AV49" s="439"/>
      <c r="AW49" s="439">
        <v>50.39</v>
      </c>
      <c r="AX49" s="439"/>
      <c r="AY49" s="439">
        <v>51.06</v>
      </c>
      <c r="AZ49" s="439"/>
      <c r="BA49" s="439">
        <v>51.74</v>
      </c>
      <c r="BB49" s="439"/>
      <c r="BC49" s="439"/>
      <c r="BD49" s="439"/>
      <c r="BE49" s="439"/>
      <c r="BF49" s="439"/>
      <c r="BG49" s="439"/>
      <c r="BH49" s="439"/>
      <c r="BI49" s="439"/>
      <c r="BJ49" s="439"/>
      <c r="BK49" s="442">
        <f t="shared" si="1"/>
        <v>49.03</v>
      </c>
    </row>
    <row r="50" spans="2:63" x14ac:dyDescent="0.45">
      <c r="B50" s="435">
        <v>46</v>
      </c>
      <c r="C50" s="436">
        <f>IF($C$2=34.5,'S3'!AD50,IF($C$2=35.5,'S3'!AF50,IF($C$2=36.5,'S3'!AH50,IF($C$2=37.5,'S3'!AJ50,IF($C$2=38.5,'S3'!AL50,IF($C$2=39.5,'S3'!AN50,IF($C$2=40.5,'S3'!AP50,IF($C$2=27.5,'S3'!P50,IF($C$2=28.5,'S3'!R50,IF($C$2=29.5,'S3'!T50,IF($C$2=30.5,'S3'!V50,IF($C$2=31.5,'S3'!Z50,IF($C$2=32.5,'S3'!Z50,IF($C$2=33.5,'S3'!AB50))))))))))))))</f>
        <v>119.34</v>
      </c>
      <c r="D50" s="436">
        <f>IF($C$2=34.5,'S3'!AE50,IF($C$2=35.5,'S3'!AG50,IF($C$2=36.5,'S3'!AI50,IF($C$2=37.5,'S3'!AK50,IF($C$2=38.5,'S3'!AM50,IF($C$2=39.5,'S3'!AO50,IF($C$2=40.5,'S3'!AQ50,IF($C$2=27.5,'S3'!Q50,IF($C$2=28.5,'S3'!S50,IF($C$2=29.5,'S3'!U50,IF($C$2=30.5,'S3'!W50,IF($C$2=31.5,'S3'!Y50,IF($C$2=32.5,'S3'!AA50,IF($C$2=33.5,'S3'!AC50))))))))))))))</f>
        <v>167.08</v>
      </c>
      <c r="E50" s="437">
        <f>IF($E$2=34.5,'S3'!BP50,IF($E$2=35.5,'S3'!BQ50,IF($E$2=36.5,'S3'!BR50,IF($E$2=37.5,'S3'!BS50,IF($E$2=38.5,'S3'!BT50,IF($E$2=39.5,'S3'!BU50,IF($E$2=40.5,'S3'!BV50,IF($E$2=22.5,'S3'!BD50,IF($E$2=23.5,'S3'!BE50,IF($E$2=24.5,'S3'!BF50,IF($E$2=25.5,'S3'!BG50,IF($E$2=26.5,'S3'!BH50,IF($E$2=27.5,'S3'!BI50,IF($E$2=28.5,'S3'!BJ50,IF($E$2=29.5,'S3'!BK50,IF($E$2=30.5,'S3'!BL50,IF($E$2=31.5,'S3'!BM50,IF($E$2=32.5,'S3'!BN50,IF($E$2=33.5,'S3'!BO50)))))))))))))))))))</f>
        <v>74.53</v>
      </c>
      <c r="F50" s="437">
        <f t="shared" si="0"/>
        <v>104.34</v>
      </c>
      <c r="H50" s="479" t="s">
        <v>370</v>
      </c>
      <c r="I50" s="440"/>
      <c r="J50" s="443"/>
      <c r="K50" s="443"/>
      <c r="L50" s="443"/>
      <c r="M50" s="443"/>
      <c r="N50" s="443"/>
      <c r="O50" s="443"/>
      <c r="P50" s="443"/>
      <c r="Q50" s="443"/>
      <c r="R50" s="443"/>
      <c r="S50" s="443"/>
      <c r="T50" s="443"/>
      <c r="U50" s="443"/>
      <c r="V50" s="443"/>
      <c r="W50" s="443"/>
      <c r="X50" s="481"/>
      <c r="Y50" s="481"/>
      <c r="Z50" s="481"/>
      <c r="AA50" s="481"/>
      <c r="AB50" s="481"/>
      <c r="AC50" s="481"/>
      <c r="AD50" s="481"/>
      <c r="AE50" s="481"/>
      <c r="AF50" s="481"/>
      <c r="AG50" s="481"/>
      <c r="AH50" s="481"/>
      <c r="AI50" s="481"/>
      <c r="AJ50" s="481"/>
      <c r="AK50" s="481"/>
      <c r="AL50" s="481"/>
      <c r="AM50" s="481"/>
      <c r="AN50" s="481"/>
      <c r="AO50" s="481"/>
      <c r="AP50" s="482"/>
      <c r="AQ50" s="482"/>
      <c r="AR50" s="483"/>
      <c r="AS50" s="483"/>
      <c r="AT50" s="483"/>
      <c r="AU50" s="483"/>
      <c r="AV50" s="483"/>
      <c r="AW50" s="483"/>
      <c r="AX50" s="483"/>
      <c r="AY50" s="483"/>
      <c r="AZ50" s="483"/>
      <c r="BA50" s="483"/>
      <c r="BB50" s="483"/>
      <c r="BC50" s="483"/>
      <c r="BD50" s="483"/>
      <c r="BE50" s="483"/>
      <c r="BF50" s="483"/>
      <c r="BG50" s="483"/>
      <c r="BH50" s="483"/>
      <c r="BI50" s="483"/>
      <c r="BJ50" s="488"/>
      <c r="BK50" s="442">
        <f t="shared" si="1"/>
        <v>0</v>
      </c>
    </row>
    <row r="51" spans="2:63" x14ac:dyDescent="0.45">
      <c r="B51" s="435">
        <v>47</v>
      </c>
      <c r="C51" s="436">
        <f>IF($C$2=34.5,'S3'!AD51,IF($C$2=35.5,'S3'!AF51,IF($C$2=36.5,'S3'!AH51,IF($C$2=37.5,'S3'!AJ51,IF($C$2=38.5,'S3'!AL51,IF($C$2=39.5,'S3'!AN51,IF($C$2=40.5,'S3'!AP51,IF($C$2=27.5,'S3'!P51,IF($C$2=28.5,'S3'!R51,IF($C$2=29.5,'S3'!T51,IF($C$2=30.5,'S3'!V51,IF($C$2=31.5,'S3'!Z51,IF($C$2=32.5,'S3'!Z51,IF($C$2=33.5,'S3'!AB51))))))))))))))</f>
        <v>121.89</v>
      </c>
      <c r="D51" s="436">
        <f>IF($C$2=34.5,'S3'!AE51,IF($C$2=35.5,'S3'!AG51,IF($C$2=36.5,'S3'!AI51,IF($C$2=37.5,'S3'!AK51,IF($C$2=38.5,'S3'!AM51,IF($C$2=39.5,'S3'!AO51,IF($C$2=40.5,'S3'!AQ51,IF($C$2=27.5,'S3'!Q51,IF($C$2=28.5,'S3'!S51,IF($C$2=29.5,'S3'!U51,IF($C$2=30.5,'S3'!W51,IF($C$2=31.5,'S3'!Y51,IF($C$2=32.5,'S3'!AA51,IF($C$2=33.5,'S3'!AC51))))))))))))))</f>
        <v>170.65</v>
      </c>
      <c r="E51" s="437">
        <f>IF($E$2=34.5,'S3'!BP51,IF($E$2=35.5,'S3'!BQ51,IF($E$2=36.5,'S3'!BR51,IF($E$2=37.5,'S3'!BS51,IF($E$2=38.5,'S3'!BT51,IF($E$2=39.5,'S3'!BU51,IF($E$2=40.5,'S3'!BV51,IF($E$2=22.5,'S3'!BD51,IF($E$2=23.5,'S3'!BE51,IF($E$2=24.5,'S3'!BF51,IF($E$2=25.5,'S3'!BG51,IF($E$2=26.5,'S3'!BH51,IF($E$2=27.5,'S3'!BI51,IF($E$2=28.5,'S3'!BJ51,IF($E$2=29.5,'S3'!BK51,IF($E$2=30.5,'S3'!BL51,IF($E$2=31.5,'S3'!BM51,IF($E$2=32.5,'S3'!BN51,IF($E$2=33.5,'S3'!BO51)))))))))))))))))))</f>
        <v>76.13</v>
      </c>
      <c r="F51" s="437">
        <f t="shared" si="0"/>
        <v>106.58</v>
      </c>
      <c r="H51" s="480" t="s">
        <v>371</v>
      </c>
      <c r="I51" s="440" t="s">
        <v>53</v>
      </c>
      <c r="J51" s="439"/>
      <c r="K51" s="439"/>
      <c r="L51" s="439"/>
      <c r="M51" s="439"/>
      <c r="N51" s="439"/>
      <c r="O51" s="439"/>
      <c r="P51" s="439"/>
      <c r="Q51" s="439"/>
      <c r="R51" s="439"/>
      <c r="S51" s="439"/>
      <c r="T51" s="439">
        <v>27.39</v>
      </c>
      <c r="U51" s="439">
        <v>28.87</v>
      </c>
      <c r="V51" s="439">
        <v>27.53</v>
      </c>
      <c r="W51" s="439">
        <v>29.01</v>
      </c>
      <c r="X51" s="441">
        <v>27.67</v>
      </c>
      <c r="Y51" s="441">
        <v>29.15</v>
      </c>
      <c r="Z51" s="441">
        <v>27.81</v>
      </c>
      <c r="AA51" s="441">
        <v>29.29</v>
      </c>
      <c r="AB51" s="441">
        <v>27.96</v>
      </c>
      <c r="AC51" s="441">
        <v>29.44</v>
      </c>
      <c r="AD51" s="441">
        <v>28.1</v>
      </c>
      <c r="AE51" s="441">
        <v>29.58</v>
      </c>
      <c r="AF51" s="441">
        <v>28.24</v>
      </c>
      <c r="AG51" s="441">
        <v>29.72</v>
      </c>
      <c r="AH51" s="441">
        <v>28.38</v>
      </c>
      <c r="AI51" s="441">
        <v>29.86</v>
      </c>
      <c r="AJ51" s="441">
        <v>28.52</v>
      </c>
      <c r="AK51" s="441">
        <v>30</v>
      </c>
      <c r="AL51" s="441">
        <v>28.67</v>
      </c>
      <c r="AM51" s="441">
        <v>30.15</v>
      </c>
      <c r="AN51" s="441">
        <v>28.81</v>
      </c>
      <c r="AO51" s="441">
        <v>30.29</v>
      </c>
      <c r="AP51" s="439">
        <v>28.95</v>
      </c>
      <c r="AQ51" s="439">
        <v>30.43</v>
      </c>
      <c r="AR51" s="439">
        <v>29.09</v>
      </c>
      <c r="AS51" s="439">
        <v>30.57</v>
      </c>
      <c r="AT51" s="439">
        <v>29.23</v>
      </c>
      <c r="AU51" s="439">
        <v>30.71</v>
      </c>
      <c r="AV51" s="439">
        <v>29.38</v>
      </c>
      <c r="AW51" s="439">
        <v>30.86</v>
      </c>
      <c r="AX51" s="439">
        <v>29.52</v>
      </c>
      <c r="AY51" s="439">
        <v>31</v>
      </c>
      <c r="AZ51" s="439">
        <v>29.66</v>
      </c>
      <c r="BA51" s="439">
        <v>31.14</v>
      </c>
      <c r="BB51" s="439">
        <v>29.8</v>
      </c>
      <c r="BC51" s="439">
        <v>31.28</v>
      </c>
      <c r="BD51" s="439">
        <v>29.94</v>
      </c>
      <c r="BE51" s="439">
        <v>31.42</v>
      </c>
      <c r="BF51" s="439">
        <v>30.08</v>
      </c>
      <c r="BG51" s="439">
        <v>31.56</v>
      </c>
      <c r="BH51" s="439">
        <v>30.23</v>
      </c>
      <c r="BI51" s="439">
        <v>31.71</v>
      </c>
      <c r="BJ51" s="442">
        <f>IF($C$2=15.5,J51,IF($C$2=16.5,L51,IF($C$2=17.5,N51,IF($C$2=18.5,P51,IF($C$2=19.5,R51,IF($C$2=20.5,T51,IF($C$2=21.5,V51,IF($C$2=22.5,X51,IF($C$2=23.5,Z51,IF($C$2=24.5,AB51,IF($C$2=25.5,AD51,IF($C$2=26.5,AF51,IF($C$2=27.5,AH51,IF($C$2=28.5,AJ51,IF($C$2=29.5,AL51,IF($C$2=30.5,AN51,IF($C$2=31.5,AP51,IF($C$2=32.5,AR51,IF($C$2=33.5,AT51)))))))))))))))))))</f>
        <v>29.09</v>
      </c>
      <c r="BK51" s="442">
        <f t="shared" si="1"/>
        <v>30.57</v>
      </c>
    </row>
    <row r="52" spans="2:63" x14ac:dyDescent="0.45">
      <c r="B52" s="435">
        <v>48</v>
      </c>
      <c r="C52" s="436">
        <f>IF($C$2=34.5,'S3'!AD52,IF($C$2=35.5,'S3'!AF52,IF($C$2=36.5,'S3'!AH52,IF($C$2=37.5,'S3'!AJ52,IF($C$2=38.5,'S3'!AL52,IF($C$2=39.5,'S3'!AN52,IF($C$2=40.5,'S3'!AP52,IF($C$2=27.5,'S3'!P52,IF($C$2=28.5,'S3'!R52,IF($C$2=29.5,'S3'!T52,IF($C$2=30.5,'S3'!V52,IF($C$2=31.5,'S3'!Z52,IF($C$2=32.5,'S3'!Z52,IF($C$2=33.5,'S3'!AB52))))))))))))))</f>
        <v>124.47</v>
      </c>
      <c r="D52" s="436">
        <f>IF($C$2=34.5,'S3'!AE52,IF($C$2=35.5,'S3'!AG52,IF($C$2=36.5,'S3'!AI52,IF($C$2=37.5,'S3'!AK52,IF($C$2=38.5,'S3'!AM52,IF($C$2=39.5,'S3'!AO52,IF($C$2=40.5,'S3'!AQ52,IF($C$2=27.5,'S3'!Q52,IF($C$2=28.5,'S3'!S52,IF($C$2=29.5,'S3'!U52,IF($C$2=30.5,'S3'!W52,IF($C$2=31.5,'S3'!Y52,IF($C$2=32.5,'S3'!AA52,IF($C$2=33.5,'S3'!AC52))))))))))))))</f>
        <v>174.26</v>
      </c>
      <c r="E52" s="437">
        <f>IF($E$2=34.5,'S3'!BP52,IF($E$2=35.5,'S3'!BQ52,IF($E$2=36.5,'S3'!BR52,IF($E$2=37.5,'S3'!BS52,IF($E$2=38.5,'S3'!BT52,IF($E$2=39.5,'S3'!BU52,IF($E$2=40.5,'S3'!BV52,IF($E$2=22.5,'S3'!BD52,IF($E$2=23.5,'S3'!BE52,IF($E$2=24.5,'S3'!BF52,IF($E$2=25.5,'S3'!BG52,IF($E$2=26.5,'S3'!BH52,IF($E$2=27.5,'S3'!BI52,IF($E$2=28.5,'S3'!BJ52,IF($E$2=29.5,'S3'!BK52,IF($E$2=30.5,'S3'!BL52,IF($E$2=31.5,'S3'!BM52,IF($E$2=32.5,'S3'!BN52,IF($E$2=33.5,'S3'!BO52)))))))))))))))))))</f>
        <v>77.73</v>
      </c>
      <c r="F52" s="437">
        <f t="shared" si="0"/>
        <v>108.82</v>
      </c>
      <c r="H52" s="480" t="s">
        <v>372</v>
      </c>
      <c r="I52" s="440" t="s">
        <v>53</v>
      </c>
      <c r="J52" s="443">
        <v>33.340000000000003</v>
      </c>
      <c r="K52" s="443">
        <v>35.19</v>
      </c>
      <c r="L52" s="443">
        <v>33.51</v>
      </c>
      <c r="M52" s="443">
        <v>35.36</v>
      </c>
      <c r="N52" s="443">
        <v>33.69</v>
      </c>
      <c r="O52" s="443">
        <v>35.54</v>
      </c>
      <c r="P52" s="443">
        <v>33.869999999999997</v>
      </c>
      <c r="Q52" s="443">
        <v>35.72</v>
      </c>
      <c r="R52" s="443">
        <v>34.049999999999997</v>
      </c>
      <c r="S52" s="443">
        <v>35.9</v>
      </c>
      <c r="T52" s="443">
        <v>34.22</v>
      </c>
      <c r="U52" s="443">
        <v>36.07</v>
      </c>
      <c r="V52" s="443">
        <v>34.4</v>
      </c>
      <c r="W52" s="443">
        <v>36.25</v>
      </c>
      <c r="X52" s="515">
        <v>34.58</v>
      </c>
      <c r="Y52" s="515">
        <v>36.43</v>
      </c>
      <c r="Z52" s="515">
        <v>34.76</v>
      </c>
      <c r="AA52" s="515">
        <v>36.61</v>
      </c>
      <c r="AB52" s="515">
        <v>34.93</v>
      </c>
      <c r="AC52" s="515">
        <v>36.78</v>
      </c>
      <c r="AD52" s="515">
        <v>35.11</v>
      </c>
      <c r="AE52" s="515">
        <v>36.96</v>
      </c>
      <c r="AF52" s="515">
        <v>35.29</v>
      </c>
      <c r="AG52" s="515">
        <v>37.14</v>
      </c>
      <c r="AH52" s="515">
        <v>35.47</v>
      </c>
      <c r="AI52" s="515">
        <v>37.32</v>
      </c>
      <c r="AJ52" s="515">
        <v>35.64</v>
      </c>
      <c r="AK52" s="515">
        <v>37.49</v>
      </c>
      <c r="AL52" s="515">
        <v>35.82</v>
      </c>
      <c r="AM52" s="515">
        <v>37.67</v>
      </c>
      <c r="AN52" s="515">
        <v>36</v>
      </c>
      <c r="AO52" s="515">
        <v>37.85</v>
      </c>
      <c r="AP52" s="516">
        <v>36.18</v>
      </c>
      <c r="AQ52" s="516">
        <v>38.03</v>
      </c>
      <c r="AR52" s="517">
        <v>36.35</v>
      </c>
      <c r="AS52" s="517">
        <v>38.200000000000003</v>
      </c>
      <c r="AT52" s="517">
        <v>36.53</v>
      </c>
      <c r="AU52" s="517">
        <v>38.380000000000003</v>
      </c>
      <c r="AV52" s="517">
        <v>36.71</v>
      </c>
      <c r="AW52" s="517">
        <v>38.56</v>
      </c>
      <c r="AX52" s="517">
        <v>36.89</v>
      </c>
      <c r="AY52" s="517">
        <v>38.74</v>
      </c>
      <c r="AZ52" s="517">
        <v>43.93</v>
      </c>
      <c r="BA52" s="517">
        <v>47.29</v>
      </c>
      <c r="BB52" s="517">
        <v>44.11</v>
      </c>
      <c r="BC52" s="517">
        <v>47.46</v>
      </c>
      <c r="BD52" s="517">
        <v>44.29</v>
      </c>
      <c r="BE52" s="517">
        <v>47.64</v>
      </c>
      <c r="BF52" s="517">
        <v>44.47</v>
      </c>
      <c r="BG52" s="517">
        <v>47.82</v>
      </c>
      <c r="BH52" s="517">
        <v>41.27</v>
      </c>
      <c r="BI52" s="517">
        <v>44.62</v>
      </c>
      <c r="BJ52" s="442">
        <f>IF($C$2=15.5,J52,IF($C$2=16.5,L52,IF($C$2=17.5,N52,IF($C$2=18.5,P52,IF($C$2=19.5,R52,IF($C$2=20.5,T52,IF($C$2=21.5,V52,IF($C$2=22.5,X52,IF($C$2=23.5,Z52,IF($C$2=24.5,AB52,IF($C$2=25.5,AD52,IF($C$2=26.5,AF52,IF($C$2=27.5,AH52,IF($C$2=28.5,AJ52,IF($C$2=29.5,AL52,IF($C$2=30.5,AN52,IF($C$2=31.5,AP52,IF($C$2=32.5,AR52,IF($C$2=33.5,AT52)))))))))))))))))))</f>
        <v>36.35</v>
      </c>
      <c r="BK52" s="442">
        <f t="shared" si="1"/>
        <v>38.200000000000003</v>
      </c>
    </row>
    <row r="53" spans="2:63" x14ac:dyDescent="0.45">
      <c r="B53" s="435">
        <v>49</v>
      </c>
      <c r="C53" s="436">
        <f>IF($C$2=34.5,'S3'!AD53,IF($C$2=35.5,'S3'!AF53,IF($C$2=36.5,'S3'!AH53,IF($C$2=37.5,'S3'!AJ53,IF($C$2=38.5,'S3'!AL53,IF($C$2=39.5,'S3'!AN53,IF($C$2=40.5,'S3'!AP53,IF($C$2=27.5,'S3'!P53,IF($C$2=28.5,'S3'!R53,IF($C$2=29.5,'S3'!T53,IF($C$2=30.5,'S3'!V53,IF($C$2=31.5,'S3'!Z53,IF($C$2=32.5,'S3'!Z53,IF($C$2=33.5,'S3'!AB53))))))))))))))</f>
        <v>127.02</v>
      </c>
      <c r="D53" s="436">
        <f>IF($C$2=34.5,'S3'!AE53,IF($C$2=35.5,'S3'!AG53,IF($C$2=36.5,'S3'!AI53,IF($C$2=37.5,'S3'!AK53,IF($C$2=38.5,'S3'!AM53,IF($C$2=39.5,'S3'!AO53,IF($C$2=40.5,'S3'!AQ53,IF($C$2=27.5,'S3'!Q53,IF($C$2=28.5,'S3'!S53,IF($C$2=29.5,'S3'!U53,IF($C$2=30.5,'S3'!W53,IF($C$2=31.5,'S3'!Y53,IF($C$2=32.5,'S3'!AA53,IF($C$2=33.5,'S3'!AC53))))))))))))))</f>
        <v>177.83</v>
      </c>
      <c r="E53" s="437">
        <f>IF($E$2=34.5,'S3'!BP53,IF($E$2=35.5,'S3'!BQ53,IF($E$2=36.5,'S3'!BR53,IF($E$2=37.5,'S3'!BS53,IF($E$2=38.5,'S3'!BT53,IF($E$2=39.5,'S3'!BU53,IF($E$2=40.5,'S3'!BV53,IF($E$2=22.5,'S3'!BD53,IF($E$2=23.5,'S3'!BE53,IF($E$2=24.5,'S3'!BF53,IF($E$2=25.5,'S3'!BG53,IF($E$2=26.5,'S3'!BH53,IF($E$2=27.5,'S3'!BI53,IF($E$2=28.5,'S3'!BJ53,IF($E$2=29.5,'S3'!BK53,IF($E$2=30.5,'S3'!BL53,IF($E$2=31.5,'S3'!BM53,IF($E$2=32.5,'S3'!BN53,IF($E$2=33.5,'S3'!BO53)))))))))))))))))))</f>
        <v>79.349999999999994</v>
      </c>
      <c r="F53" s="437">
        <f t="shared" si="0"/>
        <v>111.09</v>
      </c>
      <c r="H53" s="480" t="s">
        <v>373</v>
      </c>
      <c r="I53" s="440" t="s">
        <v>53</v>
      </c>
      <c r="J53" s="439"/>
      <c r="K53" s="439"/>
      <c r="L53" s="439"/>
      <c r="M53" s="439"/>
      <c r="N53" s="439"/>
      <c r="O53" s="439"/>
      <c r="P53" s="439"/>
      <c r="Q53" s="439"/>
      <c r="R53" s="439"/>
      <c r="S53" s="439"/>
      <c r="T53" s="439"/>
      <c r="U53" s="439"/>
      <c r="V53" s="439"/>
      <c r="W53" s="439"/>
      <c r="X53" s="441"/>
      <c r="Y53" s="441">
        <v>48.58</v>
      </c>
      <c r="Z53" s="441"/>
      <c r="AA53" s="441">
        <v>48.82</v>
      </c>
      <c r="AB53" s="441"/>
      <c r="AC53" s="441">
        <v>49.06</v>
      </c>
      <c r="AD53" s="441"/>
      <c r="AE53" s="441">
        <v>49.29</v>
      </c>
      <c r="AF53" s="441"/>
      <c r="AG53" s="441">
        <v>49.53</v>
      </c>
      <c r="AH53" s="441"/>
      <c r="AI53" s="441">
        <v>49.77</v>
      </c>
      <c r="AJ53" s="441"/>
      <c r="AK53" s="441">
        <v>50</v>
      </c>
      <c r="AL53" s="441"/>
      <c r="AM53" s="441">
        <v>50.24</v>
      </c>
      <c r="AN53" s="441"/>
      <c r="AO53" s="441">
        <v>50.48</v>
      </c>
      <c r="AP53" s="439"/>
      <c r="AQ53" s="439"/>
      <c r="AR53" s="439"/>
      <c r="AS53" s="439"/>
      <c r="AT53" s="439"/>
      <c r="AU53" s="439"/>
      <c r="AV53" s="439"/>
      <c r="AW53" s="439"/>
      <c r="AX53" s="439"/>
      <c r="AY53" s="439"/>
      <c r="AZ53" s="439"/>
      <c r="BA53" s="439"/>
      <c r="BB53" s="439"/>
      <c r="BC53" s="439"/>
      <c r="BD53" s="439"/>
      <c r="BE53" s="439"/>
      <c r="BF53" s="439"/>
      <c r="BG53" s="439"/>
      <c r="BH53" s="439"/>
      <c r="BI53" s="439"/>
      <c r="BJ53" s="439"/>
      <c r="BK53" s="442">
        <f t="shared" si="1"/>
        <v>0</v>
      </c>
    </row>
    <row r="54" spans="2:63" x14ac:dyDescent="0.45">
      <c r="B54" s="435">
        <v>50</v>
      </c>
      <c r="C54" s="436">
        <f>IF($C$2=34.5,'S3'!AD54,IF($C$2=35.5,'S3'!AF54,IF($C$2=36.5,'S3'!AH54,IF($C$2=37.5,'S3'!AJ54,IF($C$2=38.5,'S3'!AL54,IF($C$2=39.5,'S3'!AN54,IF($C$2=40.5,'S3'!AP54,IF($C$2=27.5,'S3'!P54,IF($C$2=28.5,'S3'!R54,IF($C$2=29.5,'S3'!T54,IF($C$2=30.5,'S3'!V54,IF($C$2=31.5,'S3'!Z54,IF($C$2=32.5,'S3'!Z54,IF($C$2=33.5,'S3'!AB54))))))))))))))</f>
        <v>129.58000000000001</v>
      </c>
      <c r="D54" s="436">
        <f>IF($C$2=34.5,'S3'!AE54,IF($C$2=35.5,'S3'!AG54,IF($C$2=36.5,'S3'!AI54,IF($C$2=37.5,'S3'!AK54,IF($C$2=38.5,'S3'!AM54,IF($C$2=39.5,'S3'!AO54,IF($C$2=40.5,'S3'!AQ54,IF($C$2=27.5,'S3'!Q54,IF($C$2=28.5,'S3'!S54,IF($C$2=29.5,'S3'!U54,IF($C$2=30.5,'S3'!W54,IF($C$2=31.5,'S3'!Y54,IF($C$2=32.5,'S3'!AA54,IF($C$2=33.5,'S3'!AC54))))))))))))))</f>
        <v>181.41</v>
      </c>
      <c r="E54" s="437">
        <f>IF($E$2=34.5,'S3'!BP54,IF($E$2=35.5,'S3'!BQ54,IF($E$2=36.5,'S3'!BR54,IF($E$2=37.5,'S3'!BS54,IF($E$2=38.5,'S3'!BT54,IF($E$2=39.5,'S3'!BU54,IF($E$2=40.5,'S3'!BV54,IF($E$2=22.5,'S3'!BD54,IF($E$2=23.5,'S3'!BE54,IF($E$2=24.5,'S3'!BF54,IF($E$2=25.5,'S3'!BG54,IF($E$2=26.5,'S3'!BH54,IF($E$2=27.5,'S3'!BI54,IF($E$2=28.5,'S3'!BJ54,IF($E$2=29.5,'S3'!BK54,IF($E$2=30.5,'S3'!BL54,IF($E$2=31.5,'S3'!BM54,IF($E$2=32.5,'S3'!BN54,IF($E$2=33.5,'S3'!BO54)))))))))))))))))))</f>
        <v>80.95</v>
      </c>
      <c r="F54" s="437">
        <f t="shared" si="0"/>
        <v>113.33</v>
      </c>
      <c r="H54" s="480" t="s">
        <v>374</v>
      </c>
      <c r="I54" s="440" t="s">
        <v>53</v>
      </c>
      <c r="J54" s="443">
        <v>9.7799999999999994</v>
      </c>
      <c r="K54" s="443">
        <v>10.27</v>
      </c>
      <c r="L54" s="443">
        <v>9.93</v>
      </c>
      <c r="M54" s="443">
        <v>10.45</v>
      </c>
      <c r="N54" s="443">
        <v>10.1</v>
      </c>
      <c r="O54" s="443">
        <v>10.62</v>
      </c>
      <c r="P54" s="443">
        <v>10.27</v>
      </c>
      <c r="Q54" s="443">
        <v>10.79</v>
      </c>
      <c r="R54" s="443">
        <v>10.44</v>
      </c>
      <c r="S54" s="443">
        <v>10.96</v>
      </c>
      <c r="T54" s="443">
        <v>10.62</v>
      </c>
      <c r="U54" s="443">
        <v>11.14</v>
      </c>
      <c r="V54" s="443">
        <v>10.79</v>
      </c>
      <c r="W54" s="443">
        <v>11.31</v>
      </c>
      <c r="X54" s="515">
        <v>10.96</v>
      </c>
      <c r="Y54" s="515">
        <v>11.48</v>
      </c>
      <c r="Z54" s="515">
        <v>11.13</v>
      </c>
      <c r="AA54" s="515">
        <v>11.65</v>
      </c>
      <c r="AB54" s="515">
        <v>11.31</v>
      </c>
      <c r="AC54" s="515">
        <v>11.83</v>
      </c>
      <c r="AD54" s="515">
        <v>11.48</v>
      </c>
      <c r="AE54" s="515">
        <v>12</v>
      </c>
      <c r="AF54" s="515">
        <v>11.65</v>
      </c>
      <c r="AG54" s="515">
        <v>12.17</v>
      </c>
      <c r="AH54" s="515">
        <v>11.83</v>
      </c>
      <c r="AI54" s="515">
        <v>12.35</v>
      </c>
      <c r="AJ54" s="515">
        <v>12</v>
      </c>
      <c r="AK54" s="515">
        <v>12.52</v>
      </c>
      <c r="AL54" s="515">
        <v>12.17</v>
      </c>
      <c r="AM54" s="515">
        <v>12.69</v>
      </c>
      <c r="AN54" s="515">
        <v>12.34</v>
      </c>
      <c r="AO54" s="515">
        <v>12.86</v>
      </c>
      <c r="AP54" s="516">
        <v>12.52</v>
      </c>
      <c r="AQ54" s="516">
        <v>13.04</v>
      </c>
      <c r="AR54" s="517">
        <v>12.69</v>
      </c>
      <c r="AS54" s="517">
        <v>13.21</v>
      </c>
      <c r="AT54" s="517">
        <v>12.86</v>
      </c>
      <c r="AU54" s="517">
        <v>13.38</v>
      </c>
      <c r="AV54" s="517">
        <v>13.03</v>
      </c>
      <c r="AW54" s="517">
        <v>13.55</v>
      </c>
      <c r="AX54" s="517">
        <v>13.21</v>
      </c>
      <c r="AY54" s="517">
        <v>13.73</v>
      </c>
      <c r="AZ54" s="517">
        <v>12.35</v>
      </c>
      <c r="BA54" s="517">
        <v>12.84</v>
      </c>
      <c r="BB54" s="517">
        <v>12.53</v>
      </c>
      <c r="BC54" s="517">
        <v>13.01</v>
      </c>
      <c r="BD54" s="517">
        <v>12.7</v>
      </c>
      <c r="BE54" s="517">
        <v>13.18</v>
      </c>
      <c r="BF54" s="517">
        <v>12.87</v>
      </c>
      <c r="BG54" s="517">
        <v>13.35</v>
      </c>
      <c r="BH54" s="517">
        <v>9.77</v>
      </c>
      <c r="BI54" s="517">
        <v>10.25</v>
      </c>
      <c r="BJ54" s="442">
        <f>IF($C$2=15.5,J54,IF($C$2=16.5,L54,IF($C$2=17.5,N54,IF($C$2=18.5,P54,IF($C$2=19.5,R54,IF($C$2=20.5,T54,IF($C$2=21.5,V54,IF($C$2=22.5,X54,IF($C$2=23.5,Z54,IF($C$2=24.5,AB54,IF($C$2=25.5,AD54,IF($C$2=26.5,AF54,IF($C$2=27.5,AH54,IF($C$2=28.5,AJ54,IF($C$2=29.5,AL54,IF($C$2=30.5,AN54,IF($C$2=31.5,AP54,IF($C$2=32.5,AR54,IF($C$2=33.5,AT54)))))))))))))))))))</f>
        <v>12.69</v>
      </c>
      <c r="BK54" s="442">
        <f t="shared" si="1"/>
        <v>13.21</v>
      </c>
    </row>
    <row r="55" spans="2:63" x14ac:dyDescent="0.45">
      <c r="B55" s="435">
        <v>51</v>
      </c>
      <c r="C55" s="436">
        <f>IF($C$2=34.5,'S3'!AD55,IF($C$2=35.5,'S3'!AF55,IF($C$2=36.5,'S3'!AH55,IF($C$2=37.5,'S3'!AJ55,IF($C$2=38.5,'S3'!AL55,IF($C$2=39.5,'S3'!AN55,IF($C$2=40.5,'S3'!AP55,IF($C$2=27.5,'S3'!P55,IF($C$2=28.5,'S3'!R55,IF($C$2=29.5,'S3'!T55,IF($C$2=30.5,'S3'!V55,IF($C$2=31.5,'S3'!Z55,IF($C$2=32.5,'S3'!Z55,IF($C$2=33.5,'S3'!AB55))))))))))))))</f>
        <v>132.16</v>
      </c>
      <c r="D55" s="436">
        <f>IF($C$2=34.5,'S3'!AE55,IF($C$2=35.5,'S3'!AG55,IF($C$2=36.5,'S3'!AI55,IF($C$2=37.5,'S3'!AK55,IF($C$2=38.5,'S3'!AM55,IF($C$2=39.5,'S3'!AO55,IF($C$2=40.5,'S3'!AQ55,IF($C$2=27.5,'S3'!Q55,IF($C$2=28.5,'S3'!S55,IF($C$2=29.5,'S3'!U55,IF($C$2=30.5,'S3'!W55,IF($C$2=31.5,'S3'!Y55,IF($C$2=32.5,'S3'!AA55,IF($C$2=33.5,'S3'!AC55))))))))))))))</f>
        <v>185.02</v>
      </c>
      <c r="E55" s="437">
        <f>IF($E$2=34.5,'S3'!BP55,IF($E$2=35.5,'S3'!BQ55,IF($E$2=36.5,'S3'!BR55,IF($E$2=37.5,'S3'!BS55,IF($E$2=38.5,'S3'!BT55,IF($E$2=39.5,'S3'!BU55,IF($E$2=40.5,'S3'!BV55,IF($E$2=22.5,'S3'!BD55,IF($E$2=23.5,'S3'!BE55,IF($E$2=24.5,'S3'!BF55,IF($E$2=25.5,'S3'!BG55,IF($E$2=26.5,'S3'!BH55,IF($E$2=27.5,'S3'!BI55,IF($E$2=28.5,'S3'!BJ55,IF($E$2=29.5,'S3'!BK55,IF($E$2=30.5,'S3'!BL55,IF($E$2=31.5,'S3'!BM55,IF($E$2=32.5,'S3'!BN55,IF($E$2=33.5,'S3'!BO55)))))))))))))))))))</f>
        <v>82.56</v>
      </c>
      <c r="F55" s="437">
        <f t="shared" si="0"/>
        <v>115.58</v>
      </c>
      <c r="H55" s="480" t="s">
        <v>375</v>
      </c>
      <c r="I55" s="440" t="s">
        <v>53</v>
      </c>
      <c r="J55" s="443">
        <v>2.09</v>
      </c>
      <c r="K55" s="443">
        <v>2.19</v>
      </c>
      <c r="L55" s="443">
        <v>2.13</v>
      </c>
      <c r="M55" s="443">
        <v>2.23</v>
      </c>
      <c r="N55" s="443">
        <v>2.1800000000000002</v>
      </c>
      <c r="O55" s="443">
        <v>2.2799999999999998</v>
      </c>
      <c r="P55" s="443">
        <v>2.2200000000000002</v>
      </c>
      <c r="Q55" s="443">
        <v>2.3199999999999998</v>
      </c>
      <c r="R55" s="443">
        <v>2.2599999999999998</v>
      </c>
      <c r="S55" s="443">
        <v>2.36</v>
      </c>
      <c r="T55" s="443">
        <v>2.31</v>
      </c>
      <c r="U55" s="443">
        <v>2.41</v>
      </c>
      <c r="V55" s="443">
        <v>2.35</v>
      </c>
      <c r="W55" s="443">
        <v>2.4500000000000002</v>
      </c>
      <c r="X55" s="515">
        <v>2.4</v>
      </c>
      <c r="Y55" s="515">
        <v>2.5</v>
      </c>
      <c r="Z55" s="515">
        <v>2.44</v>
      </c>
      <c r="AA55" s="515">
        <v>2.54</v>
      </c>
      <c r="AB55" s="515">
        <v>2.48</v>
      </c>
      <c r="AC55" s="515">
        <v>2.58</v>
      </c>
      <c r="AD55" s="515">
        <v>2.5299999999999998</v>
      </c>
      <c r="AE55" s="515">
        <v>2.63</v>
      </c>
      <c r="AF55" s="515">
        <v>2.57</v>
      </c>
      <c r="AG55" s="515">
        <v>2.67</v>
      </c>
      <c r="AH55" s="515">
        <v>2.62</v>
      </c>
      <c r="AI55" s="515">
        <v>2.72</v>
      </c>
      <c r="AJ55" s="515">
        <v>2.66</v>
      </c>
      <c r="AK55" s="515">
        <v>2.76</v>
      </c>
      <c r="AL55" s="515">
        <v>2.7</v>
      </c>
      <c r="AM55" s="515">
        <v>2.8</v>
      </c>
      <c r="AN55" s="515">
        <v>2.75</v>
      </c>
      <c r="AO55" s="515">
        <v>2.85</v>
      </c>
      <c r="AP55" s="516">
        <v>2.79</v>
      </c>
      <c r="AQ55" s="516">
        <v>2.89</v>
      </c>
      <c r="AR55" s="517">
        <v>2.84</v>
      </c>
      <c r="AS55" s="517">
        <v>2.94</v>
      </c>
      <c r="AT55" s="517">
        <v>2.88</v>
      </c>
      <c r="AU55" s="517">
        <v>2.98</v>
      </c>
      <c r="AV55" s="517">
        <v>2.92</v>
      </c>
      <c r="AW55" s="517">
        <v>3.02</v>
      </c>
      <c r="AX55" s="517">
        <v>2.97</v>
      </c>
      <c r="AY55" s="517">
        <v>3.07</v>
      </c>
      <c r="AZ55" s="517">
        <v>2.8</v>
      </c>
      <c r="BA55" s="517">
        <v>2.89</v>
      </c>
      <c r="BB55" s="517">
        <v>2.84</v>
      </c>
      <c r="BC55" s="517">
        <v>2.93</v>
      </c>
      <c r="BD55" s="517">
        <v>2.89</v>
      </c>
      <c r="BE55" s="517">
        <v>2.98</v>
      </c>
      <c r="BF55" s="517">
        <v>2.93</v>
      </c>
      <c r="BG55" s="517">
        <v>3.02</v>
      </c>
      <c r="BH55" s="517">
        <v>2.14</v>
      </c>
      <c r="BI55" s="517">
        <v>2.33</v>
      </c>
      <c r="BJ55" s="442">
        <f>IF($C$2=15.5,J55,IF($C$2=16.5,L55,IF($C$2=17.5,N55,IF($C$2=18.5,P55,IF($C$2=19.5,R55,IF($C$2=20.5,T55,IF($C$2=21.5,V55,IF($C$2=22.5,X55,IF($C$2=23.5,Z55,IF($C$2=24.5,AB55,IF($C$2=25.5,AD55,IF($C$2=26.5,AF55,IF($C$2=27.5,AH55,IF($C$2=28.5,AJ55,IF($C$2=29.5,AL55,IF($C$2=30.5,AN55,IF($C$2=31.5,AP55,IF($C$2=32.5,AR55,IF($C$2=33.5,AT55)))))))))))))))))))</f>
        <v>2.84</v>
      </c>
      <c r="BK55" s="442">
        <f t="shared" si="1"/>
        <v>2.94</v>
      </c>
    </row>
    <row r="56" spans="2:63" x14ac:dyDescent="0.45">
      <c r="B56" s="435">
        <v>52</v>
      </c>
      <c r="C56" s="436">
        <f>IF($C$2=34.5,'S3'!AD56,IF($C$2=35.5,'S3'!AF56,IF($C$2=36.5,'S3'!AH56,IF($C$2=37.5,'S3'!AJ56,IF($C$2=38.5,'S3'!AL56,IF($C$2=39.5,'S3'!AN56,IF($C$2=40.5,'S3'!AP56,IF($C$2=27.5,'S3'!P56,IF($C$2=28.5,'S3'!R56,IF($C$2=29.5,'S3'!T56,IF($C$2=30.5,'S3'!V56,IF($C$2=31.5,'S3'!Z56,IF($C$2=32.5,'S3'!Z56,IF($C$2=33.5,'S3'!AB56))))))))))))))</f>
        <v>134.72</v>
      </c>
      <c r="D56" s="436">
        <f>IF($C$2=34.5,'S3'!AE56,IF($C$2=35.5,'S3'!AG56,IF($C$2=36.5,'S3'!AI56,IF($C$2=37.5,'S3'!AK56,IF($C$2=38.5,'S3'!AM56,IF($C$2=39.5,'S3'!AO56,IF($C$2=40.5,'S3'!AQ56,IF($C$2=27.5,'S3'!Q56,IF($C$2=28.5,'S3'!S56,IF($C$2=29.5,'S3'!U56,IF($C$2=30.5,'S3'!W56,IF($C$2=31.5,'S3'!Y56,IF($C$2=32.5,'S3'!AA56,IF($C$2=33.5,'S3'!AC56))))))))))))))</f>
        <v>188.61</v>
      </c>
      <c r="E56" s="437">
        <f>IF($E$2=34.5,'S3'!BP56,IF($E$2=35.5,'S3'!BQ56,IF($E$2=36.5,'S3'!BR56,IF($E$2=37.5,'S3'!BS56,IF($E$2=38.5,'S3'!BT56,IF($E$2=39.5,'S3'!BU56,IF($E$2=40.5,'S3'!BV56,IF($E$2=22.5,'S3'!BD56,IF($E$2=23.5,'S3'!BE56,IF($E$2=24.5,'S3'!BF56,IF($E$2=25.5,'S3'!BG56,IF($E$2=26.5,'S3'!BH56,IF($E$2=27.5,'S3'!BI56,IF($E$2=28.5,'S3'!BJ56,IF($E$2=29.5,'S3'!BK56,IF($E$2=30.5,'S3'!BL56,IF($E$2=31.5,'S3'!BM56,IF($E$2=32.5,'S3'!BN56,IF($E$2=33.5,'S3'!BO56)))))))))))))))))))</f>
        <v>84.16</v>
      </c>
      <c r="F56" s="437">
        <f t="shared" si="0"/>
        <v>117.82</v>
      </c>
      <c r="H56" s="439"/>
      <c r="I56" s="449"/>
      <c r="J56" s="439"/>
      <c r="K56" s="439"/>
      <c r="L56" s="439"/>
      <c r="M56" s="439"/>
      <c r="N56" s="439"/>
      <c r="O56" s="439"/>
      <c r="P56" s="439"/>
      <c r="Q56" s="439"/>
      <c r="R56" s="439"/>
      <c r="S56" s="439"/>
      <c r="T56" s="439"/>
      <c r="U56" s="439"/>
      <c r="V56" s="439"/>
      <c r="W56" s="439"/>
      <c r="X56" s="441"/>
      <c r="Y56" s="441"/>
      <c r="Z56" s="441"/>
      <c r="AA56" s="441"/>
      <c r="AB56" s="441"/>
      <c r="AC56" s="441"/>
      <c r="AD56" s="441"/>
      <c r="AE56" s="441"/>
      <c r="AF56" s="441"/>
      <c r="AG56" s="441"/>
      <c r="AH56" s="441"/>
      <c r="AI56" s="441"/>
      <c r="AJ56" s="441"/>
      <c r="AK56" s="441"/>
      <c r="AL56" s="441"/>
      <c r="AM56" s="441"/>
      <c r="AN56" s="441"/>
      <c r="AO56" s="441"/>
      <c r="AP56" s="439"/>
      <c r="AQ56" s="439"/>
      <c r="AR56" s="439"/>
      <c r="AS56" s="439"/>
      <c r="AT56" s="439"/>
      <c r="AU56" s="439"/>
      <c r="AV56" s="439"/>
      <c r="AW56" s="439"/>
      <c r="AX56" s="439"/>
      <c r="AY56" s="439"/>
      <c r="AZ56" s="439"/>
      <c r="BA56" s="439"/>
      <c r="BB56" s="439"/>
      <c r="BC56" s="439"/>
      <c r="BD56" s="439"/>
      <c r="BE56" s="439"/>
      <c r="BF56" s="439"/>
      <c r="BG56" s="439"/>
      <c r="BH56" s="439"/>
      <c r="BI56" s="439"/>
      <c r="BJ56" s="439"/>
      <c r="BK56" s="439"/>
    </row>
    <row r="57" spans="2:63" x14ac:dyDescent="0.45">
      <c r="B57" s="435">
        <v>53</v>
      </c>
      <c r="C57" s="436">
        <f>IF($C$2=34.5,'S3'!AD57,IF($C$2=35.5,'S3'!AF57,IF($C$2=36.5,'S3'!AH57,IF($C$2=37.5,'S3'!AJ57,IF($C$2=38.5,'S3'!AL57,IF($C$2=39.5,'S3'!AN57,IF($C$2=40.5,'S3'!AP57,IF($C$2=27.5,'S3'!P57,IF($C$2=28.5,'S3'!R57,IF($C$2=29.5,'S3'!T57,IF($C$2=30.5,'S3'!V57,IF($C$2=31.5,'S3'!Z57,IF($C$2=32.5,'S3'!Z57,IF($C$2=33.5,'S3'!AB57))))))))))))))</f>
        <v>137.28</v>
      </c>
      <c r="D57" s="436">
        <f>IF($C$2=34.5,'S3'!AE57,IF($C$2=35.5,'S3'!AG57,IF($C$2=36.5,'S3'!AI57,IF($C$2=37.5,'S3'!AK57,IF($C$2=38.5,'S3'!AM57,IF($C$2=39.5,'S3'!AO57,IF($C$2=40.5,'S3'!AQ57,IF($C$2=27.5,'S3'!Q57,IF($C$2=28.5,'S3'!S57,IF($C$2=29.5,'S3'!U57,IF($C$2=30.5,'S3'!W57,IF($C$2=31.5,'S3'!Y57,IF($C$2=32.5,'S3'!AA57,IF($C$2=33.5,'S3'!AC57))))))))))))))</f>
        <v>192.19</v>
      </c>
      <c r="E57" s="437">
        <f>IF($E$2=34.5,'S3'!BP57,IF($E$2=35.5,'S3'!BQ57,IF($E$2=36.5,'S3'!BR57,IF($E$2=37.5,'S3'!BS57,IF($E$2=38.5,'S3'!BT57,IF($E$2=39.5,'S3'!BU57,IF($E$2=40.5,'S3'!BV57,IF($E$2=22.5,'S3'!BD57,IF($E$2=23.5,'S3'!BE57,IF($E$2=24.5,'S3'!BF57,IF($E$2=25.5,'S3'!BG57,IF($E$2=26.5,'S3'!BH57,IF($E$2=27.5,'S3'!BI57,IF($E$2=28.5,'S3'!BJ57,IF($E$2=29.5,'S3'!BK57,IF($E$2=30.5,'S3'!BL57,IF($E$2=31.5,'S3'!BM57,IF($E$2=32.5,'S3'!BN57,IF($E$2=33.5,'S3'!BO57)))))))))))))))))))</f>
        <v>85.77</v>
      </c>
      <c r="F57" s="437">
        <f t="shared" si="0"/>
        <v>120.08</v>
      </c>
      <c r="H57" s="420"/>
      <c r="I57" s="421"/>
      <c r="J57" s="420"/>
      <c r="K57" s="420"/>
      <c r="L57" s="420"/>
      <c r="M57" s="420"/>
      <c r="N57" s="420"/>
      <c r="O57" s="420"/>
      <c r="P57" s="420"/>
      <c r="Q57" s="420"/>
      <c r="R57" s="420"/>
      <c r="S57" s="420"/>
      <c r="T57" s="420"/>
      <c r="U57" s="420"/>
      <c r="V57" s="420"/>
      <c r="W57" s="420"/>
      <c r="X57" s="520"/>
      <c r="Y57" s="520"/>
      <c r="Z57" s="520"/>
      <c r="AA57" s="520"/>
      <c r="AB57" s="520"/>
      <c r="AC57" s="520"/>
      <c r="AD57" s="520"/>
      <c r="AE57" s="520"/>
      <c r="AF57" s="520"/>
      <c r="AG57" s="520"/>
      <c r="AH57" s="520"/>
      <c r="AI57" s="520"/>
      <c r="AJ57" s="520"/>
      <c r="AK57" s="520"/>
      <c r="AL57" s="520"/>
      <c r="AM57" s="520"/>
      <c r="AN57" s="520"/>
      <c r="AO57" s="520"/>
      <c r="AP57" s="420"/>
      <c r="AQ57" s="420"/>
      <c r="AR57" s="420"/>
      <c r="AS57" s="420"/>
      <c r="AT57" s="420"/>
      <c r="AU57" s="420"/>
      <c r="AV57" s="420"/>
      <c r="AW57" s="420"/>
      <c r="AX57" s="420"/>
      <c r="AY57" s="420"/>
      <c r="AZ57" s="420"/>
      <c r="BA57" s="420"/>
      <c r="BB57" s="420"/>
      <c r="BC57" s="420"/>
      <c r="BD57" s="420"/>
      <c r="BE57" s="420"/>
      <c r="BF57" s="420"/>
      <c r="BG57" s="420"/>
      <c r="BH57" s="420"/>
      <c r="BI57" s="420"/>
      <c r="BJ57" s="420"/>
      <c r="BK57" s="420"/>
    </row>
    <row r="58" spans="2:63" x14ac:dyDescent="0.45">
      <c r="B58" s="435">
        <v>54</v>
      </c>
      <c r="C58" s="436">
        <f>IF($C$2=34.5,'S3'!AD58,IF($C$2=35.5,'S3'!AF58,IF($C$2=36.5,'S3'!AH58,IF($C$2=37.5,'S3'!AJ58,IF($C$2=38.5,'S3'!AL58,IF($C$2=39.5,'S3'!AN58,IF($C$2=40.5,'S3'!AP58,IF($C$2=27.5,'S3'!P58,IF($C$2=28.5,'S3'!R58,IF($C$2=29.5,'S3'!T58,IF($C$2=30.5,'S3'!V58,IF($C$2=31.5,'S3'!Z58,IF($C$2=32.5,'S3'!Z58,IF($C$2=33.5,'S3'!AB58))))))))))))))</f>
        <v>139.87</v>
      </c>
      <c r="D58" s="436">
        <f>IF($C$2=34.5,'S3'!AE58,IF($C$2=35.5,'S3'!AG58,IF($C$2=36.5,'S3'!AI58,IF($C$2=37.5,'S3'!AK58,IF($C$2=38.5,'S3'!AM58,IF($C$2=39.5,'S3'!AO58,IF($C$2=40.5,'S3'!AQ58,IF($C$2=27.5,'S3'!Q58,IF($C$2=28.5,'S3'!S58,IF($C$2=29.5,'S3'!U58,IF($C$2=30.5,'S3'!W58,IF($C$2=31.5,'S3'!Y58,IF($C$2=32.5,'S3'!AA58,IF($C$2=33.5,'S3'!AC58))))))))))))))</f>
        <v>195.82</v>
      </c>
      <c r="E58" s="437">
        <f>IF($E$2=34.5,'S3'!BP58,IF($E$2=35.5,'S3'!BQ58,IF($E$2=36.5,'S3'!BR58,IF($E$2=37.5,'S3'!BS58,IF($E$2=38.5,'S3'!BT58,IF($E$2=39.5,'S3'!BU58,IF($E$2=40.5,'S3'!BV58,IF($E$2=22.5,'S3'!BD58,IF($E$2=23.5,'S3'!BE58,IF($E$2=24.5,'S3'!BF58,IF($E$2=25.5,'S3'!BG58,IF($E$2=26.5,'S3'!BH58,IF($E$2=27.5,'S3'!BI58,IF($E$2=28.5,'S3'!BJ58,IF($E$2=29.5,'S3'!BK58,IF($E$2=30.5,'S3'!BL58,IF($E$2=31.5,'S3'!BM58,IF($E$2=32.5,'S3'!BN58,IF($E$2=33.5,'S3'!BO58)))))))))))))))))))</f>
        <v>87.37</v>
      </c>
      <c r="F58" s="437">
        <f t="shared" si="0"/>
        <v>122.32</v>
      </c>
    </row>
    <row r="59" spans="2:63" x14ac:dyDescent="0.45">
      <c r="B59" s="435">
        <v>55</v>
      </c>
      <c r="C59" s="436">
        <f>IF($C$2=34.5,'S3'!AD59,IF($C$2=35.5,'S3'!AF59,IF($C$2=36.5,'S3'!AH59,IF($C$2=37.5,'S3'!AJ59,IF($C$2=38.5,'S3'!AL59,IF($C$2=39.5,'S3'!AN59,IF($C$2=40.5,'S3'!AP59,IF($C$2=27.5,'S3'!P59,IF($C$2=28.5,'S3'!R59,IF($C$2=29.5,'S3'!T59,IF($C$2=30.5,'S3'!V59,IF($C$2=31.5,'S3'!Z59,IF($C$2=32.5,'S3'!Z59,IF($C$2=33.5,'S3'!AB59))))))))))))))</f>
        <v>142.41999999999999</v>
      </c>
      <c r="D59" s="436">
        <f>IF($C$2=34.5,'S3'!AE59,IF($C$2=35.5,'S3'!AG59,IF($C$2=36.5,'S3'!AI59,IF($C$2=37.5,'S3'!AK59,IF($C$2=38.5,'S3'!AM59,IF($C$2=39.5,'S3'!AO59,IF($C$2=40.5,'S3'!AQ59,IF($C$2=27.5,'S3'!Q59,IF($C$2=28.5,'S3'!S59,IF($C$2=29.5,'S3'!U59,IF($C$2=30.5,'S3'!W59,IF($C$2=31.5,'S3'!Y59,IF($C$2=32.5,'S3'!AA59,IF($C$2=33.5,'S3'!AC59))))))))))))))</f>
        <v>199.39</v>
      </c>
      <c r="E59" s="437">
        <f>IF($E$2=34.5,'S3'!BP59,IF($E$2=35.5,'S3'!BQ59,IF($E$2=36.5,'S3'!BR59,IF($E$2=37.5,'S3'!BS59,IF($E$2=38.5,'S3'!BT59,IF($E$2=39.5,'S3'!BU59,IF($E$2=40.5,'S3'!BV59,IF($E$2=22.5,'S3'!BD59,IF($E$2=23.5,'S3'!BE59,IF($E$2=24.5,'S3'!BF59,IF($E$2=25.5,'S3'!BG59,IF($E$2=26.5,'S3'!BH59,IF($E$2=27.5,'S3'!BI59,IF($E$2=28.5,'S3'!BJ59,IF($E$2=29.5,'S3'!BK59,IF($E$2=30.5,'S3'!BL59,IF($E$2=31.5,'S3'!BM59,IF($E$2=32.5,'S3'!BN59,IF($E$2=33.5,'S3'!BO59)))))))))))))))))))</f>
        <v>88.99</v>
      </c>
      <c r="F59" s="437">
        <f t="shared" si="0"/>
        <v>124.59</v>
      </c>
    </row>
    <row r="60" spans="2:63" x14ac:dyDescent="0.45">
      <c r="B60" s="435">
        <v>56</v>
      </c>
      <c r="C60" s="436">
        <f>IF($C$2=34.5,'S3'!AD60,IF($C$2=35.5,'S3'!AF60,IF($C$2=36.5,'S3'!AH60,IF($C$2=37.5,'S3'!AJ60,IF($C$2=38.5,'S3'!AL60,IF($C$2=39.5,'S3'!AN60,IF($C$2=40.5,'S3'!AP60,IF($C$2=27.5,'S3'!P60,IF($C$2=28.5,'S3'!R60,IF($C$2=29.5,'S3'!T60,IF($C$2=30.5,'S3'!V60,IF($C$2=31.5,'S3'!Z60,IF($C$2=32.5,'S3'!Z60,IF($C$2=33.5,'S3'!AB60))))))))))))))</f>
        <v>144.97999999999999</v>
      </c>
      <c r="D60" s="436">
        <f>IF($C$2=34.5,'S3'!AE60,IF($C$2=35.5,'S3'!AG60,IF($C$2=36.5,'S3'!AI60,IF($C$2=37.5,'S3'!AK60,IF($C$2=38.5,'S3'!AM60,IF($C$2=39.5,'S3'!AO60,IF($C$2=40.5,'S3'!AQ60,IF($C$2=27.5,'S3'!Q60,IF($C$2=28.5,'S3'!S60,IF($C$2=29.5,'S3'!U60,IF($C$2=30.5,'S3'!W60,IF($C$2=31.5,'S3'!Y60,IF($C$2=32.5,'S3'!AA60,IF($C$2=33.5,'S3'!AC60))))))))))))))</f>
        <v>202.97</v>
      </c>
      <c r="E60" s="437">
        <f>IF($E$2=34.5,'S3'!BP60,IF($E$2=35.5,'S3'!BQ60,IF($E$2=36.5,'S3'!BR60,IF($E$2=37.5,'S3'!BS60,IF($E$2=38.5,'S3'!BT60,IF($E$2=39.5,'S3'!BU60,IF($E$2=40.5,'S3'!BV60,IF($E$2=22.5,'S3'!BD60,IF($E$2=23.5,'S3'!BE60,IF($E$2=24.5,'S3'!BF60,IF($E$2=25.5,'S3'!BG60,IF($E$2=26.5,'S3'!BH60,IF($E$2=27.5,'S3'!BI60,IF($E$2=28.5,'S3'!BJ60,IF($E$2=29.5,'S3'!BK60,IF($E$2=30.5,'S3'!BL60,IF($E$2=31.5,'S3'!BM60,IF($E$2=32.5,'S3'!BN60,IF($E$2=33.5,'S3'!BO60)))))))))))))))))))</f>
        <v>90.59</v>
      </c>
      <c r="F60" s="437">
        <f t="shared" si="0"/>
        <v>126.83</v>
      </c>
    </row>
    <row r="61" spans="2:63" x14ac:dyDescent="0.45">
      <c r="B61" s="435">
        <v>57</v>
      </c>
      <c r="C61" s="436">
        <f>IF($C$2=34.5,'S3'!AD61,IF($C$2=35.5,'S3'!AF61,IF($C$2=36.5,'S3'!AH61,IF($C$2=37.5,'S3'!AJ61,IF($C$2=38.5,'S3'!AL61,IF($C$2=39.5,'S3'!AN61,IF($C$2=40.5,'S3'!AP61,IF($C$2=27.5,'S3'!P61,IF($C$2=28.5,'S3'!R61,IF($C$2=29.5,'S3'!T61,IF($C$2=30.5,'S3'!V61,IF($C$2=31.5,'S3'!Z61,IF($C$2=32.5,'S3'!Z61,IF($C$2=33.5,'S3'!AB61))))))))))))))</f>
        <v>147.56</v>
      </c>
      <c r="D61" s="436">
        <f>IF($C$2=34.5,'S3'!AE61,IF($C$2=35.5,'S3'!AG61,IF($C$2=36.5,'S3'!AI61,IF($C$2=37.5,'S3'!AK61,IF($C$2=38.5,'S3'!AM61,IF($C$2=39.5,'S3'!AO61,IF($C$2=40.5,'S3'!AQ61,IF($C$2=27.5,'S3'!Q61,IF($C$2=28.5,'S3'!S61,IF($C$2=29.5,'S3'!U61,IF($C$2=30.5,'S3'!W61,IF($C$2=31.5,'S3'!Y61,IF($C$2=32.5,'S3'!AA61,IF($C$2=33.5,'S3'!AC61))))))))))))))</f>
        <v>206.58</v>
      </c>
      <c r="E61" s="437">
        <f>IF($E$2=34.5,'S3'!BP61,IF($E$2=35.5,'S3'!BQ61,IF($E$2=36.5,'S3'!BR61,IF($E$2=37.5,'S3'!BS61,IF($E$2=38.5,'S3'!BT61,IF($E$2=39.5,'S3'!BU61,IF($E$2=40.5,'S3'!BV61,IF($E$2=22.5,'S3'!BD61,IF($E$2=23.5,'S3'!BE61,IF($E$2=24.5,'S3'!BF61,IF($E$2=25.5,'S3'!BG61,IF($E$2=26.5,'S3'!BH61,IF($E$2=27.5,'S3'!BI61,IF($E$2=28.5,'S3'!BJ61,IF($E$2=29.5,'S3'!BK61,IF($E$2=30.5,'S3'!BL61,IF($E$2=31.5,'S3'!BM61,IF($E$2=32.5,'S3'!BN61,IF($E$2=33.5,'S3'!BO61)))))))))))))))))))</f>
        <v>92.19</v>
      </c>
      <c r="F61" s="437">
        <f t="shared" si="0"/>
        <v>129.07</v>
      </c>
    </row>
    <row r="62" spans="2:63" x14ac:dyDescent="0.45">
      <c r="B62" s="435">
        <v>58</v>
      </c>
      <c r="C62" s="436">
        <f>IF($C$2=34.5,'S3'!AD62,IF($C$2=35.5,'S3'!AF62,IF($C$2=36.5,'S3'!AH62,IF($C$2=37.5,'S3'!AJ62,IF($C$2=38.5,'S3'!AL62,IF($C$2=39.5,'S3'!AN62,IF($C$2=40.5,'S3'!AP62,IF($C$2=27.5,'S3'!P62,IF($C$2=28.5,'S3'!R62,IF($C$2=29.5,'S3'!T62,IF($C$2=30.5,'S3'!V62,IF($C$2=31.5,'S3'!Z62,IF($C$2=32.5,'S3'!Z62,IF($C$2=33.5,'S3'!AB62))))))))))))))</f>
        <v>150.15</v>
      </c>
      <c r="D62" s="436">
        <f>IF($C$2=34.5,'S3'!AE62,IF($C$2=35.5,'S3'!AG62,IF($C$2=36.5,'S3'!AI62,IF($C$2=37.5,'S3'!AK62,IF($C$2=38.5,'S3'!AM62,IF($C$2=39.5,'S3'!AO62,IF($C$2=40.5,'S3'!AQ62,IF($C$2=27.5,'S3'!Q62,IF($C$2=28.5,'S3'!S62,IF($C$2=29.5,'S3'!U62,IF($C$2=30.5,'S3'!W62,IF($C$2=31.5,'S3'!Y62,IF($C$2=32.5,'S3'!AA62,IF($C$2=33.5,'S3'!AC62))))))))))))))</f>
        <v>210.21</v>
      </c>
      <c r="E62" s="437">
        <f>IF($E$2=34.5,'S3'!BP62,IF($E$2=35.5,'S3'!BQ62,IF($E$2=36.5,'S3'!BR62,IF($E$2=37.5,'S3'!BS62,IF($E$2=38.5,'S3'!BT62,IF($E$2=39.5,'S3'!BU62,IF($E$2=40.5,'S3'!BV62,IF($E$2=22.5,'S3'!BD62,IF($E$2=23.5,'S3'!BE62,IF($E$2=24.5,'S3'!BF62,IF($E$2=25.5,'S3'!BG62,IF($E$2=26.5,'S3'!BH62,IF($E$2=27.5,'S3'!BI62,IF($E$2=28.5,'S3'!BJ62,IF($E$2=29.5,'S3'!BK62,IF($E$2=30.5,'S3'!BL62,IF($E$2=31.5,'S3'!BM62,IF($E$2=32.5,'S3'!BN62,IF($E$2=33.5,'S3'!BO62)))))))))))))))))))</f>
        <v>93.8</v>
      </c>
      <c r="F62" s="437">
        <f t="shared" si="0"/>
        <v>131.32</v>
      </c>
    </row>
    <row r="63" spans="2:63" x14ac:dyDescent="0.45">
      <c r="B63" s="435">
        <v>59</v>
      </c>
      <c r="C63" s="436">
        <f>IF($C$2=34.5,'S3'!AD63,IF($C$2=35.5,'S3'!AF63,IF($C$2=36.5,'S3'!AH63,IF($C$2=37.5,'S3'!AJ63,IF($C$2=38.5,'S3'!AL63,IF($C$2=39.5,'S3'!AN63,IF($C$2=40.5,'S3'!AP63,IF($C$2=27.5,'S3'!P63,IF($C$2=28.5,'S3'!R63,IF($C$2=29.5,'S3'!T63,IF($C$2=30.5,'S3'!V63,IF($C$2=31.5,'S3'!Z63,IF($C$2=32.5,'S3'!Z63,IF($C$2=33.5,'S3'!AB63))))))))))))))</f>
        <v>152.69999999999999</v>
      </c>
      <c r="D63" s="436">
        <f>IF($C$2=34.5,'S3'!AE63,IF($C$2=35.5,'S3'!AG63,IF($C$2=36.5,'S3'!AI63,IF($C$2=37.5,'S3'!AK63,IF($C$2=38.5,'S3'!AM63,IF($C$2=39.5,'S3'!AO63,IF($C$2=40.5,'S3'!AQ63,IF($C$2=27.5,'S3'!Q63,IF($C$2=28.5,'S3'!S63,IF($C$2=29.5,'S3'!U63,IF($C$2=30.5,'S3'!W63,IF($C$2=31.5,'S3'!Y63,IF($C$2=32.5,'S3'!AA63,IF($C$2=33.5,'S3'!AC63))))))))))))))</f>
        <v>213.78</v>
      </c>
      <c r="E63" s="437">
        <f>IF($E$2=34.5,'S3'!BP63,IF($E$2=35.5,'S3'!BQ63,IF($E$2=36.5,'S3'!BR63,IF($E$2=37.5,'S3'!BS63,IF($E$2=38.5,'S3'!BT63,IF($E$2=39.5,'S3'!BU63,IF($E$2=40.5,'S3'!BV63,IF($E$2=22.5,'S3'!BD63,IF($E$2=23.5,'S3'!BE63,IF($E$2=24.5,'S3'!BF63,IF($E$2=25.5,'S3'!BG63,IF($E$2=26.5,'S3'!BH63,IF($E$2=27.5,'S3'!BI63,IF($E$2=28.5,'S3'!BJ63,IF($E$2=29.5,'S3'!BK63,IF($E$2=30.5,'S3'!BL63,IF($E$2=31.5,'S3'!BM63,IF($E$2=32.5,'S3'!BN63,IF($E$2=33.5,'S3'!BO63)))))))))))))))))))</f>
        <v>95.41</v>
      </c>
      <c r="F63" s="437">
        <f t="shared" si="0"/>
        <v>133.57</v>
      </c>
    </row>
    <row r="64" spans="2:63" x14ac:dyDescent="0.45">
      <c r="B64" s="435">
        <v>60</v>
      </c>
      <c r="C64" s="436">
        <f>IF($C$2=34.5,'S3'!AD64,IF($C$2=35.5,'S3'!AF64,IF($C$2=36.5,'S3'!AH64,IF($C$2=37.5,'S3'!AJ64,IF($C$2=38.5,'S3'!AL64,IF($C$2=39.5,'S3'!AN64,IF($C$2=40.5,'S3'!AP64,IF($C$2=27.5,'S3'!P64,IF($C$2=28.5,'S3'!R64,IF($C$2=29.5,'S3'!T64,IF($C$2=30.5,'S3'!V64,IF($C$2=31.5,'S3'!Z64,IF($C$2=32.5,'S3'!Z64,IF($C$2=33.5,'S3'!AB64))))))))))))))</f>
        <v>155.26</v>
      </c>
      <c r="D64" s="436">
        <f>IF($C$2=34.5,'S3'!AE64,IF($C$2=35.5,'S3'!AG64,IF($C$2=36.5,'S3'!AI64,IF($C$2=37.5,'S3'!AK64,IF($C$2=38.5,'S3'!AM64,IF($C$2=39.5,'S3'!AO64,IF($C$2=40.5,'S3'!AQ64,IF($C$2=27.5,'S3'!Q64,IF($C$2=28.5,'S3'!S64,IF($C$2=29.5,'S3'!U64,IF($C$2=30.5,'S3'!W64,IF($C$2=31.5,'S3'!Y64,IF($C$2=32.5,'S3'!AA64,IF($C$2=33.5,'S3'!AC64))))))))))))))</f>
        <v>217.36</v>
      </c>
      <c r="E64" s="437">
        <f>IF($E$2=34.5,'S3'!BP64,IF($E$2=35.5,'S3'!BQ64,IF($E$2=36.5,'S3'!BR64,IF($E$2=37.5,'S3'!BS64,IF($E$2=38.5,'S3'!BT64,IF($E$2=39.5,'S3'!BU64,IF($E$2=40.5,'S3'!BV64,IF($E$2=22.5,'S3'!BD64,IF($E$2=23.5,'S3'!BE64,IF($E$2=24.5,'S3'!BF64,IF($E$2=25.5,'S3'!BG64,IF($E$2=26.5,'S3'!BH64,IF($E$2=27.5,'S3'!BI64,IF($E$2=28.5,'S3'!BJ64,IF($E$2=29.5,'S3'!BK64,IF($E$2=30.5,'S3'!BL64,IF($E$2=31.5,'S3'!BM64,IF($E$2=32.5,'S3'!BN64,IF($E$2=33.5,'S3'!BO64)))))))))))))))))))</f>
        <v>97.02</v>
      </c>
      <c r="F64" s="437">
        <f t="shared" si="0"/>
        <v>135.83000000000001</v>
      </c>
    </row>
    <row r="65" spans="2:6" x14ac:dyDescent="0.45">
      <c r="B65" s="435">
        <v>61</v>
      </c>
      <c r="C65" s="436">
        <f>IF($C$2=34.5,'S3'!AD65,IF($C$2=35.5,'S3'!AF65,IF($C$2=36.5,'S3'!AH65,IF($C$2=37.5,'S3'!AJ65,IF($C$2=38.5,'S3'!AL65,IF($C$2=39.5,'S3'!AN65,IF($C$2=40.5,'S3'!AP65,IF($C$2=27.5,'S3'!P65,IF($C$2=28.5,'S3'!R65,IF($C$2=29.5,'S3'!T65,IF($C$2=30.5,'S3'!V65,IF($C$2=31.5,'S3'!Z65,IF($C$2=32.5,'S3'!Z65,IF($C$2=33.5,'S3'!AB65))))))))))))))</f>
        <v>157.84</v>
      </c>
      <c r="D65" s="436">
        <f>IF($C$2=34.5,'S3'!AE65,IF($C$2=35.5,'S3'!AG65,IF($C$2=36.5,'S3'!AI65,IF($C$2=37.5,'S3'!AK65,IF($C$2=38.5,'S3'!AM65,IF($C$2=39.5,'S3'!AO65,IF($C$2=40.5,'S3'!AQ65,IF($C$2=27.5,'S3'!Q65,IF($C$2=28.5,'S3'!S65,IF($C$2=29.5,'S3'!U65,IF($C$2=30.5,'S3'!W65,IF($C$2=31.5,'S3'!Y65,IF($C$2=32.5,'S3'!AA65,IF($C$2=33.5,'S3'!AC65))))))))))))))</f>
        <v>220.98</v>
      </c>
      <c r="E65" s="437">
        <f>IF($E$2=34.5,'S3'!BP65,IF($E$2=35.5,'S3'!BQ65,IF($E$2=36.5,'S3'!BR65,IF($E$2=37.5,'S3'!BS65,IF($E$2=38.5,'S3'!BT65,IF($E$2=39.5,'S3'!BU65,IF($E$2=40.5,'S3'!BV65,IF($E$2=22.5,'S3'!BD65,IF($E$2=23.5,'S3'!BE65,IF($E$2=24.5,'S3'!BF65,IF($E$2=25.5,'S3'!BG65,IF($E$2=26.5,'S3'!BH65,IF($E$2=27.5,'S3'!BI65,IF($E$2=28.5,'S3'!BJ65,IF($E$2=29.5,'S3'!BK65,IF($E$2=30.5,'S3'!BL65,IF($E$2=31.5,'S3'!BM65,IF($E$2=32.5,'S3'!BN65,IF($E$2=33.5,'S3'!BO65)))))))))))))))))))</f>
        <v>98.63</v>
      </c>
      <c r="F65" s="437">
        <f t="shared" si="0"/>
        <v>138.08000000000001</v>
      </c>
    </row>
    <row r="66" spans="2:6" x14ac:dyDescent="0.45">
      <c r="B66" s="435">
        <v>62</v>
      </c>
      <c r="C66" s="436">
        <f>IF($C$2=34.5,'S3'!AD66,IF($C$2=35.5,'S3'!AF66,IF($C$2=36.5,'S3'!AH66,IF($C$2=37.5,'S3'!AJ66,IF($C$2=38.5,'S3'!AL66,IF($C$2=39.5,'S3'!AN66,IF($C$2=40.5,'S3'!AP66,IF($C$2=27.5,'S3'!P66,IF($C$2=28.5,'S3'!R66,IF($C$2=29.5,'S3'!T66,IF($C$2=30.5,'S3'!V66,IF($C$2=31.5,'S3'!Z66,IF($C$2=32.5,'S3'!Z66,IF($C$2=33.5,'S3'!AB66))))))))))))))</f>
        <v>160.43</v>
      </c>
      <c r="D66" s="436">
        <f>IF($C$2=34.5,'S3'!AE66,IF($C$2=35.5,'S3'!AG66,IF($C$2=36.5,'S3'!AI66,IF($C$2=37.5,'S3'!AK66,IF($C$2=38.5,'S3'!AM66,IF($C$2=39.5,'S3'!AO66,IF($C$2=40.5,'S3'!AQ66,IF($C$2=27.5,'S3'!Q66,IF($C$2=28.5,'S3'!S66,IF($C$2=29.5,'S3'!U66,IF($C$2=30.5,'S3'!W66,IF($C$2=31.5,'S3'!Y66,IF($C$2=32.5,'S3'!AA66,IF($C$2=33.5,'S3'!AC66))))))))))))))</f>
        <v>224.6</v>
      </c>
      <c r="E66" s="437">
        <f>IF($E$2=34.5,'S3'!BP66,IF($E$2=35.5,'S3'!BQ66,IF($E$2=36.5,'S3'!BR66,IF($E$2=37.5,'S3'!BS66,IF($E$2=38.5,'S3'!BT66,IF($E$2=39.5,'S3'!BU66,IF($E$2=40.5,'S3'!BV66,IF($E$2=22.5,'S3'!BD66,IF($E$2=23.5,'S3'!BE66,IF($E$2=24.5,'S3'!BF66,IF($E$2=25.5,'S3'!BG66,IF($E$2=26.5,'S3'!BH66,IF($E$2=27.5,'S3'!BI66,IF($E$2=28.5,'S3'!BJ66,IF($E$2=29.5,'S3'!BK66,IF($E$2=30.5,'S3'!BL66,IF($E$2=31.5,'S3'!BM66,IF($E$2=32.5,'S3'!BN66,IF($E$2=33.5,'S3'!BO66)))))))))))))))))))</f>
        <v>100.23</v>
      </c>
      <c r="F66" s="437">
        <f t="shared" si="0"/>
        <v>140.32</v>
      </c>
    </row>
    <row r="67" spans="2:6" x14ac:dyDescent="0.45">
      <c r="B67" s="435">
        <v>63</v>
      </c>
      <c r="C67" s="436">
        <f>IF($C$2=34.5,'S3'!AD67,IF($C$2=35.5,'S3'!AF67,IF($C$2=36.5,'S3'!AH67,IF($C$2=37.5,'S3'!AJ67,IF($C$2=38.5,'S3'!AL67,IF($C$2=39.5,'S3'!AN67,IF($C$2=40.5,'S3'!AP67,IF($C$2=27.5,'S3'!P67,IF($C$2=28.5,'S3'!R67,IF($C$2=29.5,'S3'!T67,IF($C$2=30.5,'S3'!V67,IF($C$2=31.5,'S3'!Z67,IF($C$2=32.5,'S3'!Z67,IF($C$2=33.5,'S3'!AB67))))))))))))))</f>
        <v>162.97</v>
      </c>
      <c r="D67" s="436">
        <f>IF($C$2=34.5,'S3'!AE67,IF($C$2=35.5,'S3'!AG67,IF($C$2=36.5,'S3'!AI67,IF($C$2=37.5,'S3'!AK67,IF($C$2=38.5,'S3'!AM67,IF($C$2=39.5,'S3'!AO67,IF($C$2=40.5,'S3'!AQ67,IF($C$2=27.5,'S3'!Q67,IF($C$2=28.5,'S3'!S67,IF($C$2=29.5,'S3'!U67,IF($C$2=30.5,'S3'!W67,IF($C$2=31.5,'S3'!Y67,IF($C$2=32.5,'S3'!AA67,IF($C$2=33.5,'S3'!AC67))))))))))))))</f>
        <v>228.16</v>
      </c>
      <c r="E67" s="437">
        <f>IF($E$2=34.5,'S3'!BP67,IF($E$2=35.5,'S3'!BQ67,IF($E$2=36.5,'S3'!BR67,IF($E$2=37.5,'S3'!BS67,IF($E$2=38.5,'S3'!BT67,IF($E$2=39.5,'S3'!BU67,IF($E$2=40.5,'S3'!BV67,IF($E$2=22.5,'S3'!BD67,IF($E$2=23.5,'S3'!BE67,IF($E$2=24.5,'S3'!BF67,IF($E$2=25.5,'S3'!BG67,IF($E$2=26.5,'S3'!BH67,IF($E$2=27.5,'S3'!BI67,IF($E$2=28.5,'S3'!BJ67,IF($E$2=29.5,'S3'!BK67,IF($E$2=30.5,'S3'!BL67,IF($E$2=31.5,'S3'!BM67,IF($E$2=32.5,'S3'!BN67,IF($E$2=33.5,'S3'!BO67)))))))))))))))))))</f>
        <v>101.84</v>
      </c>
      <c r="F67" s="437">
        <f t="shared" si="0"/>
        <v>142.58000000000001</v>
      </c>
    </row>
    <row r="68" spans="2:6" x14ac:dyDescent="0.45">
      <c r="B68" s="435">
        <v>64</v>
      </c>
      <c r="C68" s="436">
        <f>IF($C$2=34.5,'S3'!AD68,IF($C$2=35.5,'S3'!AF68,IF($C$2=36.5,'S3'!AH68,IF($C$2=37.5,'S3'!AJ68,IF($C$2=38.5,'S3'!AL68,IF($C$2=39.5,'S3'!AN68,IF($C$2=40.5,'S3'!AP68,IF($C$2=27.5,'S3'!P68,IF($C$2=28.5,'S3'!R68,IF($C$2=29.5,'S3'!T68,IF($C$2=30.5,'S3'!V68,IF($C$2=31.5,'S3'!Z68,IF($C$2=32.5,'S3'!Z68,IF($C$2=33.5,'S3'!AB68))))))))))))))</f>
        <v>165.52</v>
      </c>
      <c r="D68" s="436">
        <f>IF($C$2=34.5,'S3'!AE68,IF($C$2=35.5,'S3'!AG68,IF($C$2=36.5,'S3'!AI68,IF($C$2=37.5,'S3'!AK68,IF($C$2=38.5,'S3'!AM68,IF($C$2=39.5,'S3'!AO68,IF($C$2=40.5,'S3'!AQ68,IF($C$2=27.5,'S3'!Q68,IF($C$2=28.5,'S3'!S68,IF($C$2=29.5,'S3'!U68,IF($C$2=30.5,'S3'!W68,IF($C$2=31.5,'S3'!Y68,IF($C$2=32.5,'S3'!AA68,IF($C$2=33.5,'S3'!AC68))))))))))))))</f>
        <v>231.73</v>
      </c>
      <c r="E68" s="437">
        <f>IF($E$2=34.5,'S3'!BP68,IF($E$2=35.5,'S3'!BQ68,IF($E$2=36.5,'S3'!BR68,IF($E$2=37.5,'S3'!BS68,IF($E$2=38.5,'S3'!BT68,IF($E$2=39.5,'S3'!BU68,IF($E$2=40.5,'S3'!BV68,IF($E$2=22.5,'S3'!BD68,IF($E$2=23.5,'S3'!BE68,IF($E$2=24.5,'S3'!BF68,IF($E$2=25.5,'S3'!BG68,IF($E$2=26.5,'S3'!BH68,IF($E$2=27.5,'S3'!BI68,IF($E$2=28.5,'S3'!BJ68,IF($E$2=29.5,'S3'!BK68,IF($E$2=30.5,'S3'!BL68,IF($E$2=31.5,'S3'!BM68,IF($E$2=32.5,'S3'!BN68,IF($E$2=33.5,'S3'!BO68)))))))))))))))))))</f>
        <v>103.45</v>
      </c>
      <c r="F68" s="437">
        <f t="shared" si="0"/>
        <v>144.83000000000001</v>
      </c>
    </row>
    <row r="69" spans="2:6" x14ac:dyDescent="0.45">
      <c r="B69" s="435">
        <v>65</v>
      </c>
      <c r="C69" s="436">
        <f>IF($C$2=34.5,'S3'!AD69,IF($C$2=35.5,'S3'!AF69,IF($C$2=36.5,'S3'!AH69,IF($C$2=37.5,'S3'!AJ69,IF($C$2=38.5,'S3'!AL69,IF($C$2=39.5,'S3'!AN69,IF($C$2=40.5,'S3'!AP69,IF($C$2=27.5,'S3'!P69,IF($C$2=28.5,'S3'!R69,IF($C$2=29.5,'S3'!T69,IF($C$2=30.5,'S3'!V69,IF($C$2=31.5,'S3'!Z69,IF($C$2=32.5,'S3'!Z69,IF($C$2=33.5,'S3'!AB69))))))))))))))</f>
        <v>168.08</v>
      </c>
      <c r="D69" s="436">
        <f>IF($C$2=34.5,'S3'!AE69,IF($C$2=35.5,'S3'!AG69,IF($C$2=36.5,'S3'!AI69,IF($C$2=37.5,'S3'!AK69,IF($C$2=38.5,'S3'!AM69,IF($C$2=39.5,'S3'!AO69,IF($C$2=40.5,'S3'!AQ69,IF($C$2=27.5,'S3'!Q69,IF($C$2=28.5,'S3'!S69,IF($C$2=29.5,'S3'!U69,IF($C$2=30.5,'S3'!W69,IF($C$2=31.5,'S3'!Y69,IF($C$2=32.5,'S3'!AA69,IF($C$2=33.5,'S3'!AC69))))))))))))))</f>
        <v>235.31</v>
      </c>
      <c r="E69" s="437">
        <f>IF($E$2=34.5,'S3'!BP69,IF($E$2=35.5,'S3'!BQ69,IF($E$2=36.5,'S3'!BR69,IF($E$2=37.5,'S3'!BS69,IF($E$2=38.5,'S3'!BT69,IF($E$2=39.5,'S3'!BU69,IF($E$2=40.5,'S3'!BV69,IF($E$2=22.5,'S3'!BD69,IF($E$2=23.5,'S3'!BE69,IF($E$2=24.5,'S3'!BF69,IF($E$2=25.5,'S3'!BG69,IF($E$2=26.5,'S3'!BH69,IF($E$2=27.5,'S3'!BI69,IF($E$2=28.5,'S3'!BJ69,IF($E$2=29.5,'S3'!BK69,IF($E$2=30.5,'S3'!BL69,IF($E$2=31.5,'S3'!BM69,IF($E$2=32.5,'S3'!BN69,IF($E$2=33.5,'S3'!BO69)))))))))))))))))))</f>
        <v>105.04</v>
      </c>
      <c r="F69" s="437">
        <f t="shared" si="0"/>
        <v>147.06</v>
      </c>
    </row>
    <row r="70" spans="2:6" x14ac:dyDescent="0.45">
      <c r="B70" s="435">
        <v>66</v>
      </c>
      <c r="C70" s="436">
        <f>IF($C$2=34.5,'S3'!AD70,IF($C$2=35.5,'S3'!AF70,IF($C$2=36.5,'S3'!AH70,IF($C$2=37.5,'S3'!AJ70,IF($C$2=38.5,'S3'!AL70,IF($C$2=39.5,'S3'!AN70,IF($C$2=40.5,'S3'!AP70,IF($C$2=27.5,'S3'!P70,IF($C$2=28.5,'S3'!R70,IF($C$2=29.5,'S3'!T70,IF($C$2=30.5,'S3'!V70,IF($C$2=31.5,'S3'!Z70,IF($C$2=32.5,'S3'!Z70,IF($C$2=33.5,'S3'!AB70))))))))))))))</f>
        <v>170.66</v>
      </c>
      <c r="D70" s="436">
        <f>IF($C$2=34.5,'S3'!AE70,IF($C$2=35.5,'S3'!AG70,IF($C$2=36.5,'S3'!AI70,IF($C$2=37.5,'S3'!AK70,IF($C$2=38.5,'S3'!AM70,IF($C$2=39.5,'S3'!AO70,IF($C$2=40.5,'S3'!AQ70,IF($C$2=27.5,'S3'!Q70,IF($C$2=28.5,'S3'!S70,IF($C$2=29.5,'S3'!U70,IF($C$2=30.5,'S3'!W70,IF($C$2=31.5,'S3'!Y70,IF($C$2=32.5,'S3'!AA70,IF($C$2=33.5,'S3'!AC70))))))))))))))</f>
        <v>238.92</v>
      </c>
      <c r="E70" s="437">
        <f>IF($E$2=34.5,'S3'!BP70,IF($E$2=35.5,'S3'!BQ70,IF($E$2=36.5,'S3'!BR70,IF($E$2=37.5,'S3'!BS70,IF($E$2=38.5,'S3'!BT70,IF($E$2=39.5,'S3'!BU70,IF($E$2=40.5,'S3'!BV70,IF($E$2=22.5,'S3'!BD70,IF($E$2=23.5,'S3'!BE70,IF($E$2=24.5,'S3'!BF70,IF($E$2=25.5,'S3'!BG70,IF($E$2=26.5,'S3'!BH70,IF($E$2=27.5,'S3'!BI70,IF($E$2=28.5,'S3'!BJ70,IF($E$2=29.5,'S3'!BK70,IF($E$2=30.5,'S3'!BL70,IF($E$2=31.5,'S3'!BM70,IF($E$2=32.5,'S3'!BN70,IF($E$2=33.5,'S3'!BO70)))))))))))))))))))</f>
        <v>106.66</v>
      </c>
      <c r="F70" s="437">
        <f t="shared" ref="F70:F133" si="4">ROUND(E70*1.4,2)</f>
        <v>149.32</v>
      </c>
    </row>
    <row r="71" spans="2:6" x14ac:dyDescent="0.45">
      <c r="B71" s="435">
        <v>67</v>
      </c>
      <c r="C71" s="436">
        <f>IF($C$2=34.5,'S3'!AD71,IF($C$2=35.5,'S3'!AF71,IF($C$2=36.5,'S3'!AH71,IF($C$2=37.5,'S3'!AJ71,IF($C$2=38.5,'S3'!AL71,IF($C$2=39.5,'S3'!AN71,IF($C$2=40.5,'S3'!AP71,IF($C$2=27.5,'S3'!P71,IF($C$2=28.5,'S3'!R71,IF($C$2=29.5,'S3'!T71,IF($C$2=30.5,'S3'!V71,IF($C$2=31.5,'S3'!Z71,IF($C$2=32.5,'S3'!Z71,IF($C$2=33.5,'S3'!AB71))))))))))))))</f>
        <v>173.25</v>
      </c>
      <c r="D71" s="436">
        <f>IF($C$2=34.5,'S3'!AE71,IF($C$2=35.5,'S3'!AG71,IF($C$2=36.5,'S3'!AI71,IF($C$2=37.5,'S3'!AK71,IF($C$2=38.5,'S3'!AM71,IF($C$2=39.5,'S3'!AO71,IF($C$2=40.5,'S3'!AQ71,IF($C$2=27.5,'S3'!Q71,IF($C$2=28.5,'S3'!S71,IF($C$2=29.5,'S3'!U71,IF($C$2=30.5,'S3'!W71,IF($C$2=31.5,'S3'!Y71,IF($C$2=32.5,'S3'!AA71,IF($C$2=33.5,'S3'!AC71))))))))))))))</f>
        <v>242.55</v>
      </c>
      <c r="E71" s="437">
        <f>IF($E$2=34.5,'S3'!BP71,IF($E$2=35.5,'S3'!BQ71,IF($E$2=36.5,'S3'!BR71,IF($E$2=37.5,'S3'!BS71,IF($E$2=38.5,'S3'!BT71,IF($E$2=39.5,'S3'!BU71,IF($E$2=40.5,'S3'!BV71,IF($E$2=22.5,'S3'!BD71,IF($E$2=23.5,'S3'!BE71,IF($E$2=24.5,'S3'!BF71,IF($E$2=25.5,'S3'!BG71,IF($E$2=26.5,'S3'!BH71,IF($E$2=27.5,'S3'!BI71,IF($E$2=28.5,'S3'!BJ71,IF($E$2=29.5,'S3'!BK71,IF($E$2=30.5,'S3'!BL71,IF($E$2=31.5,'S3'!BM71,IF($E$2=32.5,'S3'!BN71,IF($E$2=33.5,'S3'!BO71)))))))))))))))))))</f>
        <v>108.26</v>
      </c>
      <c r="F71" s="437">
        <f t="shared" si="4"/>
        <v>151.56</v>
      </c>
    </row>
    <row r="72" spans="2:6" x14ac:dyDescent="0.45">
      <c r="B72" s="435">
        <v>68</v>
      </c>
      <c r="C72" s="436">
        <f>IF($C$2=34.5,'S3'!AD72,IF($C$2=35.5,'S3'!AF72,IF($C$2=36.5,'S3'!AH72,IF($C$2=37.5,'S3'!AJ72,IF($C$2=38.5,'S3'!AL72,IF($C$2=39.5,'S3'!AN72,IF($C$2=40.5,'S3'!AP72,IF($C$2=27.5,'S3'!P72,IF($C$2=28.5,'S3'!R72,IF($C$2=29.5,'S3'!T72,IF($C$2=30.5,'S3'!V72,IF($C$2=31.5,'S3'!Z72,IF($C$2=32.5,'S3'!Z72,IF($C$2=33.5,'S3'!AB72))))))))))))))</f>
        <v>175.77</v>
      </c>
      <c r="D72" s="436">
        <f>IF($C$2=34.5,'S3'!AE72,IF($C$2=35.5,'S3'!AG72,IF($C$2=36.5,'S3'!AI72,IF($C$2=37.5,'S3'!AK72,IF($C$2=38.5,'S3'!AM72,IF($C$2=39.5,'S3'!AO72,IF($C$2=40.5,'S3'!AQ72,IF($C$2=27.5,'S3'!Q72,IF($C$2=28.5,'S3'!S72,IF($C$2=29.5,'S3'!U72,IF($C$2=30.5,'S3'!W72,IF($C$2=31.5,'S3'!Y72,IF($C$2=32.5,'S3'!AA72,IF($C$2=33.5,'S3'!AC72))))))))))))))</f>
        <v>246.08</v>
      </c>
      <c r="E72" s="437">
        <f>IF($E$2=34.5,'S3'!BP72,IF($E$2=35.5,'S3'!BQ72,IF($E$2=36.5,'S3'!BR72,IF($E$2=37.5,'S3'!BS72,IF($E$2=38.5,'S3'!BT72,IF($E$2=39.5,'S3'!BU72,IF($E$2=40.5,'S3'!BV72,IF($E$2=22.5,'S3'!BD72,IF($E$2=23.5,'S3'!BE72,IF($E$2=24.5,'S3'!BF72,IF($E$2=25.5,'S3'!BG72,IF($E$2=26.5,'S3'!BH72,IF($E$2=27.5,'S3'!BI72,IF($E$2=28.5,'S3'!BJ72,IF($E$2=29.5,'S3'!BK72,IF($E$2=30.5,'S3'!BL72,IF($E$2=31.5,'S3'!BM72,IF($E$2=32.5,'S3'!BN72,IF($E$2=33.5,'S3'!BO72)))))))))))))))))))</f>
        <v>109.86</v>
      </c>
      <c r="F72" s="437">
        <f t="shared" si="4"/>
        <v>153.80000000000001</v>
      </c>
    </row>
    <row r="73" spans="2:6" x14ac:dyDescent="0.45">
      <c r="B73" s="435">
        <v>69</v>
      </c>
      <c r="C73" s="436">
        <f>IF($C$2=34.5,'S3'!AD73,IF($C$2=35.5,'S3'!AF73,IF($C$2=36.5,'S3'!AH73,IF($C$2=37.5,'S3'!AJ73,IF($C$2=38.5,'S3'!AL73,IF($C$2=39.5,'S3'!AN73,IF($C$2=40.5,'S3'!AP73,IF($C$2=27.5,'S3'!P73,IF($C$2=28.5,'S3'!R73,IF($C$2=29.5,'S3'!T73,IF($C$2=30.5,'S3'!V73,IF($C$2=31.5,'S3'!Z73,IF($C$2=32.5,'S3'!Z73,IF($C$2=33.5,'S3'!AB73))))))))))))))</f>
        <v>178.39</v>
      </c>
      <c r="D73" s="436">
        <f>IF($C$2=34.5,'S3'!AE73,IF($C$2=35.5,'S3'!AG73,IF($C$2=36.5,'S3'!AI73,IF($C$2=37.5,'S3'!AK73,IF($C$2=38.5,'S3'!AM73,IF($C$2=39.5,'S3'!AO73,IF($C$2=40.5,'S3'!AQ73,IF($C$2=27.5,'S3'!Q73,IF($C$2=28.5,'S3'!S73,IF($C$2=29.5,'S3'!U73,IF($C$2=30.5,'S3'!W73,IF($C$2=31.5,'S3'!Y73,IF($C$2=32.5,'S3'!AA73,IF($C$2=33.5,'S3'!AC73))))))))))))))</f>
        <v>249.75</v>
      </c>
      <c r="E73" s="437">
        <f>IF($E$2=34.5,'S3'!BP73,IF($E$2=35.5,'S3'!BQ73,IF($E$2=36.5,'S3'!BR73,IF($E$2=37.5,'S3'!BS73,IF($E$2=38.5,'S3'!BT73,IF($E$2=39.5,'S3'!BU73,IF($E$2=40.5,'S3'!BV73,IF($E$2=22.5,'S3'!BD73,IF($E$2=23.5,'S3'!BE73,IF($E$2=24.5,'S3'!BF73,IF($E$2=25.5,'S3'!BG73,IF($E$2=26.5,'S3'!BH73,IF($E$2=27.5,'S3'!BI73,IF($E$2=28.5,'S3'!BJ73,IF($E$2=29.5,'S3'!BK73,IF($E$2=30.5,'S3'!BL73,IF($E$2=31.5,'S3'!BM73,IF($E$2=32.5,'S3'!BN73,IF($E$2=33.5,'S3'!BO73)))))))))))))))))))</f>
        <v>111.47</v>
      </c>
      <c r="F73" s="437">
        <f t="shared" si="4"/>
        <v>156.06</v>
      </c>
    </row>
    <row r="74" spans="2:6" x14ac:dyDescent="0.45">
      <c r="B74" s="435">
        <v>70</v>
      </c>
      <c r="C74" s="436">
        <f>IF($C$2=34.5,'S3'!AD74,IF($C$2=35.5,'S3'!AF74,IF($C$2=36.5,'S3'!AH74,IF($C$2=37.5,'S3'!AJ74,IF($C$2=38.5,'S3'!AL74,IF($C$2=39.5,'S3'!AN74,IF($C$2=40.5,'S3'!AP74,IF($C$2=27.5,'S3'!P74,IF($C$2=28.5,'S3'!R74,IF($C$2=29.5,'S3'!T74,IF($C$2=30.5,'S3'!V74,IF($C$2=31.5,'S3'!Z74,IF($C$2=32.5,'S3'!Z74,IF($C$2=33.5,'S3'!AB74))))))))))))))</f>
        <v>180.93</v>
      </c>
      <c r="D74" s="436">
        <f>IF($C$2=34.5,'S3'!AE74,IF($C$2=35.5,'S3'!AG74,IF($C$2=36.5,'S3'!AI74,IF($C$2=37.5,'S3'!AK74,IF($C$2=38.5,'S3'!AM74,IF($C$2=39.5,'S3'!AO74,IF($C$2=40.5,'S3'!AQ74,IF($C$2=27.5,'S3'!Q74,IF($C$2=28.5,'S3'!S74,IF($C$2=29.5,'S3'!U74,IF($C$2=30.5,'S3'!W74,IF($C$2=31.5,'S3'!Y74,IF($C$2=32.5,'S3'!AA74,IF($C$2=33.5,'S3'!AC74))))))))))))))</f>
        <v>253.3</v>
      </c>
      <c r="E74" s="437">
        <f>IF($E$2=34.5,'S3'!BP74,IF($E$2=35.5,'S3'!BQ74,IF($E$2=36.5,'S3'!BR74,IF($E$2=37.5,'S3'!BS74,IF($E$2=38.5,'S3'!BT74,IF($E$2=39.5,'S3'!BU74,IF($E$2=40.5,'S3'!BV74,IF($E$2=22.5,'S3'!BD74,IF($E$2=23.5,'S3'!BE74,IF($E$2=24.5,'S3'!BF74,IF($E$2=25.5,'S3'!BG74,IF($E$2=26.5,'S3'!BH74,IF($E$2=27.5,'S3'!BI74,IF($E$2=28.5,'S3'!BJ74,IF($E$2=29.5,'S3'!BK74,IF($E$2=30.5,'S3'!BL74,IF($E$2=31.5,'S3'!BM74,IF($E$2=32.5,'S3'!BN74,IF($E$2=33.5,'S3'!BO74)))))))))))))))))))</f>
        <v>113.08</v>
      </c>
      <c r="F74" s="437">
        <f t="shared" si="4"/>
        <v>158.31</v>
      </c>
    </row>
    <row r="75" spans="2:6" x14ac:dyDescent="0.45">
      <c r="B75" s="435">
        <v>71</v>
      </c>
      <c r="C75" s="436">
        <f>IF($C$2=34.5,'S3'!AD75,IF($C$2=35.5,'S3'!AF75,IF($C$2=36.5,'S3'!AH75,IF($C$2=37.5,'S3'!AJ75,IF($C$2=38.5,'S3'!AL75,IF($C$2=39.5,'S3'!AN75,IF($C$2=40.5,'S3'!AP75,IF($C$2=27.5,'S3'!P75,IF($C$2=28.5,'S3'!R75,IF($C$2=29.5,'S3'!T75,IF($C$2=30.5,'S3'!V75,IF($C$2=31.5,'S3'!Z75,IF($C$2=32.5,'S3'!Z75,IF($C$2=33.5,'S3'!AB75))))))))))))))</f>
        <v>183.49</v>
      </c>
      <c r="D75" s="436">
        <f>IF($C$2=34.5,'S3'!AE75,IF($C$2=35.5,'S3'!AG75,IF($C$2=36.5,'S3'!AI75,IF($C$2=37.5,'S3'!AK75,IF($C$2=38.5,'S3'!AM75,IF($C$2=39.5,'S3'!AO75,IF($C$2=40.5,'S3'!AQ75,IF($C$2=27.5,'S3'!Q75,IF($C$2=28.5,'S3'!S75,IF($C$2=29.5,'S3'!U75,IF($C$2=30.5,'S3'!W75,IF($C$2=31.5,'S3'!Y75,IF($C$2=32.5,'S3'!AA75,IF($C$2=33.5,'S3'!AC75))))))))))))))</f>
        <v>256.89</v>
      </c>
      <c r="E75" s="437">
        <f>IF($E$2=34.5,'S3'!BP75,IF($E$2=35.5,'S3'!BQ75,IF($E$2=36.5,'S3'!BR75,IF($E$2=37.5,'S3'!BS75,IF($E$2=38.5,'S3'!BT75,IF($E$2=39.5,'S3'!BU75,IF($E$2=40.5,'S3'!BV75,IF($E$2=22.5,'S3'!BD75,IF($E$2=23.5,'S3'!BE75,IF($E$2=24.5,'S3'!BF75,IF($E$2=25.5,'S3'!BG75,IF($E$2=26.5,'S3'!BH75,IF($E$2=27.5,'S3'!BI75,IF($E$2=28.5,'S3'!BJ75,IF($E$2=29.5,'S3'!BK75,IF($E$2=30.5,'S3'!BL75,IF($E$2=31.5,'S3'!BM75,IF($E$2=32.5,'S3'!BN75,IF($E$2=33.5,'S3'!BO75)))))))))))))))))))</f>
        <v>114.69</v>
      </c>
      <c r="F75" s="437">
        <f t="shared" si="4"/>
        <v>160.57</v>
      </c>
    </row>
    <row r="76" spans="2:6" x14ac:dyDescent="0.45">
      <c r="B76" s="435">
        <v>72</v>
      </c>
      <c r="C76" s="436">
        <f>IF($C$2=34.5,'S3'!AD76,IF($C$2=35.5,'S3'!AF76,IF($C$2=36.5,'S3'!AH76,IF($C$2=37.5,'S3'!AJ76,IF($C$2=38.5,'S3'!AL76,IF($C$2=39.5,'S3'!AN76,IF($C$2=40.5,'S3'!AP76,IF($C$2=27.5,'S3'!P76,IF($C$2=28.5,'S3'!R76,IF($C$2=29.5,'S3'!T76,IF($C$2=30.5,'S3'!V76,IF($C$2=31.5,'S3'!Z76,IF($C$2=32.5,'S3'!Z76,IF($C$2=33.5,'S3'!AB76))))))))))))))</f>
        <v>186.06</v>
      </c>
      <c r="D76" s="436">
        <f>IF($C$2=34.5,'S3'!AE76,IF($C$2=35.5,'S3'!AG76,IF($C$2=36.5,'S3'!AI76,IF($C$2=37.5,'S3'!AK76,IF($C$2=38.5,'S3'!AM76,IF($C$2=39.5,'S3'!AO76,IF($C$2=40.5,'S3'!AQ76,IF($C$2=27.5,'S3'!Q76,IF($C$2=28.5,'S3'!S76,IF($C$2=29.5,'S3'!U76,IF($C$2=30.5,'S3'!W76,IF($C$2=31.5,'S3'!Y76,IF($C$2=32.5,'S3'!AA76,IF($C$2=33.5,'S3'!AC76))))))))))))))</f>
        <v>260.48</v>
      </c>
      <c r="E76" s="437">
        <f>IF($E$2=34.5,'S3'!BP76,IF($E$2=35.5,'S3'!BQ76,IF($E$2=36.5,'S3'!BR76,IF($E$2=37.5,'S3'!BS76,IF($E$2=38.5,'S3'!BT76,IF($E$2=39.5,'S3'!BU76,IF($E$2=40.5,'S3'!BV76,IF($E$2=22.5,'S3'!BD76,IF($E$2=23.5,'S3'!BE76,IF($E$2=24.5,'S3'!BF76,IF($E$2=25.5,'S3'!BG76,IF($E$2=26.5,'S3'!BH76,IF($E$2=27.5,'S3'!BI76,IF($E$2=28.5,'S3'!BJ76,IF($E$2=29.5,'S3'!BK76,IF($E$2=30.5,'S3'!BL76,IF($E$2=31.5,'S3'!BM76,IF($E$2=32.5,'S3'!BN76,IF($E$2=33.5,'S3'!BO76)))))))))))))))))))</f>
        <v>116.31</v>
      </c>
      <c r="F76" s="437">
        <f t="shared" si="4"/>
        <v>162.83000000000001</v>
      </c>
    </row>
    <row r="77" spans="2:6" x14ac:dyDescent="0.45">
      <c r="B77" s="435">
        <v>73</v>
      </c>
      <c r="C77" s="436">
        <f>IF($C$2=34.5,'S3'!AD77,IF($C$2=35.5,'S3'!AF77,IF($C$2=36.5,'S3'!AH77,IF($C$2=37.5,'S3'!AJ77,IF($C$2=38.5,'S3'!AL77,IF($C$2=39.5,'S3'!AN77,IF($C$2=40.5,'S3'!AP77,IF($C$2=27.5,'S3'!P77,IF($C$2=28.5,'S3'!R77,IF($C$2=29.5,'S3'!T77,IF($C$2=30.5,'S3'!V77,IF($C$2=31.5,'S3'!Z77,IF($C$2=32.5,'S3'!Z77,IF($C$2=33.5,'S3'!AB77))))))))))))))</f>
        <v>188.64</v>
      </c>
      <c r="D77" s="436">
        <f>IF($C$2=34.5,'S3'!AE77,IF($C$2=35.5,'S3'!AG77,IF($C$2=36.5,'S3'!AI77,IF($C$2=37.5,'S3'!AK77,IF($C$2=38.5,'S3'!AM77,IF($C$2=39.5,'S3'!AO77,IF($C$2=40.5,'S3'!AQ77,IF($C$2=27.5,'S3'!Q77,IF($C$2=28.5,'S3'!S77,IF($C$2=29.5,'S3'!U77,IF($C$2=30.5,'S3'!W77,IF($C$2=31.5,'S3'!Y77,IF($C$2=32.5,'S3'!AA77,IF($C$2=33.5,'S3'!AC77))))))))))))))</f>
        <v>264.10000000000002</v>
      </c>
      <c r="E77" s="437">
        <f>IF($E$2=34.5,'S3'!BP77,IF($E$2=35.5,'S3'!BQ77,IF($E$2=36.5,'S3'!BR77,IF($E$2=37.5,'S3'!BS77,IF($E$2=38.5,'S3'!BT77,IF($E$2=39.5,'S3'!BU77,IF($E$2=40.5,'S3'!BV77,IF($E$2=22.5,'S3'!BD77,IF($E$2=23.5,'S3'!BE77,IF($E$2=24.5,'S3'!BF77,IF($E$2=25.5,'S3'!BG77,IF($E$2=26.5,'S3'!BH77,IF($E$2=27.5,'S3'!BI77,IF($E$2=28.5,'S3'!BJ77,IF($E$2=29.5,'S3'!BK77,IF($E$2=30.5,'S3'!BL77,IF($E$2=31.5,'S3'!BM77,IF($E$2=32.5,'S3'!BN77,IF($E$2=33.5,'S3'!BO77)))))))))))))))))))</f>
        <v>117.9</v>
      </c>
      <c r="F77" s="437">
        <f t="shared" si="4"/>
        <v>165.06</v>
      </c>
    </row>
    <row r="78" spans="2:6" x14ac:dyDescent="0.45">
      <c r="B78" s="435">
        <v>74</v>
      </c>
      <c r="C78" s="436">
        <f>IF($C$2=34.5,'S3'!AD78,IF($C$2=35.5,'S3'!AF78,IF($C$2=36.5,'S3'!AH78,IF($C$2=37.5,'S3'!AJ78,IF($C$2=38.5,'S3'!AL78,IF($C$2=39.5,'S3'!AN78,IF($C$2=40.5,'S3'!AP78,IF($C$2=27.5,'S3'!P78,IF($C$2=28.5,'S3'!R78,IF($C$2=29.5,'S3'!T78,IF($C$2=30.5,'S3'!V78,IF($C$2=31.5,'S3'!Z78,IF($C$2=32.5,'S3'!Z78,IF($C$2=33.5,'S3'!AB78))))))))))))))</f>
        <v>191.24</v>
      </c>
      <c r="D78" s="436">
        <f>IF($C$2=34.5,'S3'!AE78,IF($C$2=35.5,'S3'!AG78,IF($C$2=36.5,'S3'!AI78,IF($C$2=37.5,'S3'!AK78,IF($C$2=38.5,'S3'!AM78,IF($C$2=39.5,'S3'!AO78,IF($C$2=40.5,'S3'!AQ78,IF($C$2=27.5,'S3'!Q78,IF($C$2=28.5,'S3'!S78,IF($C$2=29.5,'S3'!U78,IF($C$2=30.5,'S3'!W78,IF($C$2=31.5,'S3'!Y78,IF($C$2=32.5,'S3'!AA78,IF($C$2=33.5,'S3'!AC78))))))))))))))</f>
        <v>267.74</v>
      </c>
      <c r="E78" s="437">
        <f>IF($E$2=34.5,'S3'!BP78,IF($E$2=35.5,'S3'!BQ78,IF($E$2=36.5,'S3'!BR78,IF($E$2=37.5,'S3'!BS78,IF($E$2=38.5,'S3'!BT78,IF($E$2=39.5,'S3'!BU78,IF($E$2=40.5,'S3'!BV78,IF($E$2=22.5,'S3'!BD78,IF($E$2=23.5,'S3'!BE78,IF($E$2=24.5,'S3'!BF78,IF($E$2=25.5,'S3'!BG78,IF($E$2=26.5,'S3'!BH78,IF($E$2=27.5,'S3'!BI78,IF($E$2=28.5,'S3'!BJ78,IF($E$2=29.5,'S3'!BK78,IF($E$2=30.5,'S3'!BL78,IF($E$2=31.5,'S3'!BM78,IF($E$2=32.5,'S3'!BN78,IF($E$2=33.5,'S3'!BO78)))))))))))))))))))</f>
        <v>119.52</v>
      </c>
      <c r="F78" s="437">
        <f t="shared" si="4"/>
        <v>167.33</v>
      </c>
    </row>
    <row r="79" spans="2:6" x14ac:dyDescent="0.45">
      <c r="B79" s="435">
        <v>75</v>
      </c>
      <c r="C79" s="436">
        <f>IF($C$2=34.5,'S3'!AD79,IF($C$2=35.5,'S3'!AF79,IF($C$2=36.5,'S3'!AH79,IF($C$2=37.5,'S3'!AJ79,IF($C$2=38.5,'S3'!AL79,IF($C$2=39.5,'S3'!AN79,IF($C$2=40.5,'S3'!AP79,IF($C$2=27.5,'S3'!P79,IF($C$2=28.5,'S3'!R79,IF($C$2=29.5,'S3'!T79,IF($C$2=30.5,'S3'!V79,IF($C$2=31.5,'S3'!Z79,IF($C$2=32.5,'S3'!Z79,IF($C$2=33.5,'S3'!AB79))))))))))))))</f>
        <v>193.75</v>
      </c>
      <c r="D79" s="436">
        <f>IF($C$2=34.5,'S3'!AE79,IF($C$2=35.5,'S3'!AG79,IF($C$2=36.5,'S3'!AI79,IF($C$2=37.5,'S3'!AK79,IF($C$2=38.5,'S3'!AM79,IF($C$2=39.5,'S3'!AO79,IF($C$2=40.5,'S3'!AQ79,IF($C$2=27.5,'S3'!Q79,IF($C$2=28.5,'S3'!S79,IF($C$2=29.5,'S3'!U79,IF($C$2=30.5,'S3'!W79,IF($C$2=31.5,'S3'!Y79,IF($C$2=32.5,'S3'!AA79,IF($C$2=33.5,'S3'!AC79))))))))))))))</f>
        <v>271.25</v>
      </c>
      <c r="E79" s="437">
        <f>IF($E$2=34.5,'S3'!BP79,IF($E$2=35.5,'S3'!BQ79,IF($E$2=36.5,'S3'!BR79,IF($E$2=37.5,'S3'!BS79,IF($E$2=38.5,'S3'!BT79,IF($E$2=39.5,'S3'!BU79,IF($E$2=40.5,'S3'!BV79,IF($E$2=22.5,'S3'!BD79,IF($E$2=23.5,'S3'!BE79,IF($E$2=24.5,'S3'!BF79,IF($E$2=25.5,'S3'!BG79,IF($E$2=26.5,'S3'!BH79,IF($E$2=27.5,'S3'!BI79,IF($E$2=28.5,'S3'!BJ79,IF($E$2=29.5,'S3'!BK79,IF($E$2=30.5,'S3'!BL79,IF($E$2=31.5,'S3'!BM79,IF($E$2=32.5,'S3'!BN79,IF($E$2=33.5,'S3'!BO79)))))))))))))))))))</f>
        <v>121.12</v>
      </c>
      <c r="F79" s="437">
        <f t="shared" si="4"/>
        <v>169.57</v>
      </c>
    </row>
    <row r="80" spans="2:6" x14ac:dyDescent="0.45">
      <c r="B80" s="435">
        <v>76</v>
      </c>
      <c r="C80" s="436">
        <f>IF($C$2=34.5,'S3'!AD80,IF($C$2=35.5,'S3'!AF80,IF($C$2=36.5,'S3'!AH80,IF($C$2=37.5,'S3'!AJ80,IF($C$2=38.5,'S3'!AL80,IF($C$2=39.5,'S3'!AN80,IF($C$2=40.5,'S3'!AP80,IF($C$2=27.5,'S3'!P80,IF($C$2=28.5,'S3'!R80,IF($C$2=29.5,'S3'!T80,IF($C$2=30.5,'S3'!V80,IF($C$2=31.5,'S3'!Z80,IF($C$2=32.5,'S3'!Z80,IF($C$2=33.5,'S3'!AB80))))))))))))))</f>
        <v>196.36</v>
      </c>
      <c r="D80" s="436">
        <f>IF($C$2=34.5,'S3'!AE80,IF($C$2=35.5,'S3'!AG80,IF($C$2=36.5,'S3'!AI80,IF($C$2=37.5,'S3'!AK80,IF($C$2=38.5,'S3'!AM80,IF($C$2=39.5,'S3'!AO80,IF($C$2=40.5,'S3'!AQ80,IF($C$2=27.5,'S3'!Q80,IF($C$2=28.5,'S3'!S80,IF($C$2=29.5,'S3'!U80,IF($C$2=30.5,'S3'!W80,IF($C$2=31.5,'S3'!Y80,IF($C$2=32.5,'S3'!AA80,IF($C$2=33.5,'S3'!AC80))))))))))))))</f>
        <v>274.89999999999998</v>
      </c>
      <c r="E80" s="437">
        <f>IF($E$2=34.5,'S3'!BP80,IF($E$2=35.5,'S3'!BQ80,IF($E$2=36.5,'S3'!BR80,IF($E$2=37.5,'S3'!BS80,IF($E$2=38.5,'S3'!BT80,IF($E$2=39.5,'S3'!BU80,IF($E$2=40.5,'S3'!BV80,IF($E$2=22.5,'S3'!BD80,IF($E$2=23.5,'S3'!BE80,IF($E$2=24.5,'S3'!BF80,IF($E$2=25.5,'S3'!BG80,IF($E$2=26.5,'S3'!BH80,IF($E$2=27.5,'S3'!BI80,IF($E$2=28.5,'S3'!BJ80,IF($E$2=29.5,'S3'!BK80,IF($E$2=30.5,'S3'!BL80,IF($E$2=31.5,'S3'!BM80,IF($E$2=32.5,'S3'!BN80,IF($E$2=33.5,'S3'!BO80)))))))))))))))))))</f>
        <v>122.72</v>
      </c>
      <c r="F80" s="437">
        <f t="shared" si="4"/>
        <v>171.81</v>
      </c>
    </row>
    <row r="81" spans="2:6" x14ac:dyDescent="0.45">
      <c r="B81" s="435">
        <v>77</v>
      </c>
      <c r="C81" s="436">
        <f>IF($C$2=34.5,'S3'!AD81,IF($C$2=35.5,'S3'!AF81,IF($C$2=36.5,'S3'!AH81,IF($C$2=37.5,'S3'!AJ81,IF($C$2=38.5,'S3'!AL81,IF($C$2=39.5,'S3'!AN81,IF($C$2=40.5,'S3'!AP81,IF($C$2=27.5,'S3'!P81,IF($C$2=28.5,'S3'!R81,IF($C$2=29.5,'S3'!T81,IF($C$2=30.5,'S3'!V81,IF($C$2=31.5,'S3'!Z81,IF($C$2=32.5,'S3'!Z81,IF($C$2=33.5,'S3'!AB81))))))))))))))</f>
        <v>198.9</v>
      </c>
      <c r="D81" s="436">
        <f>IF($C$2=34.5,'S3'!AE81,IF($C$2=35.5,'S3'!AG81,IF($C$2=36.5,'S3'!AI81,IF($C$2=37.5,'S3'!AK81,IF($C$2=38.5,'S3'!AM81,IF($C$2=39.5,'S3'!AO81,IF($C$2=40.5,'S3'!AQ81,IF($C$2=27.5,'S3'!Q81,IF($C$2=28.5,'S3'!S81,IF($C$2=29.5,'S3'!U81,IF($C$2=30.5,'S3'!W81,IF($C$2=31.5,'S3'!Y81,IF($C$2=32.5,'S3'!AA81,IF($C$2=33.5,'S3'!AC81))))))))))))))</f>
        <v>278.45999999999998</v>
      </c>
      <c r="E81" s="437">
        <f>IF($E$2=34.5,'S3'!BP81,IF($E$2=35.5,'S3'!BQ81,IF($E$2=36.5,'S3'!BR81,IF($E$2=37.5,'S3'!BS81,IF($E$2=38.5,'S3'!BT81,IF($E$2=39.5,'S3'!BU81,IF($E$2=40.5,'S3'!BV81,IF($E$2=22.5,'S3'!BD81,IF($E$2=23.5,'S3'!BE81,IF($E$2=24.5,'S3'!BF81,IF($E$2=25.5,'S3'!BG81,IF($E$2=26.5,'S3'!BH81,IF($E$2=27.5,'S3'!BI81,IF($E$2=28.5,'S3'!BJ81,IF($E$2=29.5,'S3'!BK81,IF($E$2=30.5,'S3'!BL81,IF($E$2=31.5,'S3'!BM81,IF($E$2=32.5,'S3'!BN81,IF($E$2=33.5,'S3'!BO81)))))))))))))))))))</f>
        <v>124.33</v>
      </c>
      <c r="F81" s="437">
        <f t="shared" si="4"/>
        <v>174.06</v>
      </c>
    </row>
    <row r="82" spans="2:6" x14ac:dyDescent="0.45">
      <c r="B82" s="435">
        <v>78</v>
      </c>
      <c r="C82" s="436">
        <f>IF($C$2=34.5,'S3'!AD82,IF($C$2=35.5,'S3'!AF82,IF($C$2=36.5,'S3'!AH82,IF($C$2=37.5,'S3'!AJ82,IF($C$2=38.5,'S3'!AL82,IF($C$2=39.5,'S3'!AN82,IF($C$2=40.5,'S3'!AP82,IF($C$2=27.5,'S3'!P82,IF($C$2=28.5,'S3'!R82,IF($C$2=29.5,'S3'!T82,IF($C$2=30.5,'S3'!V82,IF($C$2=31.5,'S3'!Z82,IF($C$2=32.5,'S3'!Z82,IF($C$2=33.5,'S3'!AB82))))))))))))))</f>
        <v>201.44</v>
      </c>
      <c r="D82" s="436">
        <f>IF($C$2=34.5,'S3'!AE82,IF($C$2=35.5,'S3'!AG82,IF($C$2=36.5,'S3'!AI82,IF($C$2=37.5,'S3'!AK82,IF($C$2=38.5,'S3'!AM82,IF($C$2=39.5,'S3'!AO82,IF($C$2=40.5,'S3'!AQ82,IF($C$2=27.5,'S3'!Q82,IF($C$2=28.5,'S3'!S82,IF($C$2=29.5,'S3'!U82,IF($C$2=30.5,'S3'!W82,IF($C$2=31.5,'S3'!Y82,IF($C$2=32.5,'S3'!AA82,IF($C$2=33.5,'S3'!AC82))))))))))))))</f>
        <v>282.02</v>
      </c>
      <c r="E82" s="437">
        <f>IF($E$2=34.5,'S3'!BP82,IF($E$2=35.5,'S3'!BQ82,IF($E$2=36.5,'S3'!BR82,IF($E$2=37.5,'S3'!BS82,IF($E$2=38.5,'S3'!BT82,IF($E$2=39.5,'S3'!BU82,IF($E$2=40.5,'S3'!BV82,IF($E$2=22.5,'S3'!BD82,IF($E$2=23.5,'S3'!BE82,IF($E$2=24.5,'S3'!BF82,IF($E$2=25.5,'S3'!BG82,IF($E$2=26.5,'S3'!BH82,IF($E$2=27.5,'S3'!BI82,IF($E$2=28.5,'S3'!BJ82,IF($E$2=29.5,'S3'!BK82,IF($E$2=30.5,'S3'!BL82,IF($E$2=31.5,'S3'!BM82,IF($E$2=32.5,'S3'!BN82,IF($E$2=33.5,'S3'!BO82)))))))))))))))))))</f>
        <v>125.94</v>
      </c>
      <c r="F82" s="437">
        <f t="shared" si="4"/>
        <v>176.32</v>
      </c>
    </row>
    <row r="83" spans="2:6" x14ac:dyDescent="0.45">
      <c r="B83" s="435">
        <v>79</v>
      </c>
      <c r="C83" s="436">
        <f>IF($C$2=34.5,'S3'!AD83,IF($C$2=35.5,'S3'!AF83,IF($C$2=36.5,'S3'!AH83,IF($C$2=37.5,'S3'!AJ83,IF($C$2=38.5,'S3'!AL83,IF($C$2=39.5,'S3'!AN83,IF($C$2=40.5,'S3'!AP83,IF($C$2=27.5,'S3'!P83,IF($C$2=28.5,'S3'!R83,IF($C$2=29.5,'S3'!T83,IF($C$2=30.5,'S3'!V83,IF($C$2=31.5,'S3'!Z83,IF($C$2=32.5,'S3'!Z83,IF($C$2=33.5,'S3'!AB83))))))))))))))</f>
        <v>204.09</v>
      </c>
      <c r="D83" s="436">
        <f>IF($C$2=34.5,'S3'!AE83,IF($C$2=35.5,'S3'!AG83,IF($C$2=36.5,'S3'!AI83,IF($C$2=37.5,'S3'!AK83,IF($C$2=38.5,'S3'!AM83,IF($C$2=39.5,'S3'!AO83,IF($C$2=40.5,'S3'!AQ83,IF($C$2=27.5,'S3'!Q83,IF($C$2=28.5,'S3'!S83,IF($C$2=29.5,'S3'!U83,IF($C$2=30.5,'S3'!W83,IF($C$2=31.5,'S3'!Y83,IF($C$2=32.5,'S3'!AA83,IF($C$2=33.5,'S3'!AC83))))))))))))))</f>
        <v>285.73</v>
      </c>
      <c r="E83" s="437">
        <f>IF($E$2=34.5,'S3'!BP83,IF($E$2=35.5,'S3'!BQ83,IF($E$2=36.5,'S3'!BR83,IF($E$2=37.5,'S3'!BS83,IF($E$2=38.5,'S3'!BT83,IF($E$2=39.5,'S3'!BU83,IF($E$2=40.5,'S3'!BV83,IF($E$2=22.5,'S3'!BD83,IF($E$2=23.5,'S3'!BE83,IF($E$2=24.5,'S3'!BF83,IF($E$2=25.5,'S3'!BG83,IF($E$2=26.5,'S3'!BH83,IF($E$2=27.5,'S3'!BI83,IF($E$2=28.5,'S3'!BJ83,IF($E$2=29.5,'S3'!BK83,IF($E$2=30.5,'S3'!BL83,IF($E$2=31.5,'S3'!BM83,IF($E$2=32.5,'S3'!BN83,IF($E$2=33.5,'S3'!BO83)))))))))))))))))))</f>
        <v>127.54</v>
      </c>
      <c r="F83" s="437">
        <f t="shared" si="4"/>
        <v>178.56</v>
      </c>
    </row>
    <row r="84" spans="2:6" x14ac:dyDescent="0.45">
      <c r="B84" s="435">
        <v>80</v>
      </c>
      <c r="C84" s="436">
        <f>IF($C$2=34.5,'S3'!AD84,IF($C$2=35.5,'S3'!AF84,IF($C$2=36.5,'S3'!AH84,IF($C$2=37.5,'S3'!AJ84,IF($C$2=38.5,'S3'!AL84,IF($C$2=39.5,'S3'!AN84,IF($C$2=40.5,'S3'!AP84,IF($C$2=27.5,'S3'!P84,IF($C$2=28.5,'S3'!R84,IF($C$2=29.5,'S3'!T84,IF($C$2=30.5,'S3'!V84,IF($C$2=31.5,'S3'!Z84,IF($C$2=32.5,'S3'!Z84,IF($C$2=33.5,'S3'!AB84))))))))))))))</f>
        <v>206.66</v>
      </c>
      <c r="D84" s="436">
        <f>IF($C$2=34.5,'S3'!AE84,IF($C$2=35.5,'S3'!AG84,IF($C$2=36.5,'S3'!AI84,IF($C$2=37.5,'S3'!AK84,IF($C$2=38.5,'S3'!AM84,IF($C$2=39.5,'S3'!AO84,IF($C$2=40.5,'S3'!AQ84,IF($C$2=27.5,'S3'!Q84,IF($C$2=28.5,'S3'!S84,IF($C$2=29.5,'S3'!U84,IF($C$2=30.5,'S3'!W84,IF($C$2=31.5,'S3'!Y84,IF($C$2=32.5,'S3'!AA84,IF($C$2=33.5,'S3'!AC84))))))))))))))</f>
        <v>289.32</v>
      </c>
      <c r="E84" s="437">
        <f>IF($E$2=34.5,'S3'!BP84,IF($E$2=35.5,'S3'!BQ84,IF($E$2=36.5,'S3'!BR84,IF($E$2=37.5,'S3'!BS84,IF($E$2=38.5,'S3'!BT84,IF($E$2=39.5,'S3'!BU84,IF($E$2=40.5,'S3'!BV84,IF($E$2=22.5,'S3'!BD84,IF($E$2=23.5,'S3'!BE84,IF($E$2=24.5,'S3'!BF84,IF($E$2=25.5,'S3'!BG84,IF($E$2=26.5,'S3'!BH84,IF($E$2=27.5,'S3'!BI84,IF($E$2=28.5,'S3'!BJ84,IF($E$2=29.5,'S3'!BK84,IF($E$2=30.5,'S3'!BL84,IF($E$2=31.5,'S3'!BM84,IF($E$2=32.5,'S3'!BN84,IF($E$2=33.5,'S3'!BO84)))))))))))))))))))</f>
        <v>129.16</v>
      </c>
      <c r="F84" s="437">
        <f t="shared" si="4"/>
        <v>180.82</v>
      </c>
    </row>
    <row r="85" spans="2:6" x14ac:dyDescent="0.45">
      <c r="B85" s="435">
        <v>81</v>
      </c>
      <c r="C85" s="436">
        <f>IF($C$2=34.5,'S3'!AD85,IF($C$2=35.5,'S3'!AF85,IF($C$2=36.5,'S3'!AH85,IF($C$2=37.5,'S3'!AJ85,IF($C$2=38.5,'S3'!AL85,IF($C$2=39.5,'S3'!AN85,IF($C$2=40.5,'S3'!AP85,IF($C$2=27.5,'S3'!P85,IF($C$2=28.5,'S3'!R85,IF($C$2=29.5,'S3'!T85,IF($C$2=30.5,'S3'!V85,IF($C$2=31.5,'S3'!Z85,IF($C$2=32.5,'S3'!Z85,IF($C$2=33.5,'S3'!AB85))))))))))))))</f>
        <v>209.23</v>
      </c>
      <c r="D85" s="436">
        <f>IF($C$2=34.5,'S3'!AE85,IF($C$2=35.5,'S3'!AG85,IF($C$2=36.5,'S3'!AI85,IF($C$2=37.5,'S3'!AK85,IF($C$2=38.5,'S3'!AM85,IF($C$2=39.5,'S3'!AO85,IF($C$2=40.5,'S3'!AQ85,IF($C$2=27.5,'S3'!Q85,IF($C$2=28.5,'S3'!S85,IF($C$2=29.5,'S3'!U85,IF($C$2=30.5,'S3'!W85,IF($C$2=31.5,'S3'!Y85,IF($C$2=32.5,'S3'!AA85,IF($C$2=33.5,'S3'!AC85))))))))))))))</f>
        <v>292.92</v>
      </c>
      <c r="E85" s="437">
        <f>IF($E$2=34.5,'S3'!BP85,IF($E$2=35.5,'S3'!BQ85,IF($E$2=36.5,'S3'!BR85,IF($E$2=37.5,'S3'!BS85,IF($E$2=38.5,'S3'!BT85,IF($E$2=39.5,'S3'!BU85,IF($E$2=40.5,'S3'!BV85,IF($E$2=22.5,'S3'!BD85,IF($E$2=23.5,'S3'!BE85,IF($E$2=24.5,'S3'!BF85,IF($E$2=25.5,'S3'!BG85,IF($E$2=26.5,'S3'!BH85,IF($E$2=27.5,'S3'!BI85,IF($E$2=28.5,'S3'!BJ85,IF($E$2=29.5,'S3'!BK85,IF($E$2=30.5,'S3'!BL85,IF($E$2=31.5,'S3'!BM85,IF($E$2=32.5,'S3'!BN85,IF($E$2=33.5,'S3'!BO85)))))))))))))))))))</f>
        <v>130.77000000000001</v>
      </c>
      <c r="F85" s="437">
        <f t="shared" si="4"/>
        <v>183.08</v>
      </c>
    </row>
    <row r="86" spans="2:6" x14ac:dyDescent="0.45">
      <c r="B86" s="435">
        <v>82</v>
      </c>
      <c r="C86" s="436">
        <f>IF($C$2=34.5,'S3'!AD86,IF($C$2=35.5,'S3'!AF86,IF($C$2=36.5,'S3'!AH86,IF($C$2=37.5,'S3'!AJ86,IF($C$2=38.5,'S3'!AL86,IF($C$2=39.5,'S3'!AN86,IF($C$2=40.5,'S3'!AP86,IF($C$2=27.5,'S3'!P86,IF($C$2=28.5,'S3'!R86,IF($C$2=29.5,'S3'!T86,IF($C$2=30.5,'S3'!V86,IF($C$2=31.5,'S3'!Z86,IF($C$2=32.5,'S3'!Z86,IF($C$2=33.5,'S3'!AB86))))))))))))))</f>
        <v>211.7</v>
      </c>
      <c r="D86" s="436">
        <f>IF($C$2=34.5,'S3'!AE86,IF($C$2=35.5,'S3'!AG86,IF($C$2=36.5,'S3'!AI86,IF($C$2=37.5,'S3'!AK86,IF($C$2=38.5,'S3'!AM86,IF($C$2=39.5,'S3'!AO86,IF($C$2=40.5,'S3'!AQ86,IF($C$2=27.5,'S3'!Q86,IF($C$2=28.5,'S3'!S86,IF($C$2=29.5,'S3'!U86,IF($C$2=30.5,'S3'!W86,IF($C$2=31.5,'S3'!Y86,IF($C$2=32.5,'S3'!AA86,IF($C$2=33.5,'S3'!AC86))))))))))))))</f>
        <v>296.38</v>
      </c>
      <c r="E86" s="437">
        <f>IF($E$2=34.5,'S3'!BP86,IF($E$2=35.5,'S3'!BQ86,IF($E$2=36.5,'S3'!BR86,IF($E$2=37.5,'S3'!BS86,IF($E$2=38.5,'S3'!BT86,IF($E$2=39.5,'S3'!BU86,IF($E$2=40.5,'S3'!BV86,IF($E$2=22.5,'S3'!BD86,IF($E$2=23.5,'S3'!BE86,IF($E$2=24.5,'S3'!BF86,IF($E$2=25.5,'S3'!BG86,IF($E$2=26.5,'S3'!BH86,IF($E$2=27.5,'S3'!BI86,IF($E$2=28.5,'S3'!BJ86,IF($E$2=29.5,'S3'!BK86,IF($E$2=30.5,'S3'!BL86,IF($E$2=31.5,'S3'!BM86,IF($E$2=32.5,'S3'!BN86,IF($E$2=33.5,'S3'!BO86)))))))))))))))))))</f>
        <v>132.36000000000001</v>
      </c>
      <c r="F86" s="437">
        <f t="shared" si="4"/>
        <v>185.3</v>
      </c>
    </row>
    <row r="87" spans="2:6" x14ac:dyDescent="0.45">
      <c r="B87" s="435">
        <v>83</v>
      </c>
      <c r="C87" s="436">
        <f>IF($C$2=34.5,'S3'!AD87,IF($C$2=35.5,'S3'!AF87,IF($C$2=36.5,'S3'!AH87,IF($C$2=37.5,'S3'!AJ87,IF($C$2=38.5,'S3'!AL87,IF($C$2=39.5,'S3'!AN87,IF($C$2=40.5,'S3'!AP87,IF($C$2=27.5,'S3'!P87,IF($C$2=28.5,'S3'!R87,IF($C$2=29.5,'S3'!T87,IF($C$2=30.5,'S3'!V87,IF($C$2=31.5,'S3'!Z87,IF($C$2=32.5,'S3'!Z87,IF($C$2=33.5,'S3'!AB87))))))))))))))</f>
        <v>214.29</v>
      </c>
      <c r="D87" s="436">
        <f>IF($C$2=34.5,'S3'!AE87,IF($C$2=35.5,'S3'!AG87,IF($C$2=36.5,'S3'!AI87,IF($C$2=37.5,'S3'!AK87,IF($C$2=38.5,'S3'!AM87,IF($C$2=39.5,'S3'!AO87,IF($C$2=40.5,'S3'!AQ87,IF($C$2=27.5,'S3'!Q87,IF($C$2=28.5,'S3'!S87,IF($C$2=29.5,'S3'!U87,IF($C$2=30.5,'S3'!W87,IF($C$2=31.5,'S3'!Y87,IF($C$2=32.5,'S3'!AA87,IF($C$2=33.5,'S3'!AC87))))))))))))))</f>
        <v>300.01</v>
      </c>
      <c r="E87" s="437">
        <f>IF($E$2=34.5,'S3'!BP87,IF($E$2=35.5,'S3'!BQ87,IF($E$2=36.5,'S3'!BR87,IF($E$2=37.5,'S3'!BS87,IF($E$2=38.5,'S3'!BT87,IF($E$2=39.5,'S3'!BU87,IF($E$2=40.5,'S3'!BV87,IF($E$2=22.5,'S3'!BD87,IF($E$2=23.5,'S3'!BE87,IF($E$2=24.5,'S3'!BF87,IF($E$2=25.5,'S3'!BG87,IF($E$2=26.5,'S3'!BH87,IF($E$2=27.5,'S3'!BI87,IF($E$2=28.5,'S3'!BJ87,IF($E$2=29.5,'S3'!BK87,IF($E$2=30.5,'S3'!BL87,IF($E$2=31.5,'S3'!BM87,IF($E$2=32.5,'S3'!BN87,IF($E$2=33.5,'S3'!BO87)))))))))))))))))))</f>
        <v>133.97999999999999</v>
      </c>
      <c r="F87" s="437">
        <f t="shared" si="4"/>
        <v>187.57</v>
      </c>
    </row>
    <row r="88" spans="2:6" x14ac:dyDescent="0.45">
      <c r="B88" s="435">
        <v>84</v>
      </c>
      <c r="C88" s="436">
        <f>IF($C$2=34.5,'S3'!AD88,IF($C$2=35.5,'S3'!AF88,IF($C$2=36.5,'S3'!AH88,IF($C$2=37.5,'S3'!AJ88,IF($C$2=38.5,'S3'!AL88,IF($C$2=39.5,'S3'!AN88,IF($C$2=40.5,'S3'!AP88,IF($C$2=27.5,'S3'!P88,IF($C$2=28.5,'S3'!R88,IF($C$2=29.5,'S3'!T88,IF($C$2=30.5,'S3'!V88,IF($C$2=31.5,'S3'!Z88,IF($C$2=32.5,'S3'!Z88,IF($C$2=33.5,'S3'!AB88))))))))))))))</f>
        <v>216.9</v>
      </c>
      <c r="D88" s="436">
        <f>IF($C$2=34.5,'S3'!AE88,IF($C$2=35.5,'S3'!AG88,IF($C$2=36.5,'S3'!AI88,IF($C$2=37.5,'S3'!AK88,IF($C$2=38.5,'S3'!AM88,IF($C$2=39.5,'S3'!AO88,IF($C$2=40.5,'S3'!AQ88,IF($C$2=27.5,'S3'!Q88,IF($C$2=28.5,'S3'!S88,IF($C$2=29.5,'S3'!U88,IF($C$2=30.5,'S3'!W88,IF($C$2=31.5,'S3'!Y88,IF($C$2=32.5,'S3'!AA88,IF($C$2=33.5,'S3'!AC88))))))))))))))</f>
        <v>303.66000000000003</v>
      </c>
      <c r="E88" s="437">
        <f>IF($E$2=34.5,'S3'!BP88,IF($E$2=35.5,'S3'!BQ88,IF($E$2=36.5,'S3'!BR88,IF($E$2=37.5,'S3'!BS88,IF($E$2=38.5,'S3'!BT88,IF($E$2=39.5,'S3'!BU88,IF($E$2=40.5,'S3'!BV88,IF($E$2=22.5,'S3'!BD88,IF($E$2=23.5,'S3'!BE88,IF($E$2=24.5,'S3'!BF88,IF($E$2=25.5,'S3'!BG88,IF($E$2=26.5,'S3'!BH88,IF($E$2=27.5,'S3'!BI88,IF($E$2=28.5,'S3'!BJ88,IF($E$2=29.5,'S3'!BK88,IF($E$2=30.5,'S3'!BL88,IF($E$2=31.5,'S3'!BM88,IF($E$2=32.5,'S3'!BN88,IF($E$2=33.5,'S3'!BO88)))))))))))))))))))</f>
        <v>135.57</v>
      </c>
      <c r="F88" s="437">
        <f t="shared" si="4"/>
        <v>189.8</v>
      </c>
    </row>
    <row r="89" spans="2:6" x14ac:dyDescent="0.45">
      <c r="B89" s="435">
        <v>85</v>
      </c>
      <c r="C89" s="436">
        <f>IF($C$2=34.5,'S3'!AD89,IF($C$2=35.5,'S3'!AF89,IF($C$2=36.5,'S3'!AH89,IF($C$2=37.5,'S3'!AJ89,IF($C$2=38.5,'S3'!AL89,IF($C$2=39.5,'S3'!AN89,IF($C$2=40.5,'S3'!AP89,IF($C$2=27.5,'S3'!P89,IF($C$2=28.5,'S3'!R89,IF($C$2=29.5,'S3'!T89,IF($C$2=30.5,'S3'!V89,IF($C$2=31.5,'S3'!Z89,IF($C$2=32.5,'S3'!Z89,IF($C$2=33.5,'S3'!AB89))))))))))))))</f>
        <v>219.51</v>
      </c>
      <c r="D89" s="436">
        <f>IF($C$2=34.5,'S3'!AE89,IF($C$2=35.5,'S3'!AG89,IF($C$2=36.5,'S3'!AI89,IF($C$2=37.5,'S3'!AK89,IF($C$2=38.5,'S3'!AM89,IF($C$2=39.5,'S3'!AO89,IF($C$2=40.5,'S3'!AQ89,IF($C$2=27.5,'S3'!Q89,IF($C$2=28.5,'S3'!S89,IF($C$2=29.5,'S3'!U89,IF($C$2=30.5,'S3'!W89,IF($C$2=31.5,'S3'!Y89,IF($C$2=32.5,'S3'!AA89,IF($C$2=33.5,'S3'!AC89))))))))))))))</f>
        <v>307.31</v>
      </c>
      <c r="E89" s="437">
        <f>IF($E$2=34.5,'S3'!BP89,IF($E$2=35.5,'S3'!BQ89,IF($E$2=36.5,'S3'!BR89,IF($E$2=37.5,'S3'!BS89,IF($E$2=38.5,'S3'!BT89,IF($E$2=39.5,'S3'!BU89,IF($E$2=40.5,'S3'!BV89,IF($E$2=22.5,'S3'!BD89,IF($E$2=23.5,'S3'!BE89,IF($E$2=24.5,'S3'!BF89,IF($E$2=25.5,'S3'!BG89,IF($E$2=26.5,'S3'!BH89,IF($E$2=27.5,'S3'!BI89,IF($E$2=28.5,'S3'!BJ89,IF($E$2=29.5,'S3'!BK89,IF($E$2=30.5,'S3'!BL89,IF($E$2=31.5,'S3'!BM89,IF($E$2=32.5,'S3'!BN89,IF($E$2=33.5,'S3'!BO89)))))))))))))))))))</f>
        <v>137.19999999999999</v>
      </c>
      <c r="F89" s="437">
        <f t="shared" si="4"/>
        <v>192.08</v>
      </c>
    </row>
    <row r="90" spans="2:6" x14ac:dyDescent="0.45">
      <c r="B90" s="435">
        <v>86</v>
      </c>
      <c r="C90" s="436">
        <f>IF($C$2=34.5,'S3'!AD90,IF($C$2=35.5,'S3'!AF90,IF($C$2=36.5,'S3'!AH90,IF($C$2=37.5,'S3'!AJ90,IF($C$2=38.5,'S3'!AL90,IF($C$2=39.5,'S3'!AN90,IF($C$2=40.5,'S3'!AP90,IF($C$2=27.5,'S3'!P90,IF($C$2=28.5,'S3'!R90,IF($C$2=29.5,'S3'!T90,IF($C$2=30.5,'S3'!V90,IF($C$2=31.5,'S3'!Z90,IF($C$2=32.5,'S3'!Z90,IF($C$2=33.5,'S3'!AB90))))))))))))))</f>
        <v>222.02</v>
      </c>
      <c r="D90" s="436">
        <f>IF($C$2=34.5,'S3'!AE90,IF($C$2=35.5,'S3'!AG90,IF($C$2=36.5,'S3'!AI90,IF($C$2=37.5,'S3'!AK90,IF($C$2=38.5,'S3'!AM90,IF($C$2=39.5,'S3'!AO90,IF($C$2=40.5,'S3'!AQ90,IF($C$2=27.5,'S3'!Q90,IF($C$2=28.5,'S3'!S90,IF($C$2=29.5,'S3'!U90,IF($C$2=30.5,'S3'!W90,IF($C$2=31.5,'S3'!Y90,IF($C$2=32.5,'S3'!AA90,IF($C$2=33.5,'S3'!AC90))))))))))))))</f>
        <v>310.83</v>
      </c>
      <c r="E90" s="437">
        <f>IF($E$2=34.5,'S3'!BP90,IF($E$2=35.5,'S3'!BQ90,IF($E$2=36.5,'S3'!BR90,IF($E$2=37.5,'S3'!BS90,IF($E$2=38.5,'S3'!BT90,IF($E$2=39.5,'S3'!BU90,IF($E$2=40.5,'S3'!BV90,IF($E$2=22.5,'S3'!BD90,IF($E$2=23.5,'S3'!BE90,IF($E$2=24.5,'S3'!BF90,IF($E$2=25.5,'S3'!BG90,IF($E$2=26.5,'S3'!BH90,IF($E$2=27.5,'S3'!BI90,IF($E$2=28.5,'S3'!BJ90,IF($E$2=29.5,'S3'!BK90,IF($E$2=30.5,'S3'!BL90,IF($E$2=31.5,'S3'!BM90,IF($E$2=32.5,'S3'!BN90,IF($E$2=33.5,'S3'!BO90)))))))))))))))))))</f>
        <v>138.80000000000001</v>
      </c>
      <c r="F90" s="437">
        <f t="shared" si="4"/>
        <v>194.32</v>
      </c>
    </row>
    <row r="91" spans="2:6" x14ac:dyDescent="0.45">
      <c r="B91" s="435">
        <v>87</v>
      </c>
      <c r="C91" s="436">
        <f>IF($C$2=34.5,'S3'!AD91,IF($C$2=35.5,'S3'!AF91,IF($C$2=36.5,'S3'!AH91,IF($C$2=37.5,'S3'!AJ91,IF($C$2=38.5,'S3'!AL91,IF($C$2=39.5,'S3'!AN91,IF($C$2=40.5,'S3'!AP91,IF($C$2=27.5,'S3'!P91,IF($C$2=28.5,'S3'!R91,IF($C$2=29.5,'S3'!T91,IF($C$2=30.5,'S3'!V91,IF($C$2=31.5,'S3'!Z91,IF($C$2=32.5,'S3'!Z91,IF($C$2=33.5,'S3'!AB91))))))))))))))</f>
        <v>224.53</v>
      </c>
      <c r="D91" s="436">
        <f>IF($C$2=34.5,'S3'!AE91,IF($C$2=35.5,'S3'!AG91,IF($C$2=36.5,'S3'!AI91,IF($C$2=37.5,'S3'!AK91,IF($C$2=38.5,'S3'!AM91,IF($C$2=39.5,'S3'!AO91,IF($C$2=40.5,'S3'!AQ91,IF($C$2=27.5,'S3'!Q91,IF($C$2=28.5,'S3'!S91,IF($C$2=29.5,'S3'!U91,IF($C$2=30.5,'S3'!W91,IF($C$2=31.5,'S3'!Y91,IF($C$2=32.5,'S3'!AA91,IF($C$2=33.5,'S3'!AC91))))))))))))))</f>
        <v>314.33999999999997</v>
      </c>
      <c r="E91" s="437">
        <f>IF($E$2=34.5,'S3'!BP91,IF($E$2=35.5,'S3'!BQ91,IF($E$2=36.5,'S3'!BR91,IF($E$2=37.5,'S3'!BS91,IF($E$2=38.5,'S3'!BT91,IF($E$2=39.5,'S3'!BU91,IF($E$2=40.5,'S3'!BV91,IF($E$2=22.5,'S3'!BD91,IF($E$2=23.5,'S3'!BE91,IF($E$2=24.5,'S3'!BF91,IF($E$2=25.5,'S3'!BG91,IF($E$2=26.5,'S3'!BH91,IF($E$2=27.5,'S3'!BI91,IF($E$2=28.5,'S3'!BJ91,IF($E$2=29.5,'S3'!BK91,IF($E$2=30.5,'S3'!BL91,IF($E$2=31.5,'S3'!BM91,IF($E$2=32.5,'S3'!BN91,IF($E$2=33.5,'S3'!BO91)))))))))))))))))))</f>
        <v>140.38999999999999</v>
      </c>
      <c r="F91" s="437">
        <f t="shared" si="4"/>
        <v>196.55</v>
      </c>
    </row>
    <row r="92" spans="2:6" x14ac:dyDescent="0.45">
      <c r="B92" s="435">
        <v>88</v>
      </c>
      <c r="C92" s="436">
        <f>IF($C$2=34.5,'S3'!AD92,IF($C$2=35.5,'S3'!AF92,IF($C$2=36.5,'S3'!AH92,IF($C$2=37.5,'S3'!AJ92,IF($C$2=38.5,'S3'!AL92,IF($C$2=39.5,'S3'!AN92,IF($C$2=40.5,'S3'!AP92,IF($C$2=27.5,'S3'!P92,IF($C$2=28.5,'S3'!R92,IF($C$2=29.5,'S3'!T92,IF($C$2=30.5,'S3'!V92,IF($C$2=31.5,'S3'!Z92,IF($C$2=32.5,'S3'!Z92,IF($C$2=33.5,'S3'!AB92))))))))))))))</f>
        <v>227.18</v>
      </c>
      <c r="D92" s="436">
        <f>IF($C$2=34.5,'S3'!AE92,IF($C$2=35.5,'S3'!AG92,IF($C$2=36.5,'S3'!AI92,IF($C$2=37.5,'S3'!AK92,IF($C$2=38.5,'S3'!AM92,IF($C$2=39.5,'S3'!AO92,IF($C$2=40.5,'S3'!AQ92,IF($C$2=27.5,'S3'!Q92,IF($C$2=28.5,'S3'!S92,IF($C$2=29.5,'S3'!U92,IF($C$2=30.5,'S3'!W92,IF($C$2=31.5,'S3'!Y92,IF($C$2=32.5,'S3'!AA92,IF($C$2=33.5,'S3'!AC92))))))))))))))</f>
        <v>318.05</v>
      </c>
      <c r="E92" s="437">
        <f>IF($E$2=34.5,'S3'!BP92,IF($E$2=35.5,'S3'!BQ92,IF($E$2=36.5,'S3'!BR92,IF($E$2=37.5,'S3'!BS92,IF($E$2=38.5,'S3'!BT92,IF($E$2=39.5,'S3'!BU92,IF($E$2=40.5,'S3'!BV92,IF($E$2=22.5,'S3'!BD92,IF($E$2=23.5,'S3'!BE92,IF($E$2=24.5,'S3'!BF92,IF($E$2=25.5,'S3'!BG92,IF($E$2=26.5,'S3'!BH92,IF($E$2=27.5,'S3'!BI92,IF($E$2=28.5,'S3'!BJ92,IF($E$2=29.5,'S3'!BK92,IF($E$2=30.5,'S3'!BL92,IF($E$2=31.5,'S3'!BM92,IF($E$2=32.5,'S3'!BN92,IF($E$2=33.5,'S3'!BO92)))))))))))))))))))</f>
        <v>141.99</v>
      </c>
      <c r="F92" s="437">
        <f t="shared" si="4"/>
        <v>198.79</v>
      </c>
    </row>
    <row r="93" spans="2:6" x14ac:dyDescent="0.45">
      <c r="B93" s="435">
        <v>89</v>
      </c>
      <c r="C93" s="436">
        <f>IF($C$2=34.5,'S3'!AD93,IF($C$2=35.5,'S3'!AF93,IF($C$2=36.5,'S3'!AH93,IF($C$2=37.5,'S3'!AJ93,IF($C$2=38.5,'S3'!AL93,IF($C$2=39.5,'S3'!AN93,IF($C$2=40.5,'S3'!AP93,IF($C$2=27.5,'S3'!P93,IF($C$2=28.5,'S3'!R93,IF($C$2=29.5,'S3'!T93,IF($C$2=30.5,'S3'!V93,IF($C$2=31.5,'S3'!Z93,IF($C$2=32.5,'S3'!Z93,IF($C$2=33.5,'S3'!AB93))))))))))))))</f>
        <v>229.7</v>
      </c>
      <c r="D93" s="436">
        <f>IF($C$2=34.5,'S3'!AE93,IF($C$2=35.5,'S3'!AG93,IF($C$2=36.5,'S3'!AI93,IF($C$2=37.5,'S3'!AK93,IF($C$2=38.5,'S3'!AM93,IF($C$2=39.5,'S3'!AO93,IF($C$2=40.5,'S3'!AQ93,IF($C$2=27.5,'S3'!Q93,IF($C$2=28.5,'S3'!S93,IF($C$2=29.5,'S3'!U93,IF($C$2=30.5,'S3'!W93,IF($C$2=31.5,'S3'!Y93,IF($C$2=32.5,'S3'!AA93,IF($C$2=33.5,'S3'!AC93))))))))))))))</f>
        <v>321.58</v>
      </c>
      <c r="E93" s="437">
        <f>IF($E$2=34.5,'S3'!BP93,IF($E$2=35.5,'S3'!BQ93,IF($E$2=36.5,'S3'!BR93,IF($E$2=37.5,'S3'!BS93,IF($E$2=38.5,'S3'!BT93,IF($E$2=39.5,'S3'!BU93,IF($E$2=40.5,'S3'!BV93,IF($E$2=22.5,'S3'!BD93,IF($E$2=23.5,'S3'!BE93,IF($E$2=24.5,'S3'!BF93,IF($E$2=25.5,'S3'!BG93,IF($E$2=26.5,'S3'!BH93,IF($E$2=27.5,'S3'!BI93,IF($E$2=28.5,'S3'!BJ93,IF($E$2=29.5,'S3'!BK93,IF($E$2=30.5,'S3'!BL93,IF($E$2=31.5,'S3'!BM93,IF($E$2=32.5,'S3'!BN93,IF($E$2=33.5,'S3'!BO93)))))))))))))))))))</f>
        <v>143.6</v>
      </c>
      <c r="F93" s="437">
        <f t="shared" si="4"/>
        <v>201.04</v>
      </c>
    </row>
    <row r="94" spans="2:6" x14ac:dyDescent="0.45">
      <c r="B94" s="435">
        <v>90</v>
      </c>
      <c r="C94" s="436">
        <f>IF($C$2=34.5,'S3'!AD94,IF($C$2=35.5,'S3'!AF94,IF($C$2=36.5,'S3'!AH94,IF($C$2=37.5,'S3'!AJ94,IF($C$2=38.5,'S3'!AL94,IF($C$2=39.5,'S3'!AN94,IF($C$2=40.5,'S3'!AP94,IF($C$2=27.5,'S3'!P94,IF($C$2=28.5,'S3'!R94,IF($C$2=29.5,'S3'!T94,IF($C$2=30.5,'S3'!V94,IF($C$2=31.5,'S3'!Z94,IF($C$2=32.5,'S3'!Z94,IF($C$2=33.5,'S3'!AB94))))))))))))))</f>
        <v>232.24</v>
      </c>
      <c r="D94" s="436">
        <f>IF($C$2=34.5,'S3'!AE94,IF($C$2=35.5,'S3'!AG94,IF($C$2=36.5,'S3'!AI94,IF($C$2=37.5,'S3'!AK94,IF($C$2=38.5,'S3'!AM94,IF($C$2=39.5,'S3'!AO94,IF($C$2=40.5,'S3'!AQ94,IF($C$2=27.5,'S3'!Q94,IF($C$2=28.5,'S3'!S94,IF($C$2=29.5,'S3'!U94,IF($C$2=30.5,'S3'!W94,IF($C$2=31.5,'S3'!Y94,IF($C$2=32.5,'S3'!AA94,IF($C$2=33.5,'S3'!AC94))))))))))))))</f>
        <v>325.14</v>
      </c>
      <c r="E94" s="437">
        <f>IF($E$2=34.5,'S3'!BP94,IF($E$2=35.5,'S3'!BQ94,IF($E$2=36.5,'S3'!BR94,IF($E$2=37.5,'S3'!BS94,IF($E$2=38.5,'S3'!BT94,IF($E$2=39.5,'S3'!BU94,IF($E$2=40.5,'S3'!BV94,IF($E$2=22.5,'S3'!BD94,IF($E$2=23.5,'S3'!BE94,IF($E$2=24.5,'S3'!BF94,IF($E$2=25.5,'S3'!BG94,IF($E$2=26.5,'S3'!BH94,IF($E$2=27.5,'S3'!BI94,IF($E$2=28.5,'S3'!BJ94,IF($E$2=29.5,'S3'!BK94,IF($E$2=30.5,'S3'!BL94,IF($E$2=31.5,'S3'!BM94,IF($E$2=32.5,'S3'!BN94,IF($E$2=33.5,'S3'!BO94)))))))))))))))))))</f>
        <v>145.24</v>
      </c>
      <c r="F94" s="437">
        <f t="shared" si="4"/>
        <v>203.34</v>
      </c>
    </row>
    <row r="95" spans="2:6" x14ac:dyDescent="0.45">
      <c r="B95" s="435">
        <v>91</v>
      </c>
      <c r="C95" s="436">
        <f>IF($C$2=34.5,'S3'!AD95,IF($C$2=35.5,'S3'!AF95,IF($C$2=36.5,'S3'!AH95,IF($C$2=37.5,'S3'!AJ95,IF($C$2=38.5,'S3'!AL95,IF($C$2=39.5,'S3'!AN95,IF($C$2=40.5,'S3'!AP95,IF($C$2=27.5,'S3'!P95,IF($C$2=28.5,'S3'!R95,IF($C$2=29.5,'S3'!T95,IF($C$2=30.5,'S3'!V95,IF($C$2=31.5,'S3'!Z95,IF($C$2=32.5,'S3'!Z95,IF($C$2=33.5,'S3'!AB95))))))))))))))</f>
        <v>234.93</v>
      </c>
      <c r="D95" s="436">
        <f>IF($C$2=34.5,'S3'!AE95,IF($C$2=35.5,'S3'!AG95,IF($C$2=36.5,'S3'!AI95,IF($C$2=37.5,'S3'!AK95,IF($C$2=38.5,'S3'!AM95,IF($C$2=39.5,'S3'!AO95,IF($C$2=40.5,'S3'!AQ95,IF($C$2=27.5,'S3'!Q95,IF($C$2=28.5,'S3'!S95,IF($C$2=29.5,'S3'!U95,IF($C$2=30.5,'S3'!W95,IF($C$2=31.5,'S3'!Y95,IF($C$2=32.5,'S3'!AA95,IF($C$2=33.5,'S3'!AC95))))))))))))))</f>
        <v>328.9</v>
      </c>
      <c r="E95" s="437">
        <f>IF($E$2=34.5,'S3'!BP95,IF($E$2=35.5,'S3'!BQ95,IF($E$2=36.5,'S3'!BR95,IF($E$2=37.5,'S3'!BS95,IF($E$2=38.5,'S3'!BT95,IF($E$2=39.5,'S3'!BU95,IF($E$2=40.5,'S3'!BV95,IF($E$2=22.5,'S3'!BD95,IF($E$2=23.5,'S3'!BE95,IF($E$2=24.5,'S3'!BF95,IF($E$2=25.5,'S3'!BG95,IF($E$2=26.5,'S3'!BH95,IF($E$2=27.5,'S3'!BI95,IF($E$2=28.5,'S3'!BJ95,IF($E$2=29.5,'S3'!BK95,IF($E$2=30.5,'S3'!BL95,IF($E$2=31.5,'S3'!BM95,IF($E$2=32.5,'S3'!BN95,IF($E$2=33.5,'S3'!BO95)))))))))))))))))))</f>
        <v>146.85</v>
      </c>
      <c r="F95" s="437">
        <f t="shared" si="4"/>
        <v>205.59</v>
      </c>
    </row>
    <row r="96" spans="2:6" x14ac:dyDescent="0.45">
      <c r="B96" s="435">
        <v>92</v>
      </c>
      <c r="C96" s="436">
        <f>IF($C$2=34.5,'S3'!AD96,IF($C$2=35.5,'S3'!AF96,IF($C$2=36.5,'S3'!AH96,IF($C$2=37.5,'S3'!AJ96,IF($C$2=38.5,'S3'!AL96,IF($C$2=39.5,'S3'!AN96,IF($C$2=40.5,'S3'!AP96,IF($C$2=27.5,'S3'!P96,IF($C$2=28.5,'S3'!R96,IF($C$2=29.5,'S3'!T96,IF($C$2=30.5,'S3'!V96,IF($C$2=31.5,'S3'!Z96,IF($C$2=32.5,'S3'!Z96,IF($C$2=33.5,'S3'!AB96))))))))))))))</f>
        <v>237.48</v>
      </c>
      <c r="D96" s="436">
        <f>IF($C$2=34.5,'S3'!AE96,IF($C$2=35.5,'S3'!AG96,IF($C$2=36.5,'S3'!AI96,IF($C$2=37.5,'S3'!AK96,IF($C$2=38.5,'S3'!AM96,IF($C$2=39.5,'S3'!AO96,IF($C$2=40.5,'S3'!AQ96,IF($C$2=27.5,'S3'!Q96,IF($C$2=28.5,'S3'!S96,IF($C$2=29.5,'S3'!U96,IF($C$2=30.5,'S3'!W96,IF($C$2=31.5,'S3'!Y96,IF($C$2=32.5,'S3'!AA96,IF($C$2=33.5,'S3'!AC96))))))))))))))</f>
        <v>332.47</v>
      </c>
      <c r="E96" s="437">
        <f>IF($E$2=34.5,'S3'!BP96,IF($E$2=35.5,'S3'!BQ96,IF($E$2=36.5,'S3'!BR96,IF($E$2=37.5,'S3'!BS96,IF($E$2=38.5,'S3'!BT96,IF($E$2=39.5,'S3'!BU96,IF($E$2=40.5,'S3'!BV96,IF($E$2=22.5,'S3'!BD96,IF($E$2=23.5,'S3'!BE96,IF($E$2=24.5,'S3'!BF96,IF($E$2=25.5,'S3'!BG96,IF($E$2=26.5,'S3'!BH96,IF($E$2=27.5,'S3'!BI96,IF($E$2=28.5,'S3'!BJ96,IF($E$2=29.5,'S3'!BK96,IF($E$2=30.5,'S3'!BL96,IF($E$2=31.5,'S3'!BM96,IF($E$2=32.5,'S3'!BN96,IF($E$2=33.5,'S3'!BO96)))))))))))))))))))</f>
        <v>148.41999999999999</v>
      </c>
      <c r="F96" s="437">
        <f t="shared" si="4"/>
        <v>207.79</v>
      </c>
    </row>
    <row r="97" spans="2:6" x14ac:dyDescent="0.45">
      <c r="B97" s="435">
        <v>93</v>
      </c>
      <c r="C97" s="436">
        <f>IF($C$2=34.5,'S3'!AD97,IF($C$2=35.5,'S3'!AF97,IF($C$2=36.5,'S3'!AH97,IF($C$2=37.5,'S3'!AJ97,IF($C$2=38.5,'S3'!AL97,IF($C$2=39.5,'S3'!AN97,IF($C$2=40.5,'S3'!AP97,IF($C$2=27.5,'S3'!P97,IF($C$2=28.5,'S3'!R97,IF($C$2=29.5,'S3'!T97,IF($C$2=30.5,'S3'!V97,IF($C$2=31.5,'S3'!Z97,IF($C$2=32.5,'S3'!Z97,IF($C$2=33.5,'S3'!AB97))))))))))))))</f>
        <v>240.05</v>
      </c>
      <c r="D97" s="436">
        <f>IF($C$2=34.5,'S3'!AE97,IF($C$2=35.5,'S3'!AG97,IF($C$2=36.5,'S3'!AI97,IF($C$2=37.5,'S3'!AK97,IF($C$2=38.5,'S3'!AM97,IF($C$2=39.5,'S3'!AO97,IF($C$2=40.5,'S3'!AQ97,IF($C$2=27.5,'S3'!Q97,IF($C$2=28.5,'S3'!S97,IF($C$2=29.5,'S3'!U97,IF($C$2=30.5,'S3'!W97,IF($C$2=31.5,'S3'!Y97,IF($C$2=32.5,'S3'!AA97,IF($C$2=33.5,'S3'!AC97))))))))))))))</f>
        <v>336.07</v>
      </c>
      <c r="E97" s="437">
        <f>IF($E$2=34.5,'S3'!BP97,IF($E$2=35.5,'S3'!BQ97,IF($E$2=36.5,'S3'!BR97,IF($E$2=37.5,'S3'!BS97,IF($E$2=38.5,'S3'!BT97,IF($E$2=39.5,'S3'!BU97,IF($E$2=40.5,'S3'!BV97,IF($E$2=22.5,'S3'!BD97,IF($E$2=23.5,'S3'!BE97,IF($E$2=24.5,'S3'!BF97,IF($E$2=25.5,'S3'!BG97,IF($E$2=26.5,'S3'!BH97,IF($E$2=27.5,'S3'!BI97,IF($E$2=28.5,'S3'!BJ97,IF($E$2=29.5,'S3'!BK97,IF($E$2=30.5,'S3'!BL97,IF($E$2=31.5,'S3'!BM97,IF($E$2=32.5,'S3'!BN97,IF($E$2=33.5,'S3'!BO97)))))))))))))))))))</f>
        <v>150.03</v>
      </c>
      <c r="F97" s="437">
        <f t="shared" si="4"/>
        <v>210.04</v>
      </c>
    </row>
    <row r="98" spans="2:6" x14ac:dyDescent="0.45">
      <c r="B98" s="435">
        <v>94</v>
      </c>
      <c r="C98" s="436">
        <f>IF($C$2=34.5,'S3'!AD98,IF($C$2=35.5,'S3'!AF98,IF($C$2=36.5,'S3'!AH98,IF($C$2=37.5,'S3'!AJ98,IF($C$2=38.5,'S3'!AL98,IF($C$2=39.5,'S3'!AN98,IF($C$2=40.5,'S3'!AP98,IF($C$2=27.5,'S3'!P98,IF($C$2=28.5,'S3'!R98,IF($C$2=29.5,'S3'!T98,IF($C$2=30.5,'S3'!V98,IF($C$2=31.5,'S3'!Z98,IF($C$2=32.5,'S3'!Z98,IF($C$2=33.5,'S3'!AB98))))))))))))))</f>
        <v>242.62</v>
      </c>
      <c r="D98" s="436">
        <f>IF($C$2=34.5,'S3'!AE98,IF($C$2=35.5,'S3'!AG98,IF($C$2=36.5,'S3'!AI98,IF($C$2=37.5,'S3'!AK98,IF($C$2=38.5,'S3'!AM98,IF($C$2=39.5,'S3'!AO98,IF($C$2=40.5,'S3'!AQ98,IF($C$2=27.5,'S3'!Q98,IF($C$2=28.5,'S3'!S98,IF($C$2=29.5,'S3'!U98,IF($C$2=30.5,'S3'!W98,IF($C$2=31.5,'S3'!Y98,IF($C$2=32.5,'S3'!AA98,IF($C$2=33.5,'S3'!AC98))))))))))))))</f>
        <v>339.67</v>
      </c>
      <c r="E98" s="437">
        <f>IF($E$2=34.5,'S3'!BP98,IF($E$2=35.5,'S3'!BQ98,IF($E$2=36.5,'S3'!BR98,IF($E$2=37.5,'S3'!BS98,IF($E$2=38.5,'S3'!BT98,IF($E$2=39.5,'S3'!BU98,IF($E$2=40.5,'S3'!BV98,IF($E$2=22.5,'S3'!BD98,IF($E$2=23.5,'S3'!BE98,IF($E$2=24.5,'S3'!BF98,IF($E$2=25.5,'S3'!BG98,IF($E$2=26.5,'S3'!BH98,IF($E$2=27.5,'S3'!BI98,IF($E$2=28.5,'S3'!BJ98,IF($E$2=29.5,'S3'!BK98,IF($E$2=30.5,'S3'!BL98,IF($E$2=31.5,'S3'!BM98,IF($E$2=32.5,'S3'!BN98,IF($E$2=33.5,'S3'!BO98)))))))))))))))))))</f>
        <v>151.63999999999999</v>
      </c>
      <c r="F98" s="437">
        <f t="shared" si="4"/>
        <v>212.3</v>
      </c>
    </row>
    <row r="99" spans="2:6" x14ac:dyDescent="0.45">
      <c r="B99" s="435">
        <v>95</v>
      </c>
      <c r="C99" s="436">
        <f>IF($C$2=34.5,'S3'!AD99,IF($C$2=35.5,'S3'!AF99,IF($C$2=36.5,'S3'!AH99,IF($C$2=37.5,'S3'!AJ99,IF($C$2=38.5,'S3'!AL99,IF($C$2=39.5,'S3'!AN99,IF($C$2=40.5,'S3'!AP99,IF($C$2=27.5,'S3'!P99,IF($C$2=28.5,'S3'!R99,IF($C$2=29.5,'S3'!T99,IF($C$2=30.5,'S3'!V99,IF($C$2=31.5,'S3'!Z99,IF($C$2=32.5,'S3'!Z99,IF($C$2=33.5,'S3'!AB99))))))))))))))</f>
        <v>245.05</v>
      </c>
      <c r="D99" s="436">
        <f>IF($C$2=34.5,'S3'!AE99,IF($C$2=35.5,'S3'!AG99,IF($C$2=36.5,'S3'!AI99,IF($C$2=37.5,'S3'!AK99,IF($C$2=38.5,'S3'!AM99,IF($C$2=39.5,'S3'!AO99,IF($C$2=40.5,'S3'!AQ99,IF($C$2=27.5,'S3'!Q99,IF($C$2=28.5,'S3'!S99,IF($C$2=29.5,'S3'!U99,IF($C$2=30.5,'S3'!W99,IF($C$2=31.5,'S3'!Y99,IF($C$2=32.5,'S3'!AA99,IF($C$2=33.5,'S3'!AC99))))))))))))))</f>
        <v>343.07</v>
      </c>
      <c r="E99" s="437">
        <f>IF($E$2=34.5,'S3'!BP99,IF($E$2=35.5,'S3'!BQ99,IF($E$2=36.5,'S3'!BR99,IF($E$2=37.5,'S3'!BS99,IF($E$2=38.5,'S3'!BT99,IF($E$2=39.5,'S3'!BU99,IF($E$2=40.5,'S3'!BV99,IF($E$2=22.5,'S3'!BD99,IF($E$2=23.5,'S3'!BE99,IF($E$2=24.5,'S3'!BF99,IF($E$2=25.5,'S3'!BG99,IF($E$2=26.5,'S3'!BH99,IF($E$2=27.5,'S3'!BI99,IF($E$2=28.5,'S3'!BJ99,IF($E$2=29.5,'S3'!BK99,IF($E$2=30.5,'S3'!BL99,IF($E$2=31.5,'S3'!BM99,IF($E$2=32.5,'S3'!BN99,IF($E$2=33.5,'S3'!BO99)))))))))))))))))))</f>
        <v>153.26</v>
      </c>
      <c r="F99" s="437">
        <f t="shared" si="4"/>
        <v>214.56</v>
      </c>
    </row>
    <row r="100" spans="2:6" x14ac:dyDescent="0.45">
      <c r="B100" s="435">
        <v>96</v>
      </c>
      <c r="C100" s="436">
        <f>IF($C$2=34.5,'S3'!AD100,IF($C$2=35.5,'S3'!AF100,IF($C$2=36.5,'S3'!AH100,IF($C$2=37.5,'S3'!AJ100,IF($C$2=38.5,'S3'!AL100,IF($C$2=39.5,'S3'!AN100,IF($C$2=40.5,'S3'!AP100,IF($C$2=27.5,'S3'!P100,IF($C$2=28.5,'S3'!R100,IF($C$2=29.5,'S3'!T100,IF($C$2=30.5,'S3'!V100,IF($C$2=31.5,'S3'!Z100,IF($C$2=32.5,'S3'!Z100,IF($C$2=33.5,'S3'!AB100))))))))))))))</f>
        <v>247.64</v>
      </c>
      <c r="D100" s="436">
        <f>IF($C$2=34.5,'S3'!AE100,IF($C$2=35.5,'S3'!AG100,IF($C$2=36.5,'S3'!AI100,IF($C$2=37.5,'S3'!AK100,IF($C$2=38.5,'S3'!AM100,IF($C$2=39.5,'S3'!AO100,IF($C$2=40.5,'S3'!AQ100,IF($C$2=27.5,'S3'!Q100,IF($C$2=28.5,'S3'!S100,IF($C$2=29.5,'S3'!U100,IF($C$2=30.5,'S3'!W100,IF($C$2=31.5,'S3'!Y100,IF($C$2=32.5,'S3'!AA100,IF($C$2=33.5,'S3'!AC100))))))))))))))</f>
        <v>346.7</v>
      </c>
      <c r="E100" s="437">
        <f>IF($E$2=34.5,'S3'!BP100,IF($E$2=35.5,'S3'!BQ100,IF($E$2=36.5,'S3'!BR100,IF($E$2=37.5,'S3'!BS100,IF($E$2=38.5,'S3'!BT100,IF($E$2=39.5,'S3'!BU100,IF($E$2=40.5,'S3'!BV100,IF($E$2=22.5,'S3'!BD100,IF($E$2=23.5,'S3'!BE100,IF($E$2=24.5,'S3'!BF100,IF($E$2=25.5,'S3'!BG100,IF($E$2=26.5,'S3'!BH100,IF($E$2=27.5,'S3'!BI100,IF($E$2=28.5,'S3'!BJ100,IF($E$2=29.5,'S3'!BK100,IF($E$2=30.5,'S3'!BL100,IF($E$2=31.5,'S3'!BM100,IF($E$2=32.5,'S3'!BN100,IF($E$2=33.5,'S3'!BO100)))))))))))))))))))</f>
        <v>154.88</v>
      </c>
      <c r="F100" s="437">
        <f t="shared" si="4"/>
        <v>216.83</v>
      </c>
    </row>
    <row r="101" spans="2:6" x14ac:dyDescent="0.45">
      <c r="B101" s="435">
        <v>97</v>
      </c>
      <c r="C101" s="436">
        <f>IF($C$2=34.5,'S3'!AD101,IF($C$2=35.5,'S3'!AF101,IF($C$2=36.5,'S3'!AH101,IF($C$2=37.5,'S3'!AJ101,IF($C$2=38.5,'S3'!AL101,IF($C$2=39.5,'S3'!AN101,IF($C$2=40.5,'S3'!AP101,IF($C$2=27.5,'S3'!P101,IF($C$2=28.5,'S3'!R101,IF($C$2=29.5,'S3'!T101,IF($C$2=30.5,'S3'!V101,IF($C$2=31.5,'S3'!Z101,IF($C$2=32.5,'S3'!Z101,IF($C$2=33.5,'S3'!AB101))))))))))))))</f>
        <v>250.25</v>
      </c>
      <c r="D101" s="436">
        <f>IF($C$2=34.5,'S3'!AE101,IF($C$2=35.5,'S3'!AG101,IF($C$2=36.5,'S3'!AI101,IF($C$2=37.5,'S3'!AK101,IF($C$2=38.5,'S3'!AM101,IF($C$2=39.5,'S3'!AO101,IF($C$2=40.5,'S3'!AQ101,IF($C$2=27.5,'S3'!Q101,IF($C$2=28.5,'S3'!S101,IF($C$2=29.5,'S3'!U101,IF($C$2=30.5,'S3'!W101,IF($C$2=31.5,'S3'!Y101,IF($C$2=32.5,'S3'!AA101,IF($C$2=33.5,'S3'!AC101))))))))))))))</f>
        <v>350.35</v>
      </c>
      <c r="E101" s="437">
        <f>IF($E$2=34.5,'S3'!BP101,IF($E$2=35.5,'S3'!BQ101,IF($E$2=36.5,'S3'!BR101,IF($E$2=37.5,'S3'!BS101,IF($E$2=38.5,'S3'!BT101,IF($E$2=39.5,'S3'!BU101,IF($E$2=40.5,'S3'!BV101,IF($E$2=22.5,'S3'!BD101,IF($E$2=23.5,'S3'!BE101,IF($E$2=24.5,'S3'!BF101,IF($E$2=25.5,'S3'!BG101,IF($E$2=26.5,'S3'!BH101,IF($E$2=27.5,'S3'!BI101,IF($E$2=28.5,'S3'!BJ101,IF($E$2=29.5,'S3'!BK101,IF($E$2=30.5,'S3'!BL101,IF($E$2=31.5,'S3'!BM101,IF($E$2=32.5,'S3'!BN101,IF($E$2=33.5,'S3'!BO101)))))))))))))))))))</f>
        <v>156.46</v>
      </c>
      <c r="F101" s="437">
        <f t="shared" si="4"/>
        <v>219.04</v>
      </c>
    </row>
    <row r="102" spans="2:6" x14ac:dyDescent="0.45">
      <c r="B102" s="435">
        <v>98</v>
      </c>
      <c r="C102" s="436">
        <f>IF($C$2=34.5,'S3'!AD102,IF($C$2=35.5,'S3'!AF102,IF($C$2=36.5,'S3'!AH102,IF($C$2=37.5,'S3'!AJ102,IF($C$2=38.5,'S3'!AL102,IF($C$2=39.5,'S3'!AN102,IF($C$2=40.5,'S3'!AP102,IF($C$2=27.5,'S3'!P102,IF($C$2=28.5,'S3'!R102,IF($C$2=29.5,'S3'!T102,IF($C$2=30.5,'S3'!V102,IF($C$2=31.5,'S3'!Z102,IF($C$2=32.5,'S3'!Z102,IF($C$2=33.5,'S3'!AB102))))))))))))))</f>
        <v>252.86</v>
      </c>
      <c r="D102" s="436">
        <f>IF($C$2=34.5,'S3'!AE102,IF($C$2=35.5,'S3'!AG102,IF($C$2=36.5,'S3'!AI102,IF($C$2=37.5,'S3'!AK102,IF($C$2=38.5,'S3'!AM102,IF($C$2=39.5,'S3'!AO102,IF($C$2=40.5,'S3'!AQ102,IF($C$2=27.5,'S3'!Q102,IF($C$2=28.5,'S3'!S102,IF($C$2=29.5,'S3'!U102,IF($C$2=30.5,'S3'!W102,IF($C$2=31.5,'S3'!Y102,IF($C$2=32.5,'S3'!AA102,IF($C$2=33.5,'S3'!AC102))))))))))))))</f>
        <v>354</v>
      </c>
      <c r="E102" s="437">
        <f>IF($E$2=34.5,'S3'!BP102,IF($E$2=35.5,'S3'!BQ102,IF($E$2=36.5,'S3'!BR102,IF($E$2=37.5,'S3'!BS102,IF($E$2=38.5,'S3'!BT102,IF($E$2=39.5,'S3'!BU102,IF($E$2=40.5,'S3'!BV102,IF($E$2=22.5,'S3'!BD102,IF($E$2=23.5,'S3'!BE102,IF($E$2=24.5,'S3'!BF102,IF($E$2=25.5,'S3'!BG102,IF($E$2=26.5,'S3'!BH102,IF($E$2=27.5,'S3'!BI102,IF($E$2=28.5,'S3'!BJ102,IF($E$2=29.5,'S3'!BK102,IF($E$2=30.5,'S3'!BL102,IF($E$2=31.5,'S3'!BM102,IF($E$2=32.5,'S3'!BN102,IF($E$2=33.5,'S3'!BO102)))))))))))))))))))</f>
        <v>158.09</v>
      </c>
      <c r="F102" s="437">
        <f t="shared" si="4"/>
        <v>221.33</v>
      </c>
    </row>
    <row r="103" spans="2:6" x14ac:dyDescent="0.45">
      <c r="B103" s="435">
        <v>99</v>
      </c>
      <c r="C103" s="436">
        <f>IF($C$2=34.5,'S3'!AD103,IF($C$2=35.5,'S3'!AF103,IF($C$2=36.5,'S3'!AH103,IF($C$2=37.5,'S3'!AJ103,IF($C$2=38.5,'S3'!AL103,IF($C$2=39.5,'S3'!AN103,IF($C$2=40.5,'S3'!AP103,IF($C$2=27.5,'S3'!P103,IF($C$2=28.5,'S3'!R103,IF($C$2=29.5,'S3'!T103,IF($C$2=30.5,'S3'!V103,IF($C$2=31.5,'S3'!Z103,IF($C$2=32.5,'S3'!Z103,IF($C$2=33.5,'S3'!AB103))))))))))))))</f>
        <v>255.48</v>
      </c>
      <c r="D103" s="436">
        <f>IF($C$2=34.5,'S3'!AE103,IF($C$2=35.5,'S3'!AG103,IF($C$2=36.5,'S3'!AI103,IF($C$2=37.5,'S3'!AK103,IF($C$2=38.5,'S3'!AM103,IF($C$2=39.5,'S3'!AO103,IF($C$2=40.5,'S3'!AQ103,IF($C$2=27.5,'S3'!Q103,IF($C$2=28.5,'S3'!S103,IF($C$2=29.5,'S3'!U103,IF($C$2=30.5,'S3'!W103,IF($C$2=31.5,'S3'!Y103,IF($C$2=32.5,'S3'!AA103,IF($C$2=33.5,'S3'!AC103))))))))))))))</f>
        <v>357.67</v>
      </c>
      <c r="E103" s="437">
        <f>IF($E$2=34.5,'S3'!BP103,IF($E$2=35.5,'S3'!BQ103,IF($E$2=36.5,'S3'!BR103,IF($E$2=37.5,'S3'!BS103,IF($E$2=38.5,'S3'!BT103,IF($E$2=39.5,'S3'!BU103,IF($E$2=40.5,'S3'!BV103,IF($E$2=22.5,'S3'!BD103,IF($E$2=23.5,'S3'!BE103,IF($E$2=24.5,'S3'!BF103,IF($E$2=25.5,'S3'!BG103,IF($E$2=26.5,'S3'!BH103,IF($E$2=27.5,'S3'!BI103,IF($E$2=28.5,'S3'!BJ103,IF($E$2=29.5,'S3'!BK103,IF($E$2=30.5,'S3'!BL103,IF($E$2=31.5,'S3'!BM103,IF($E$2=32.5,'S3'!BN103,IF($E$2=33.5,'S3'!BO103)))))))))))))))))))</f>
        <v>159.66999999999999</v>
      </c>
      <c r="F103" s="437">
        <f t="shared" si="4"/>
        <v>223.54</v>
      </c>
    </row>
    <row r="104" spans="2:6" x14ac:dyDescent="0.45">
      <c r="B104" s="435">
        <v>100</v>
      </c>
      <c r="C104" s="436">
        <f>IF($C$2=34.5,'S3'!AD104,IF($C$2=35.5,'S3'!AF104,IF($C$2=36.5,'S3'!AH104,IF($C$2=37.5,'S3'!AJ104,IF($C$2=38.5,'S3'!AL104,IF($C$2=39.5,'S3'!AN104,IF($C$2=40.5,'S3'!AP104,IF($C$2=27.5,'S3'!P104,IF($C$2=28.5,'S3'!R104,IF($C$2=29.5,'S3'!T104,IF($C$2=30.5,'S3'!V104,IF($C$2=31.5,'S3'!Z104,IF($C$2=32.5,'S3'!Z104,IF($C$2=33.5,'S3'!AB104))))))))))))))</f>
        <v>257.94</v>
      </c>
      <c r="D104" s="436">
        <f>IF($C$2=34.5,'S3'!AE104,IF($C$2=35.5,'S3'!AG104,IF($C$2=36.5,'S3'!AI104,IF($C$2=37.5,'S3'!AK104,IF($C$2=38.5,'S3'!AM104,IF($C$2=39.5,'S3'!AO104,IF($C$2=40.5,'S3'!AQ104,IF($C$2=27.5,'S3'!Q104,IF($C$2=28.5,'S3'!S104,IF($C$2=29.5,'S3'!U104,IF($C$2=30.5,'S3'!W104,IF($C$2=31.5,'S3'!Y104,IF($C$2=32.5,'S3'!AA104,IF($C$2=33.5,'S3'!AC104))))))))))))))</f>
        <v>361.12</v>
      </c>
      <c r="E104" s="437">
        <f>IF($E$2=34.5,'S3'!BP104,IF($E$2=35.5,'S3'!BQ104,IF($E$2=36.5,'S3'!BR104,IF($E$2=37.5,'S3'!BS104,IF($E$2=38.5,'S3'!BT104,IF($E$2=39.5,'S3'!BU104,IF($E$2=40.5,'S3'!BV104,IF($E$2=22.5,'S3'!BD104,IF($E$2=23.5,'S3'!BE104,IF($E$2=24.5,'S3'!BF104,IF($E$2=25.5,'S3'!BG104,IF($E$2=26.5,'S3'!BH104,IF($E$2=27.5,'S3'!BI104,IF($E$2=28.5,'S3'!BJ104,IF($E$2=29.5,'S3'!BK104,IF($E$2=30.5,'S3'!BL104,IF($E$2=31.5,'S3'!BM104,IF($E$2=32.5,'S3'!BN104,IF($E$2=33.5,'S3'!BO104)))))))))))))))))))</f>
        <v>161.30000000000001</v>
      </c>
      <c r="F104" s="437">
        <f t="shared" si="4"/>
        <v>225.82</v>
      </c>
    </row>
    <row r="105" spans="2:6" x14ac:dyDescent="0.45">
      <c r="B105" s="435">
        <v>101</v>
      </c>
      <c r="C105" s="436">
        <f>IF($C$2=34.5,'S3'!AD105,IF($C$2=35.5,'S3'!AF105,IF($C$2=36.5,'S3'!AH105,IF($C$2=37.5,'S3'!AJ105,IF($C$2=38.5,'S3'!AL105,IF($C$2=39.5,'S3'!AN105,IF($C$2=40.5,'S3'!AP105,IF($C$2=27.5,'S3'!P105,IF($C$2=28.5,'S3'!R105,IF($C$2=29.5,'S3'!T105,IF($C$2=30.5,'S3'!V105,IF($C$2=31.5,'S3'!Z105,IF($C$2=32.5,'S3'!Z105,IF($C$2=33.5,'S3'!AB105))))))))))))))</f>
        <v>260.58</v>
      </c>
      <c r="D105" s="436">
        <f>IF($C$2=34.5,'S3'!AE105,IF($C$2=35.5,'S3'!AG105,IF($C$2=36.5,'S3'!AI105,IF($C$2=37.5,'S3'!AK105,IF($C$2=38.5,'S3'!AM105,IF($C$2=39.5,'S3'!AO105,IF($C$2=40.5,'S3'!AQ105,IF($C$2=27.5,'S3'!Q105,IF($C$2=28.5,'S3'!S105,IF($C$2=29.5,'S3'!U105,IF($C$2=30.5,'S3'!W105,IF($C$2=31.5,'S3'!Y105,IF($C$2=32.5,'S3'!AA105,IF($C$2=33.5,'S3'!AC105))))))))))))))</f>
        <v>364.81</v>
      </c>
      <c r="E105" s="437">
        <f>IF($E$2=34.5,'S3'!BP105,IF($E$2=35.5,'S3'!BQ105,IF($E$2=36.5,'S3'!BR105,IF($E$2=37.5,'S3'!BS105,IF($E$2=38.5,'S3'!BT105,IF($E$2=39.5,'S3'!BU105,IF($E$2=40.5,'S3'!BV105,IF($E$2=22.5,'S3'!BD105,IF($E$2=23.5,'S3'!BE105,IF($E$2=24.5,'S3'!BF105,IF($E$2=25.5,'S3'!BG105,IF($E$2=26.5,'S3'!BH105,IF($E$2=27.5,'S3'!BI105,IF($E$2=28.5,'S3'!BJ105,IF($E$2=29.5,'S3'!BK105,IF($E$2=30.5,'S3'!BL105,IF($E$2=31.5,'S3'!BM105,IF($E$2=32.5,'S3'!BN105,IF($E$2=33.5,'S3'!BO105)))))))))))))))))))</f>
        <v>162.88</v>
      </c>
      <c r="F105" s="437">
        <f t="shared" si="4"/>
        <v>228.03</v>
      </c>
    </row>
    <row r="106" spans="2:6" x14ac:dyDescent="0.45">
      <c r="B106" s="435">
        <v>102</v>
      </c>
      <c r="C106" s="436">
        <f>IF($C$2=34.5,'S3'!AD106,IF($C$2=35.5,'S3'!AF106,IF($C$2=36.5,'S3'!AH106,IF($C$2=37.5,'S3'!AJ106,IF($C$2=38.5,'S3'!AL106,IF($C$2=39.5,'S3'!AN106,IF($C$2=40.5,'S3'!AP106,IF($C$2=27.5,'S3'!P106,IF($C$2=28.5,'S3'!R106,IF($C$2=29.5,'S3'!T106,IF($C$2=30.5,'S3'!V106,IF($C$2=31.5,'S3'!Z106,IF($C$2=32.5,'S3'!Z106,IF($C$2=33.5,'S3'!AB106))))))))))))))</f>
        <v>263.06</v>
      </c>
      <c r="D106" s="436">
        <f>IF($C$2=34.5,'S3'!AE106,IF($C$2=35.5,'S3'!AG106,IF($C$2=36.5,'S3'!AI106,IF($C$2=37.5,'S3'!AK106,IF($C$2=38.5,'S3'!AM106,IF($C$2=39.5,'S3'!AO106,IF($C$2=40.5,'S3'!AQ106,IF($C$2=27.5,'S3'!Q106,IF($C$2=28.5,'S3'!S106,IF($C$2=29.5,'S3'!U106,IF($C$2=30.5,'S3'!W106,IF($C$2=31.5,'S3'!Y106,IF($C$2=32.5,'S3'!AA106,IF($C$2=33.5,'S3'!AC106))))))))))))))</f>
        <v>368.28</v>
      </c>
      <c r="E106" s="437">
        <f>IF($E$2=34.5,'S3'!BP106,IF($E$2=35.5,'S3'!BQ106,IF($E$2=36.5,'S3'!BR106,IF($E$2=37.5,'S3'!BS106,IF($E$2=38.5,'S3'!BT106,IF($E$2=39.5,'S3'!BU106,IF($E$2=40.5,'S3'!BV106,IF($E$2=22.5,'S3'!BD106,IF($E$2=23.5,'S3'!BE106,IF($E$2=24.5,'S3'!BF106,IF($E$2=25.5,'S3'!BG106,IF($E$2=26.5,'S3'!BH106,IF($E$2=27.5,'S3'!BI106,IF($E$2=28.5,'S3'!BJ106,IF($E$2=29.5,'S3'!BK106,IF($E$2=30.5,'S3'!BL106,IF($E$2=31.5,'S3'!BM106,IF($E$2=32.5,'S3'!BN106,IF($E$2=33.5,'S3'!BO106)))))))))))))))))))</f>
        <v>164.52</v>
      </c>
      <c r="F106" s="437">
        <f t="shared" si="4"/>
        <v>230.33</v>
      </c>
    </row>
    <row r="107" spans="2:6" x14ac:dyDescent="0.45">
      <c r="B107" s="435">
        <v>103</v>
      </c>
      <c r="C107" s="436">
        <f>IF($C$2=34.5,'S3'!AD107,IF($C$2=35.5,'S3'!AF107,IF($C$2=36.5,'S3'!AH107,IF($C$2=37.5,'S3'!AJ107,IF($C$2=38.5,'S3'!AL107,IF($C$2=39.5,'S3'!AN107,IF($C$2=40.5,'S3'!AP107,IF($C$2=27.5,'S3'!P107,IF($C$2=28.5,'S3'!R107,IF($C$2=29.5,'S3'!T107,IF($C$2=30.5,'S3'!V107,IF($C$2=31.5,'S3'!Z107,IF($C$2=32.5,'S3'!Z107,IF($C$2=33.5,'S3'!AB107))))))))))))))</f>
        <v>265.72000000000003</v>
      </c>
      <c r="D107" s="436">
        <f>IF($C$2=34.5,'S3'!AE107,IF($C$2=35.5,'S3'!AG107,IF($C$2=36.5,'S3'!AI107,IF($C$2=37.5,'S3'!AK107,IF($C$2=38.5,'S3'!AM107,IF($C$2=39.5,'S3'!AO107,IF($C$2=40.5,'S3'!AQ107,IF($C$2=27.5,'S3'!Q107,IF($C$2=28.5,'S3'!S107,IF($C$2=29.5,'S3'!U107,IF($C$2=30.5,'S3'!W107,IF($C$2=31.5,'S3'!Y107,IF($C$2=32.5,'S3'!AA107,IF($C$2=33.5,'S3'!AC107))))))))))))))</f>
        <v>372.01</v>
      </c>
      <c r="E107" s="437">
        <f>IF($E$2=34.5,'S3'!BP107,IF($E$2=35.5,'S3'!BQ107,IF($E$2=36.5,'S3'!BR107,IF($E$2=37.5,'S3'!BS107,IF($E$2=38.5,'S3'!BT107,IF($E$2=39.5,'S3'!BU107,IF($E$2=40.5,'S3'!BV107,IF($E$2=22.5,'S3'!BD107,IF($E$2=23.5,'S3'!BE107,IF($E$2=24.5,'S3'!BF107,IF($E$2=25.5,'S3'!BG107,IF($E$2=26.5,'S3'!BH107,IF($E$2=27.5,'S3'!BI107,IF($E$2=28.5,'S3'!BJ107,IF($E$2=29.5,'S3'!BK107,IF($E$2=30.5,'S3'!BL107,IF($E$2=31.5,'S3'!BM107,IF($E$2=32.5,'S3'!BN107,IF($E$2=33.5,'S3'!BO107)))))))))))))))))))</f>
        <v>166.11</v>
      </c>
      <c r="F107" s="437">
        <f t="shared" si="4"/>
        <v>232.55</v>
      </c>
    </row>
    <row r="108" spans="2:6" x14ac:dyDescent="0.45">
      <c r="B108" s="435">
        <v>104</v>
      </c>
      <c r="C108" s="436">
        <f>IF($C$2=34.5,'S3'!AD108,IF($C$2=35.5,'S3'!AF108,IF($C$2=36.5,'S3'!AH108,IF($C$2=37.5,'S3'!AJ108,IF($C$2=38.5,'S3'!AL108,IF($C$2=39.5,'S3'!AN108,IF($C$2=40.5,'S3'!AP108,IF($C$2=27.5,'S3'!P108,IF($C$2=28.5,'S3'!R108,IF($C$2=29.5,'S3'!T108,IF($C$2=30.5,'S3'!V108,IF($C$2=31.5,'S3'!Z108,IF($C$2=32.5,'S3'!Z108,IF($C$2=33.5,'S3'!AB108))))))))))))))</f>
        <v>268.20999999999998</v>
      </c>
      <c r="D108" s="436">
        <f>IF($C$2=34.5,'S3'!AE108,IF($C$2=35.5,'S3'!AG108,IF($C$2=36.5,'S3'!AI108,IF($C$2=37.5,'S3'!AK108,IF($C$2=38.5,'S3'!AM108,IF($C$2=39.5,'S3'!AO108,IF($C$2=40.5,'S3'!AQ108,IF($C$2=27.5,'S3'!Q108,IF($C$2=28.5,'S3'!S108,IF($C$2=29.5,'S3'!U108,IF($C$2=30.5,'S3'!W108,IF($C$2=31.5,'S3'!Y108,IF($C$2=32.5,'S3'!AA108,IF($C$2=33.5,'S3'!AC108))))))))))))))</f>
        <v>375.49</v>
      </c>
      <c r="E108" s="437">
        <f>IF($E$2=34.5,'S3'!BP108,IF($E$2=35.5,'S3'!BQ108,IF($E$2=36.5,'S3'!BR108,IF($E$2=37.5,'S3'!BS108,IF($E$2=38.5,'S3'!BT108,IF($E$2=39.5,'S3'!BU108,IF($E$2=40.5,'S3'!BV108,IF($E$2=22.5,'S3'!BD108,IF($E$2=23.5,'S3'!BE108,IF($E$2=24.5,'S3'!BF108,IF($E$2=25.5,'S3'!BG108,IF($E$2=26.5,'S3'!BH108,IF($E$2=27.5,'S3'!BI108,IF($E$2=28.5,'S3'!BJ108,IF($E$2=29.5,'S3'!BK108,IF($E$2=30.5,'S3'!BL108,IF($E$2=31.5,'S3'!BM108,IF($E$2=32.5,'S3'!BN108,IF($E$2=33.5,'S3'!BO108)))))))))))))))))))</f>
        <v>167.7</v>
      </c>
      <c r="F108" s="437">
        <f t="shared" si="4"/>
        <v>234.78</v>
      </c>
    </row>
    <row r="109" spans="2:6" x14ac:dyDescent="0.45">
      <c r="B109" s="435">
        <v>105</v>
      </c>
      <c r="C109" s="436">
        <f>IF($C$2=34.5,'S3'!AD109,IF($C$2=35.5,'S3'!AF109,IF($C$2=36.5,'S3'!AH109,IF($C$2=37.5,'S3'!AJ109,IF($C$2=38.5,'S3'!AL109,IF($C$2=39.5,'S3'!AN109,IF($C$2=40.5,'S3'!AP109,IF($C$2=27.5,'S3'!P109,IF($C$2=28.5,'S3'!R109,IF($C$2=29.5,'S3'!T109,IF($C$2=30.5,'S3'!V109,IF($C$2=31.5,'S3'!Z109,IF($C$2=32.5,'S3'!Z109,IF($C$2=33.5,'S3'!AB109))))))))))))))</f>
        <v>270.89</v>
      </c>
      <c r="D109" s="436">
        <f>IF($C$2=34.5,'S3'!AE109,IF($C$2=35.5,'S3'!AG109,IF($C$2=36.5,'S3'!AI109,IF($C$2=37.5,'S3'!AK109,IF($C$2=38.5,'S3'!AM109,IF($C$2=39.5,'S3'!AO109,IF($C$2=40.5,'S3'!AQ109,IF($C$2=27.5,'S3'!Q109,IF($C$2=28.5,'S3'!S109,IF($C$2=29.5,'S3'!U109,IF($C$2=30.5,'S3'!W109,IF($C$2=31.5,'S3'!Y109,IF($C$2=32.5,'S3'!AA109,IF($C$2=33.5,'S3'!AC109))))))))))))))</f>
        <v>379.25</v>
      </c>
      <c r="E109" s="437">
        <f>IF($E$2=34.5,'S3'!BP109,IF($E$2=35.5,'S3'!BQ109,IF($E$2=36.5,'S3'!BR109,IF($E$2=37.5,'S3'!BS109,IF($E$2=38.5,'S3'!BT109,IF($E$2=39.5,'S3'!BU109,IF($E$2=40.5,'S3'!BV109,IF($E$2=22.5,'S3'!BD109,IF($E$2=23.5,'S3'!BE109,IF($E$2=24.5,'S3'!BF109,IF($E$2=25.5,'S3'!BG109,IF($E$2=26.5,'S3'!BH109,IF($E$2=27.5,'S3'!BI109,IF($E$2=28.5,'S3'!BJ109,IF($E$2=29.5,'S3'!BK109,IF($E$2=30.5,'S3'!BL109,IF($E$2=31.5,'S3'!BM109,IF($E$2=32.5,'S3'!BN109,IF($E$2=33.5,'S3'!BO109)))))))))))))))))))</f>
        <v>169.34</v>
      </c>
      <c r="F109" s="437">
        <f t="shared" si="4"/>
        <v>237.08</v>
      </c>
    </row>
    <row r="110" spans="2:6" x14ac:dyDescent="0.45">
      <c r="B110" s="435">
        <v>106</v>
      </c>
      <c r="C110" s="436">
        <f>IF($C$2=34.5,'S3'!AD110,IF($C$2=35.5,'S3'!AF110,IF($C$2=36.5,'S3'!AH110,IF($C$2=37.5,'S3'!AJ110,IF($C$2=38.5,'S3'!AL110,IF($C$2=39.5,'S3'!AN110,IF($C$2=40.5,'S3'!AP110,IF($C$2=27.5,'S3'!P110,IF($C$2=28.5,'S3'!R110,IF($C$2=29.5,'S3'!T110,IF($C$2=30.5,'S3'!V110,IF($C$2=31.5,'S3'!Z110,IF($C$2=32.5,'S3'!Z110,IF($C$2=33.5,'S3'!AB110))))))))))))))</f>
        <v>273.39999999999998</v>
      </c>
      <c r="D110" s="436">
        <f>IF($C$2=34.5,'S3'!AE110,IF($C$2=35.5,'S3'!AG110,IF($C$2=36.5,'S3'!AI110,IF($C$2=37.5,'S3'!AK110,IF($C$2=38.5,'S3'!AM110,IF($C$2=39.5,'S3'!AO110,IF($C$2=40.5,'S3'!AQ110,IF($C$2=27.5,'S3'!Q110,IF($C$2=28.5,'S3'!S110,IF($C$2=29.5,'S3'!U110,IF($C$2=30.5,'S3'!W110,IF($C$2=31.5,'S3'!Y110,IF($C$2=32.5,'S3'!AA110,IF($C$2=33.5,'S3'!AC110))))))))))))))</f>
        <v>382.76</v>
      </c>
      <c r="E110" s="437">
        <f>IF($E$2=34.5,'S3'!BP110,IF($E$2=35.5,'S3'!BQ110,IF($E$2=36.5,'S3'!BR110,IF($E$2=37.5,'S3'!BS110,IF($E$2=38.5,'S3'!BT110,IF($E$2=39.5,'S3'!BU110,IF($E$2=40.5,'S3'!BV110,IF($E$2=22.5,'S3'!BD110,IF($E$2=23.5,'S3'!BE110,IF($E$2=24.5,'S3'!BF110,IF($E$2=25.5,'S3'!BG110,IF($E$2=26.5,'S3'!BH110,IF($E$2=27.5,'S3'!BI110,IF($E$2=28.5,'S3'!BJ110,IF($E$2=29.5,'S3'!BK110,IF($E$2=30.5,'S3'!BL110,IF($E$2=31.5,'S3'!BM110,IF($E$2=32.5,'S3'!BN110,IF($E$2=33.5,'S3'!BO110)))))))))))))))))))</f>
        <v>170.94</v>
      </c>
      <c r="F110" s="437">
        <f t="shared" si="4"/>
        <v>239.32</v>
      </c>
    </row>
    <row r="111" spans="2:6" x14ac:dyDescent="0.45">
      <c r="B111" s="435">
        <v>107</v>
      </c>
      <c r="C111" s="436">
        <f>IF($C$2=34.5,'S3'!AD111,IF($C$2=35.5,'S3'!AF111,IF($C$2=36.5,'S3'!AH111,IF($C$2=37.5,'S3'!AJ111,IF($C$2=38.5,'S3'!AL111,IF($C$2=39.5,'S3'!AN111,IF($C$2=40.5,'S3'!AP111,IF($C$2=27.5,'S3'!P111,IF($C$2=28.5,'S3'!R111,IF($C$2=29.5,'S3'!T111,IF($C$2=30.5,'S3'!V111,IF($C$2=31.5,'S3'!Z111,IF($C$2=32.5,'S3'!Z111,IF($C$2=33.5,'S3'!AB111))))))))))))))</f>
        <v>275.91000000000003</v>
      </c>
      <c r="D111" s="436">
        <f>IF($C$2=34.5,'S3'!AE111,IF($C$2=35.5,'S3'!AG111,IF($C$2=36.5,'S3'!AI111,IF($C$2=37.5,'S3'!AK111,IF($C$2=38.5,'S3'!AM111,IF($C$2=39.5,'S3'!AO111,IF($C$2=40.5,'S3'!AQ111,IF($C$2=27.5,'S3'!Q111,IF($C$2=28.5,'S3'!S111,IF($C$2=29.5,'S3'!U111,IF($C$2=30.5,'S3'!W111,IF($C$2=31.5,'S3'!Y111,IF($C$2=32.5,'S3'!AA111,IF($C$2=33.5,'S3'!AC111))))))))))))))</f>
        <v>386.27</v>
      </c>
      <c r="E111" s="437">
        <f>IF($E$2=34.5,'S3'!BP111,IF($E$2=35.5,'S3'!BQ111,IF($E$2=36.5,'S3'!BR111,IF($E$2=37.5,'S3'!BS111,IF($E$2=38.5,'S3'!BT111,IF($E$2=39.5,'S3'!BU111,IF($E$2=40.5,'S3'!BV111,IF($E$2=22.5,'S3'!BD111,IF($E$2=23.5,'S3'!BE111,IF($E$2=24.5,'S3'!BF111,IF($E$2=25.5,'S3'!BG111,IF($E$2=26.5,'S3'!BH111,IF($E$2=27.5,'S3'!BI111,IF($E$2=28.5,'S3'!BJ111,IF($E$2=29.5,'S3'!BK111,IF($E$2=30.5,'S3'!BL111,IF($E$2=31.5,'S3'!BM111,IF($E$2=32.5,'S3'!BN111,IF($E$2=33.5,'S3'!BO111)))))))))))))))))))</f>
        <v>172.54</v>
      </c>
      <c r="F111" s="437">
        <f t="shared" si="4"/>
        <v>241.56</v>
      </c>
    </row>
    <row r="112" spans="2:6" x14ac:dyDescent="0.45">
      <c r="B112" s="435">
        <v>108</v>
      </c>
      <c r="C112" s="436">
        <f>IF($C$2=34.5,'S3'!AD112,IF($C$2=35.5,'S3'!AF112,IF($C$2=36.5,'S3'!AH112,IF($C$2=37.5,'S3'!AJ112,IF($C$2=38.5,'S3'!AL112,IF($C$2=39.5,'S3'!AN112,IF($C$2=40.5,'S3'!AP112,IF($C$2=27.5,'S3'!P112,IF($C$2=28.5,'S3'!R112,IF($C$2=29.5,'S3'!T112,IF($C$2=30.5,'S3'!V112,IF($C$2=31.5,'S3'!Z112,IF($C$2=32.5,'S3'!Z112,IF($C$2=33.5,'S3'!AB112))))))))))))))</f>
        <v>278.42</v>
      </c>
      <c r="D112" s="436">
        <f>IF($C$2=34.5,'S3'!AE112,IF($C$2=35.5,'S3'!AG112,IF($C$2=36.5,'S3'!AI112,IF($C$2=37.5,'S3'!AK112,IF($C$2=38.5,'S3'!AM112,IF($C$2=39.5,'S3'!AO112,IF($C$2=40.5,'S3'!AQ112,IF($C$2=27.5,'S3'!Q112,IF($C$2=28.5,'S3'!S112,IF($C$2=29.5,'S3'!U112,IF($C$2=30.5,'S3'!W112,IF($C$2=31.5,'S3'!Y112,IF($C$2=32.5,'S3'!AA112,IF($C$2=33.5,'S3'!AC112))))))))))))))</f>
        <v>389.79</v>
      </c>
      <c r="E112" s="437">
        <f>IF($E$2=34.5,'S3'!BP112,IF($E$2=35.5,'S3'!BQ112,IF($E$2=36.5,'S3'!BR112,IF($E$2=37.5,'S3'!BS112,IF($E$2=38.5,'S3'!BT112,IF($E$2=39.5,'S3'!BU112,IF($E$2=40.5,'S3'!BV112,IF($E$2=22.5,'S3'!BD112,IF($E$2=23.5,'S3'!BE112,IF($E$2=24.5,'S3'!BF112,IF($E$2=25.5,'S3'!BG112,IF($E$2=26.5,'S3'!BH112,IF($E$2=27.5,'S3'!BI112,IF($E$2=28.5,'S3'!BJ112,IF($E$2=29.5,'S3'!BK112,IF($E$2=30.5,'S3'!BL112,IF($E$2=31.5,'S3'!BM112,IF($E$2=32.5,'S3'!BN112,IF($E$2=33.5,'S3'!BO112)))))))))))))))))))</f>
        <v>174.13</v>
      </c>
      <c r="F112" s="437">
        <f t="shared" si="4"/>
        <v>243.78</v>
      </c>
    </row>
    <row r="113" spans="2:6" x14ac:dyDescent="0.45">
      <c r="B113" s="435">
        <v>109</v>
      </c>
      <c r="C113" s="436">
        <f>IF($C$2=34.5,'S3'!AD113,IF($C$2=35.5,'S3'!AF113,IF($C$2=36.5,'S3'!AH113,IF($C$2=37.5,'S3'!AJ113,IF($C$2=38.5,'S3'!AL113,IF($C$2=39.5,'S3'!AN113,IF($C$2=40.5,'S3'!AP113,IF($C$2=27.5,'S3'!P113,IF($C$2=28.5,'S3'!R113,IF($C$2=29.5,'S3'!T113,IF($C$2=30.5,'S3'!V113,IF($C$2=31.5,'S3'!Z113,IF($C$2=32.5,'S3'!Z113,IF($C$2=33.5,'S3'!AB113))))))))))))))</f>
        <v>281.14999999999998</v>
      </c>
      <c r="D113" s="436">
        <f>IF($C$2=34.5,'S3'!AE113,IF($C$2=35.5,'S3'!AG113,IF($C$2=36.5,'S3'!AI113,IF($C$2=37.5,'S3'!AK113,IF($C$2=38.5,'S3'!AM113,IF($C$2=39.5,'S3'!AO113,IF($C$2=40.5,'S3'!AQ113,IF($C$2=27.5,'S3'!Q113,IF($C$2=28.5,'S3'!S113,IF($C$2=29.5,'S3'!U113,IF($C$2=30.5,'S3'!W113,IF($C$2=31.5,'S3'!Y113,IF($C$2=32.5,'S3'!AA113,IF($C$2=33.5,'S3'!AC113))))))))))))))</f>
        <v>393.61</v>
      </c>
      <c r="E113" s="437">
        <f>IF($E$2=34.5,'S3'!BP113,IF($E$2=35.5,'S3'!BQ113,IF($E$2=36.5,'S3'!BR113,IF($E$2=37.5,'S3'!BS113,IF($E$2=38.5,'S3'!BT113,IF($E$2=39.5,'S3'!BU113,IF($E$2=40.5,'S3'!BV113,IF($E$2=22.5,'S3'!BD113,IF($E$2=23.5,'S3'!BE113,IF($E$2=24.5,'S3'!BF113,IF($E$2=25.5,'S3'!BG113,IF($E$2=26.5,'S3'!BH113,IF($E$2=27.5,'S3'!BI113,IF($E$2=28.5,'S3'!BJ113,IF($E$2=29.5,'S3'!BK113,IF($E$2=30.5,'S3'!BL113,IF($E$2=31.5,'S3'!BM113,IF($E$2=32.5,'S3'!BN113,IF($E$2=33.5,'S3'!BO113)))))))))))))))))))</f>
        <v>175.73</v>
      </c>
      <c r="F113" s="437">
        <f t="shared" si="4"/>
        <v>246.02</v>
      </c>
    </row>
    <row r="114" spans="2:6" x14ac:dyDescent="0.45">
      <c r="B114" s="435">
        <v>110</v>
      </c>
      <c r="C114" s="436">
        <f>IF($C$2=34.5,'S3'!AD114,IF($C$2=35.5,'S3'!AF114,IF($C$2=36.5,'S3'!AH114,IF($C$2=37.5,'S3'!AJ114,IF($C$2=38.5,'S3'!AL114,IF($C$2=39.5,'S3'!AN114,IF($C$2=40.5,'S3'!AP114,IF($C$2=27.5,'S3'!P114,IF($C$2=28.5,'S3'!R114,IF($C$2=29.5,'S3'!T114,IF($C$2=30.5,'S3'!V114,IF($C$2=31.5,'S3'!Z114,IF($C$2=32.5,'S3'!Z114,IF($C$2=33.5,'S3'!AB114))))))))))))))</f>
        <v>283.68</v>
      </c>
      <c r="D114" s="436">
        <f>IF($C$2=34.5,'S3'!AE114,IF($C$2=35.5,'S3'!AG114,IF($C$2=36.5,'S3'!AI114,IF($C$2=37.5,'S3'!AK114,IF($C$2=38.5,'S3'!AM114,IF($C$2=39.5,'S3'!AO114,IF($C$2=40.5,'S3'!AQ114,IF($C$2=27.5,'S3'!Q114,IF($C$2=28.5,'S3'!S114,IF($C$2=29.5,'S3'!U114,IF($C$2=30.5,'S3'!W114,IF($C$2=31.5,'S3'!Y114,IF($C$2=32.5,'S3'!AA114,IF($C$2=33.5,'S3'!AC114))))))))))))))</f>
        <v>397.15</v>
      </c>
      <c r="E114" s="437">
        <f>IF($E$2=34.5,'S3'!BP114,IF($E$2=35.5,'S3'!BQ114,IF($E$2=36.5,'S3'!BR114,IF($E$2=37.5,'S3'!BS114,IF($E$2=38.5,'S3'!BT114,IF($E$2=39.5,'S3'!BU114,IF($E$2=40.5,'S3'!BV114,IF($E$2=22.5,'S3'!BD114,IF($E$2=23.5,'S3'!BE114,IF($E$2=24.5,'S3'!BF114,IF($E$2=25.5,'S3'!BG114,IF($E$2=26.5,'S3'!BH114,IF($E$2=27.5,'S3'!BI114,IF($E$2=28.5,'S3'!BJ114,IF($E$2=29.5,'S3'!BK114,IF($E$2=30.5,'S3'!BL114,IF($E$2=31.5,'S3'!BM114,IF($E$2=32.5,'S3'!BN114,IF($E$2=33.5,'S3'!BO114)))))))))))))))))))</f>
        <v>177.34</v>
      </c>
      <c r="F114" s="437">
        <f t="shared" si="4"/>
        <v>248.28</v>
      </c>
    </row>
    <row r="115" spans="2:6" x14ac:dyDescent="0.45">
      <c r="B115" s="435">
        <v>111</v>
      </c>
      <c r="C115" s="436">
        <f>IF($C$2=34.5,'S3'!AD115,IF($C$2=35.5,'S3'!AF115,IF($C$2=36.5,'S3'!AH115,IF($C$2=37.5,'S3'!AJ115,IF($C$2=38.5,'S3'!AL115,IF($C$2=39.5,'S3'!AN115,IF($C$2=40.5,'S3'!AP115,IF($C$2=27.5,'S3'!P115,IF($C$2=28.5,'S3'!R115,IF($C$2=29.5,'S3'!T115,IF($C$2=30.5,'S3'!V115,IF($C$2=31.5,'S3'!Z115,IF($C$2=32.5,'S3'!Z115,IF($C$2=33.5,'S3'!AB115))))))))))))))</f>
        <v>286.22000000000003</v>
      </c>
      <c r="D115" s="436">
        <f>IF($C$2=34.5,'S3'!AE115,IF($C$2=35.5,'S3'!AG115,IF($C$2=36.5,'S3'!AI115,IF($C$2=37.5,'S3'!AK115,IF($C$2=38.5,'S3'!AM115,IF($C$2=39.5,'S3'!AO115,IF($C$2=40.5,'S3'!AQ115,IF($C$2=27.5,'S3'!Q115,IF($C$2=28.5,'S3'!S115,IF($C$2=29.5,'S3'!U115,IF($C$2=30.5,'S3'!W115,IF($C$2=31.5,'S3'!Y115,IF($C$2=32.5,'S3'!AA115,IF($C$2=33.5,'S3'!AC115))))))))))))))</f>
        <v>400.71</v>
      </c>
      <c r="E115" s="437">
        <f>IF($E$2=34.5,'S3'!BP115,IF($E$2=35.5,'S3'!BQ115,IF($E$2=36.5,'S3'!BR115,IF($E$2=37.5,'S3'!BS115,IF($E$2=38.5,'S3'!BT115,IF($E$2=39.5,'S3'!BU115,IF($E$2=40.5,'S3'!BV115,IF($E$2=22.5,'S3'!BD115,IF($E$2=23.5,'S3'!BE115,IF($E$2=24.5,'S3'!BF115,IF($E$2=25.5,'S3'!BG115,IF($E$2=26.5,'S3'!BH115,IF($E$2=27.5,'S3'!BI115,IF($E$2=28.5,'S3'!BJ115,IF($E$2=29.5,'S3'!BK115,IF($E$2=30.5,'S3'!BL115,IF($E$2=31.5,'S3'!BM115,IF($E$2=32.5,'S3'!BN115,IF($E$2=33.5,'S3'!BO115)))))))))))))))))))</f>
        <v>178.94</v>
      </c>
      <c r="F115" s="437">
        <f t="shared" si="4"/>
        <v>250.52</v>
      </c>
    </row>
    <row r="116" spans="2:6" x14ac:dyDescent="0.45">
      <c r="B116" s="435">
        <v>112</v>
      </c>
      <c r="C116" s="436">
        <f>IF($C$2=34.5,'S3'!AD116,IF($C$2=35.5,'S3'!AF116,IF($C$2=36.5,'S3'!AH116,IF($C$2=37.5,'S3'!AJ116,IF($C$2=38.5,'S3'!AL116,IF($C$2=39.5,'S3'!AN116,IF($C$2=40.5,'S3'!AP116,IF($C$2=27.5,'S3'!P116,IF($C$2=28.5,'S3'!R116,IF($C$2=29.5,'S3'!T116,IF($C$2=30.5,'S3'!V116,IF($C$2=31.5,'S3'!Z116,IF($C$2=32.5,'S3'!Z116,IF($C$2=33.5,'S3'!AB116))))))))))))))</f>
        <v>288.77</v>
      </c>
      <c r="D116" s="436">
        <f>IF($C$2=34.5,'S3'!AE116,IF($C$2=35.5,'S3'!AG116,IF($C$2=36.5,'S3'!AI116,IF($C$2=37.5,'S3'!AK116,IF($C$2=38.5,'S3'!AM116,IF($C$2=39.5,'S3'!AO116,IF($C$2=40.5,'S3'!AQ116,IF($C$2=27.5,'S3'!Q116,IF($C$2=28.5,'S3'!S116,IF($C$2=29.5,'S3'!U116,IF($C$2=30.5,'S3'!W116,IF($C$2=31.5,'S3'!Y116,IF($C$2=32.5,'S3'!AA116,IF($C$2=33.5,'S3'!AC116))))))))))))))</f>
        <v>404.28</v>
      </c>
      <c r="E116" s="437">
        <f>IF($E$2=34.5,'S3'!BP116,IF($E$2=35.5,'S3'!BQ116,IF($E$2=36.5,'S3'!BR116,IF($E$2=37.5,'S3'!BS116,IF($E$2=38.5,'S3'!BT116,IF($E$2=39.5,'S3'!BU116,IF($E$2=40.5,'S3'!BV116,IF($E$2=22.5,'S3'!BD116,IF($E$2=23.5,'S3'!BE116,IF($E$2=24.5,'S3'!BF116,IF($E$2=25.5,'S3'!BG116,IF($E$2=26.5,'S3'!BH116,IF($E$2=27.5,'S3'!BI116,IF($E$2=28.5,'S3'!BJ116,IF($E$2=29.5,'S3'!BK116,IF($E$2=30.5,'S3'!BL116,IF($E$2=31.5,'S3'!BM116,IF($E$2=32.5,'S3'!BN116,IF($E$2=33.5,'S3'!BO116)))))))))))))))))))</f>
        <v>180.55</v>
      </c>
      <c r="F116" s="437">
        <f t="shared" si="4"/>
        <v>252.77</v>
      </c>
    </row>
    <row r="117" spans="2:6" x14ac:dyDescent="0.45">
      <c r="B117" s="435">
        <v>113</v>
      </c>
      <c r="C117" s="436">
        <f>IF($C$2=34.5,'S3'!AD117,IF($C$2=35.5,'S3'!AF117,IF($C$2=36.5,'S3'!AH117,IF($C$2=37.5,'S3'!AJ117,IF($C$2=38.5,'S3'!AL117,IF($C$2=39.5,'S3'!AN117,IF($C$2=40.5,'S3'!AP117,IF($C$2=27.5,'S3'!P117,IF($C$2=28.5,'S3'!R117,IF($C$2=29.5,'S3'!T117,IF($C$2=30.5,'S3'!V117,IF($C$2=31.5,'S3'!Z117,IF($C$2=32.5,'S3'!Z117,IF($C$2=33.5,'S3'!AB117))))))))))))))</f>
        <v>291.32</v>
      </c>
      <c r="D117" s="436">
        <f>IF($C$2=34.5,'S3'!AE117,IF($C$2=35.5,'S3'!AG117,IF($C$2=36.5,'S3'!AI117,IF($C$2=37.5,'S3'!AK117,IF($C$2=38.5,'S3'!AM117,IF($C$2=39.5,'S3'!AO117,IF($C$2=40.5,'S3'!AQ117,IF($C$2=27.5,'S3'!Q117,IF($C$2=28.5,'S3'!S117,IF($C$2=29.5,'S3'!U117,IF($C$2=30.5,'S3'!W117,IF($C$2=31.5,'S3'!Y117,IF($C$2=32.5,'S3'!AA117,IF($C$2=33.5,'S3'!AC117))))))))))))))</f>
        <v>407.85</v>
      </c>
      <c r="E117" s="437">
        <f>IF($E$2=34.5,'S3'!BP117,IF($E$2=35.5,'S3'!BQ117,IF($E$2=36.5,'S3'!BR117,IF($E$2=37.5,'S3'!BS117,IF($E$2=38.5,'S3'!BT117,IF($E$2=39.5,'S3'!BU117,IF($E$2=40.5,'S3'!BV117,IF($E$2=22.5,'S3'!BD117,IF($E$2=23.5,'S3'!BE117,IF($E$2=24.5,'S3'!BF117,IF($E$2=25.5,'S3'!BG117,IF($E$2=26.5,'S3'!BH117,IF($E$2=27.5,'S3'!BI117,IF($E$2=28.5,'S3'!BJ117,IF($E$2=29.5,'S3'!BK117,IF($E$2=30.5,'S3'!BL117,IF($E$2=31.5,'S3'!BM117,IF($E$2=32.5,'S3'!BN117,IF($E$2=33.5,'S3'!BO117)))))))))))))))))))</f>
        <v>182.15</v>
      </c>
      <c r="F117" s="437">
        <f t="shared" si="4"/>
        <v>255.01</v>
      </c>
    </row>
    <row r="118" spans="2:6" x14ac:dyDescent="0.45">
      <c r="B118" s="435">
        <v>114</v>
      </c>
      <c r="C118" s="436">
        <f>IF($C$2=34.5,'S3'!AD118,IF($C$2=35.5,'S3'!AF118,IF($C$2=36.5,'S3'!AH118,IF($C$2=37.5,'S3'!AJ118,IF($C$2=38.5,'S3'!AL118,IF($C$2=39.5,'S3'!AN118,IF($C$2=40.5,'S3'!AP118,IF($C$2=27.5,'S3'!P118,IF($C$2=28.5,'S3'!R118,IF($C$2=29.5,'S3'!T118,IF($C$2=30.5,'S3'!V118,IF($C$2=31.5,'S3'!Z118,IF($C$2=32.5,'S3'!Z118,IF($C$2=33.5,'S3'!AB118))))))))))))))</f>
        <v>293.88</v>
      </c>
      <c r="D118" s="436">
        <f>IF($C$2=34.5,'S3'!AE118,IF($C$2=35.5,'S3'!AG118,IF($C$2=36.5,'S3'!AI118,IF($C$2=37.5,'S3'!AK118,IF($C$2=38.5,'S3'!AM118,IF($C$2=39.5,'S3'!AO118,IF($C$2=40.5,'S3'!AQ118,IF($C$2=27.5,'S3'!Q118,IF($C$2=28.5,'S3'!S118,IF($C$2=29.5,'S3'!U118,IF($C$2=30.5,'S3'!W118,IF($C$2=31.5,'S3'!Y118,IF($C$2=32.5,'S3'!AA118,IF($C$2=33.5,'S3'!AC118))))))))))))))</f>
        <v>411.43</v>
      </c>
      <c r="E118" s="437">
        <f>IF($E$2=34.5,'S3'!BP118,IF($E$2=35.5,'S3'!BQ118,IF($E$2=36.5,'S3'!BR118,IF($E$2=37.5,'S3'!BS118,IF($E$2=38.5,'S3'!BT118,IF($E$2=39.5,'S3'!BU118,IF($E$2=40.5,'S3'!BV118,IF($E$2=22.5,'S3'!BD118,IF($E$2=23.5,'S3'!BE118,IF($E$2=24.5,'S3'!BF118,IF($E$2=25.5,'S3'!BG118,IF($E$2=26.5,'S3'!BH118,IF($E$2=27.5,'S3'!BI118,IF($E$2=28.5,'S3'!BJ118,IF($E$2=29.5,'S3'!BK118,IF($E$2=30.5,'S3'!BL118,IF($E$2=31.5,'S3'!BM118,IF($E$2=32.5,'S3'!BN118,IF($E$2=33.5,'S3'!BO118)))))))))))))))))))</f>
        <v>183.76</v>
      </c>
      <c r="F118" s="437">
        <f t="shared" si="4"/>
        <v>257.26</v>
      </c>
    </row>
    <row r="119" spans="2:6" x14ac:dyDescent="0.45">
      <c r="B119" s="435">
        <v>115</v>
      </c>
      <c r="C119" s="436">
        <f>IF($C$2=34.5,'S3'!AD119,IF($C$2=35.5,'S3'!AF119,IF($C$2=36.5,'S3'!AH119,IF($C$2=37.5,'S3'!AJ119,IF($C$2=38.5,'S3'!AL119,IF($C$2=39.5,'S3'!AN119,IF($C$2=40.5,'S3'!AP119,IF($C$2=27.5,'S3'!P119,IF($C$2=28.5,'S3'!R119,IF($C$2=29.5,'S3'!T119,IF($C$2=30.5,'S3'!V119,IF($C$2=31.5,'S3'!Z119,IF($C$2=32.5,'S3'!Z119,IF($C$2=33.5,'S3'!AB119))))))))))))))</f>
        <v>296.45</v>
      </c>
      <c r="D119" s="436">
        <f>IF($C$2=34.5,'S3'!AE119,IF($C$2=35.5,'S3'!AG119,IF($C$2=36.5,'S3'!AI119,IF($C$2=37.5,'S3'!AK119,IF($C$2=38.5,'S3'!AM119,IF($C$2=39.5,'S3'!AO119,IF($C$2=40.5,'S3'!AQ119,IF($C$2=27.5,'S3'!Q119,IF($C$2=28.5,'S3'!S119,IF($C$2=29.5,'S3'!U119,IF($C$2=30.5,'S3'!W119,IF($C$2=31.5,'S3'!Y119,IF($C$2=32.5,'S3'!AA119,IF($C$2=33.5,'S3'!AC119))))))))))))))</f>
        <v>415.03</v>
      </c>
      <c r="E119" s="437">
        <f>IF($E$2=34.5,'S3'!BP119,IF($E$2=35.5,'S3'!BQ119,IF($E$2=36.5,'S3'!BR119,IF($E$2=37.5,'S3'!BS119,IF($E$2=38.5,'S3'!BT119,IF($E$2=39.5,'S3'!BU119,IF($E$2=40.5,'S3'!BV119,IF($E$2=22.5,'S3'!BD119,IF($E$2=23.5,'S3'!BE119,IF($E$2=24.5,'S3'!BF119,IF($E$2=25.5,'S3'!BG119,IF($E$2=26.5,'S3'!BH119,IF($E$2=27.5,'S3'!BI119,IF($E$2=28.5,'S3'!BJ119,IF($E$2=29.5,'S3'!BK119,IF($E$2=30.5,'S3'!BL119,IF($E$2=31.5,'S3'!BM119,IF($E$2=32.5,'S3'!BN119,IF($E$2=33.5,'S3'!BO119)))))))))))))))))))</f>
        <v>185.38</v>
      </c>
      <c r="F119" s="437">
        <f t="shared" si="4"/>
        <v>259.52999999999997</v>
      </c>
    </row>
    <row r="120" spans="2:6" x14ac:dyDescent="0.45">
      <c r="B120" s="435">
        <v>116</v>
      </c>
      <c r="C120" s="436">
        <f>IF($C$2=34.5,'S3'!AD120,IF($C$2=35.5,'S3'!AF120,IF($C$2=36.5,'S3'!AH120,IF($C$2=37.5,'S3'!AJ120,IF($C$2=38.5,'S3'!AL120,IF($C$2=39.5,'S3'!AN120,IF($C$2=40.5,'S3'!AP120,IF($C$2=27.5,'S3'!P120,IF($C$2=28.5,'S3'!R120,IF($C$2=29.5,'S3'!T120,IF($C$2=30.5,'S3'!V120,IF($C$2=31.5,'S3'!Z120,IF($C$2=32.5,'S3'!Z120,IF($C$2=33.5,'S3'!AB120))))))))))))))</f>
        <v>299.02</v>
      </c>
      <c r="D120" s="436">
        <f>IF($C$2=34.5,'S3'!AE120,IF($C$2=35.5,'S3'!AG120,IF($C$2=36.5,'S3'!AI120,IF($C$2=37.5,'S3'!AK120,IF($C$2=38.5,'S3'!AM120,IF($C$2=39.5,'S3'!AO120,IF($C$2=40.5,'S3'!AQ120,IF($C$2=27.5,'S3'!Q120,IF($C$2=28.5,'S3'!S120,IF($C$2=29.5,'S3'!U120,IF($C$2=30.5,'S3'!W120,IF($C$2=31.5,'S3'!Y120,IF($C$2=32.5,'S3'!AA120,IF($C$2=33.5,'S3'!AC120))))))))))))))</f>
        <v>418.63</v>
      </c>
      <c r="E120" s="437">
        <f>IF($E$2=34.5,'S3'!BP120,IF($E$2=35.5,'S3'!BQ120,IF($E$2=36.5,'S3'!BR120,IF($E$2=37.5,'S3'!BS120,IF($E$2=38.5,'S3'!BT120,IF($E$2=39.5,'S3'!BU120,IF($E$2=40.5,'S3'!BV120,IF($E$2=22.5,'S3'!BD120,IF($E$2=23.5,'S3'!BE120,IF($E$2=24.5,'S3'!BF120,IF($E$2=25.5,'S3'!BG120,IF($E$2=26.5,'S3'!BH120,IF($E$2=27.5,'S3'!BI120,IF($E$2=28.5,'S3'!BJ120,IF($E$2=29.5,'S3'!BK120,IF($E$2=30.5,'S3'!BL120,IF($E$2=31.5,'S3'!BM120,IF($E$2=32.5,'S3'!BN120,IF($E$2=33.5,'S3'!BO120)))))))))))))))))))</f>
        <v>186.99</v>
      </c>
      <c r="F120" s="437">
        <f t="shared" si="4"/>
        <v>261.79000000000002</v>
      </c>
    </row>
    <row r="121" spans="2:6" x14ac:dyDescent="0.45">
      <c r="B121" s="435">
        <v>117</v>
      </c>
      <c r="C121" s="436">
        <f>IF($C$2=34.5,'S3'!AD121,IF($C$2=35.5,'S3'!AF121,IF($C$2=36.5,'S3'!AH121,IF($C$2=37.5,'S3'!AJ121,IF($C$2=38.5,'S3'!AL121,IF($C$2=39.5,'S3'!AN121,IF($C$2=40.5,'S3'!AP121,IF($C$2=27.5,'S3'!P121,IF($C$2=28.5,'S3'!R121,IF($C$2=29.5,'S3'!T121,IF($C$2=30.5,'S3'!V121,IF($C$2=31.5,'S3'!Z121,IF($C$2=32.5,'S3'!Z121,IF($C$2=33.5,'S3'!AB121))))))))))))))</f>
        <v>301.61</v>
      </c>
      <c r="D121" s="436">
        <f>IF($C$2=34.5,'S3'!AE121,IF($C$2=35.5,'S3'!AG121,IF($C$2=36.5,'S3'!AI121,IF($C$2=37.5,'S3'!AK121,IF($C$2=38.5,'S3'!AM121,IF($C$2=39.5,'S3'!AO121,IF($C$2=40.5,'S3'!AQ121,IF($C$2=27.5,'S3'!Q121,IF($C$2=28.5,'S3'!S121,IF($C$2=29.5,'S3'!U121,IF($C$2=30.5,'S3'!W121,IF($C$2=31.5,'S3'!Y121,IF($C$2=32.5,'S3'!AA121,IF($C$2=33.5,'S3'!AC121))))))))))))))</f>
        <v>422.25</v>
      </c>
      <c r="E121" s="437">
        <f>IF($E$2=34.5,'S3'!BP121,IF($E$2=35.5,'S3'!BQ121,IF($E$2=36.5,'S3'!BR121,IF($E$2=37.5,'S3'!BS121,IF($E$2=38.5,'S3'!BT121,IF($E$2=39.5,'S3'!BU121,IF($E$2=40.5,'S3'!BV121,IF($E$2=22.5,'S3'!BD121,IF($E$2=23.5,'S3'!BE121,IF($E$2=24.5,'S3'!BF121,IF($E$2=25.5,'S3'!BG121,IF($E$2=26.5,'S3'!BH121,IF($E$2=27.5,'S3'!BI121,IF($E$2=28.5,'S3'!BJ121,IF($E$2=29.5,'S3'!BK121,IF($E$2=30.5,'S3'!BL121,IF($E$2=31.5,'S3'!BM121,IF($E$2=32.5,'S3'!BN121,IF($E$2=33.5,'S3'!BO121)))))))))))))))))))</f>
        <v>188.61</v>
      </c>
      <c r="F121" s="437">
        <f t="shared" si="4"/>
        <v>264.05</v>
      </c>
    </row>
    <row r="122" spans="2:6" x14ac:dyDescent="0.45">
      <c r="B122" s="435">
        <v>118</v>
      </c>
      <c r="C122" s="436">
        <f>IF($C$2=34.5,'S3'!AD122,IF($C$2=35.5,'S3'!AF122,IF($C$2=36.5,'S3'!AH122,IF($C$2=37.5,'S3'!AJ122,IF($C$2=38.5,'S3'!AL122,IF($C$2=39.5,'S3'!AN122,IF($C$2=40.5,'S3'!AP122,IF($C$2=27.5,'S3'!P122,IF($C$2=28.5,'S3'!R122,IF($C$2=29.5,'S3'!T122,IF($C$2=30.5,'S3'!V122,IF($C$2=31.5,'S3'!Z122,IF($C$2=32.5,'S3'!Z122,IF($C$2=33.5,'S3'!AB122))))))))))))))</f>
        <v>304.2</v>
      </c>
      <c r="D122" s="436">
        <f>IF($C$2=34.5,'S3'!AE122,IF($C$2=35.5,'S3'!AG122,IF($C$2=36.5,'S3'!AI122,IF($C$2=37.5,'S3'!AK122,IF($C$2=38.5,'S3'!AM122,IF($C$2=39.5,'S3'!AO122,IF($C$2=40.5,'S3'!AQ122,IF($C$2=27.5,'S3'!Q122,IF($C$2=28.5,'S3'!S122,IF($C$2=29.5,'S3'!U122,IF($C$2=30.5,'S3'!W122,IF($C$2=31.5,'S3'!Y122,IF($C$2=32.5,'S3'!AA122,IF($C$2=33.5,'S3'!AC122))))))))))))))</f>
        <v>425.88</v>
      </c>
      <c r="E122" s="437">
        <f>IF($E$2=34.5,'S3'!BP122,IF($E$2=35.5,'S3'!BQ122,IF($E$2=36.5,'S3'!BR122,IF($E$2=37.5,'S3'!BS122,IF($E$2=38.5,'S3'!BT122,IF($E$2=39.5,'S3'!BU122,IF($E$2=40.5,'S3'!BV122,IF($E$2=22.5,'S3'!BD122,IF($E$2=23.5,'S3'!BE122,IF($E$2=24.5,'S3'!BF122,IF($E$2=25.5,'S3'!BG122,IF($E$2=26.5,'S3'!BH122,IF($E$2=27.5,'S3'!BI122,IF($E$2=28.5,'S3'!BJ122,IF($E$2=29.5,'S3'!BK122,IF($E$2=30.5,'S3'!BL122,IF($E$2=31.5,'S3'!BM122,IF($E$2=32.5,'S3'!BN122,IF($E$2=33.5,'S3'!BO122)))))))))))))))))))</f>
        <v>190.23</v>
      </c>
      <c r="F122" s="437">
        <f t="shared" si="4"/>
        <v>266.32</v>
      </c>
    </row>
    <row r="123" spans="2:6" x14ac:dyDescent="0.45">
      <c r="B123" s="435">
        <v>119</v>
      </c>
      <c r="C123" s="436">
        <f>IF($C$2=34.5,'S3'!AD123,IF($C$2=35.5,'S3'!AF123,IF($C$2=36.5,'S3'!AH123,IF($C$2=37.5,'S3'!AJ123,IF($C$2=38.5,'S3'!AL123,IF($C$2=39.5,'S3'!AN123,IF($C$2=40.5,'S3'!AP123,IF($C$2=27.5,'S3'!P123,IF($C$2=28.5,'S3'!R123,IF($C$2=29.5,'S3'!T123,IF($C$2=30.5,'S3'!V123,IF($C$2=31.5,'S3'!Z123,IF($C$2=32.5,'S3'!Z123,IF($C$2=33.5,'S3'!AB123))))))))))))))</f>
        <v>306.8</v>
      </c>
      <c r="D123" s="436">
        <f>IF($C$2=34.5,'S3'!AE123,IF($C$2=35.5,'S3'!AG123,IF($C$2=36.5,'S3'!AI123,IF($C$2=37.5,'S3'!AK123,IF($C$2=38.5,'S3'!AM123,IF($C$2=39.5,'S3'!AO123,IF($C$2=40.5,'S3'!AQ123,IF($C$2=27.5,'S3'!Q123,IF($C$2=28.5,'S3'!S123,IF($C$2=29.5,'S3'!U123,IF($C$2=30.5,'S3'!W123,IF($C$2=31.5,'S3'!Y123,IF($C$2=32.5,'S3'!AA123,IF($C$2=33.5,'S3'!AC123))))))))))))))</f>
        <v>429.52</v>
      </c>
      <c r="E123" s="437">
        <f>IF($E$2=34.5,'S3'!BP123,IF($E$2=35.5,'S3'!BQ123,IF($E$2=36.5,'S3'!BR123,IF($E$2=37.5,'S3'!BS123,IF($E$2=38.5,'S3'!BT123,IF($E$2=39.5,'S3'!BU123,IF($E$2=40.5,'S3'!BV123,IF($E$2=22.5,'S3'!BD123,IF($E$2=23.5,'S3'!BE123,IF($E$2=24.5,'S3'!BF123,IF($E$2=25.5,'S3'!BG123,IF($E$2=26.5,'S3'!BH123,IF($E$2=27.5,'S3'!BI123,IF($E$2=28.5,'S3'!BJ123,IF($E$2=29.5,'S3'!BK123,IF($E$2=30.5,'S3'!BL123,IF($E$2=31.5,'S3'!BM123,IF($E$2=32.5,'S3'!BN123,IF($E$2=33.5,'S3'!BO123)))))))))))))))))))</f>
        <v>191.83</v>
      </c>
      <c r="F123" s="437">
        <f t="shared" si="4"/>
        <v>268.56</v>
      </c>
    </row>
    <row r="124" spans="2:6" x14ac:dyDescent="0.45">
      <c r="B124" s="435">
        <v>120</v>
      </c>
      <c r="C124" s="436">
        <f>IF($C$2=34.5,'S3'!AD124,IF($C$2=35.5,'S3'!AF124,IF($C$2=36.5,'S3'!AH124,IF($C$2=37.5,'S3'!AJ124,IF($C$2=38.5,'S3'!AL124,IF($C$2=39.5,'S3'!AN124,IF($C$2=40.5,'S3'!AP124,IF($C$2=27.5,'S3'!P124,IF($C$2=28.5,'S3'!R124,IF($C$2=29.5,'S3'!T124,IF($C$2=30.5,'S3'!V124,IF($C$2=31.5,'S3'!Z124,IF($C$2=32.5,'S3'!Z124,IF($C$2=33.5,'S3'!AB124))))))))))))))</f>
        <v>309.41000000000003</v>
      </c>
      <c r="D124" s="436">
        <f>IF($C$2=34.5,'S3'!AE124,IF($C$2=35.5,'S3'!AG124,IF($C$2=36.5,'S3'!AI124,IF($C$2=37.5,'S3'!AK124,IF($C$2=38.5,'S3'!AM124,IF($C$2=39.5,'S3'!AO124,IF($C$2=40.5,'S3'!AQ124,IF($C$2=27.5,'S3'!Q124,IF($C$2=28.5,'S3'!S124,IF($C$2=29.5,'S3'!U124,IF($C$2=30.5,'S3'!W124,IF($C$2=31.5,'S3'!Y124,IF($C$2=32.5,'S3'!AA124,IF($C$2=33.5,'S3'!AC124))))))))))))))</f>
        <v>433.17</v>
      </c>
      <c r="E124" s="437">
        <f>IF($E$2=34.5,'S3'!BP124,IF($E$2=35.5,'S3'!BQ124,IF($E$2=36.5,'S3'!BR124,IF($E$2=37.5,'S3'!BS124,IF($E$2=38.5,'S3'!BT124,IF($E$2=39.5,'S3'!BU124,IF($E$2=40.5,'S3'!BV124,IF($E$2=22.5,'S3'!BD124,IF($E$2=23.5,'S3'!BE124,IF($E$2=24.5,'S3'!BF124,IF($E$2=25.5,'S3'!BG124,IF($E$2=26.5,'S3'!BH124,IF($E$2=27.5,'S3'!BI124,IF($E$2=28.5,'S3'!BJ124,IF($E$2=29.5,'S3'!BK124,IF($E$2=30.5,'S3'!BL124,IF($E$2=31.5,'S3'!BM124,IF($E$2=32.5,'S3'!BN124,IF($E$2=33.5,'S3'!BO124)))))))))))))))))))</f>
        <v>193.4</v>
      </c>
      <c r="F124" s="437">
        <f t="shared" si="4"/>
        <v>270.76</v>
      </c>
    </row>
    <row r="125" spans="2:6" x14ac:dyDescent="0.45">
      <c r="B125" s="435">
        <v>121</v>
      </c>
      <c r="C125" s="436">
        <f>IF($C$2=34.5,'S3'!AD125,IF($C$2=35.5,'S3'!AF125,IF($C$2=36.5,'S3'!AH125,IF($C$2=37.5,'S3'!AJ125,IF($C$2=38.5,'S3'!AL125,IF($C$2=39.5,'S3'!AN125,IF($C$2=40.5,'S3'!AP125,IF($C$2=27.5,'S3'!P125,IF($C$2=28.5,'S3'!R125,IF($C$2=29.5,'S3'!T125,IF($C$2=30.5,'S3'!V125,IF($C$2=31.5,'S3'!Z125,IF($C$2=32.5,'S3'!Z125,IF($C$2=33.5,'S3'!AB125))))))))))))))</f>
        <v>311.77999999999997</v>
      </c>
      <c r="D125" s="436">
        <f>IF($C$2=34.5,'S3'!AE125,IF($C$2=35.5,'S3'!AG125,IF($C$2=36.5,'S3'!AI125,IF($C$2=37.5,'S3'!AK125,IF($C$2=38.5,'S3'!AM125,IF($C$2=39.5,'S3'!AO125,IF($C$2=40.5,'S3'!AQ125,IF($C$2=27.5,'S3'!Q125,IF($C$2=28.5,'S3'!S125,IF($C$2=29.5,'S3'!U125,IF($C$2=30.5,'S3'!W125,IF($C$2=31.5,'S3'!Y125,IF($C$2=32.5,'S3'!AA125,IF($C$2=33.5,'S3'!AC125))))))))))))))</f>
        <v>436.49</v>
      </c>
      <c r="E125" s="437">
        <f>IF($E$2=34.5,'S3'!BP125,IF($E$2=35.5,'S3'!BQ125,IF($E$2=36.5,'S3'!BR125,IF($E$2=37.5,'S3'!BS125,IF($E$2=38.5,'S3'!BT125,IF($E$2=39.5,'S3'!BU125,IF($E$2=40.5,'S3'!BV125,IF($E$2=22.5,'S3'!BD125,IF($E$2=23.5,'S3'!BE125,IF($E$2=24.5,'S3'!BF125,IF($E$2=25.5,'S3'!BG125,IF($E$2=26.5,'S3'!BH125,IF($E$2=27.5,'S3'!BI125,IF($E$2=28.5,'S3'!BJ125,IF($E$2=29.5,'S3'!BK125,IF($E$2=30.5,'S3'!BL125,IF($E$2=31.5,'S3'!BM125,IF($E$2=32.5,'S3'!BN125,IF($E$2=33.5,'S3'!BO125)))))))))))))))))))</f>
        <v>195.03</v>
      </c>
      <c r="F125" s="437">
        <f t="shared" si="4"/>
        <v>273.04000000000002</v>
      </c>
    </row>
    <row r="126" spans="2:6" x14ac:dyDescent="0.45">
      <c r="B126" s="435">
        <v>122</v>
      </c>
      <c r="C126" s="436">
        <f>IF($C$2=34.5,'S3'!AD126,IF($C$2=35.5,'S3'!AF126,IF($C$2=36.5,'S3'!AH126,IF($C$2=37.5,'S3'!AJ126,IF($C$2=38.5,'S3'!AL126,IF($C$2=39.5,'S3'!AN126,IF($C$2=40.5,'S3'!AP126,IF($C$2=27.5,'S3'!P126,IF($C$2=28.5,'S3'!R126,IF($C$2=29.5,'S3'!T126,IF($C$2=30.5,'S3'!V126,IF($C$2=31.5,'S3'!Z126,IF($C$2=32.5,'S3'!Z126,IF($C$2=33.5,'S3'!AB126))))))))))))))</f>
        <v>314.39999999999998</v>
      </c>
      <c r="D126" s="436">
        <f>IF($C$2=34.5,'S3'!AE126,IF($C$2=35.5,'S3'!AG126,IF($C$2=36.5,'S3'!AI126,IF($C$2=37.5,'S3'!AK126,IF($C$2=38.5,'S3'!AM126,IF($C$2=39.5,'S3'!AO126,IF($C$2=40.5,'S3'!AQ126,IF($C$2=27.5,'S3'!Q126,IF($C$2=28.5,'S3'!S126,IF($C$2=29.5,'S3'!U126,IF($C$2=30.5,'S3'!W126,IF($C$2=31.5,'S3'!Y126,IF($C$2=32.5,'S3'!AA126,IF($C$2=33.5,'S3'!AC126))))))))))))))</f>
        <v>440.16</v>
      </c>
      <c r="E126" s="437">
        <f>IF($E$2=34.5,'S3'!BP126,IF($E$2=35.5,'S3'!BQ126,IF($E$2=36.5,'S3'!BR126,IF($E$2=37.5,'S3'!BS126,IF($E$2=38.5,'S3'!BT126,IF($E$2=39.5,'S3'!BU126,IF($E$2=40.5,'S3'!BV126,IF($E$2=22.5,'S3'!BD126,IF($E$2=23.5,'S3'!BE126,IF($E$2=24.5,'S3'!BF126,IF($E$2=25.5,'S3'!BG126,IF($E$2=26.5,'S3'!BH126,IF($E$2=27.5,'S3'!BI126,IF($E$2=28.5,'S3'!BJ126,IF($E$2=29.5,'S3'!BK126,IF($E$2=30.5,'S3'!BL126,IF($E$2=31.5,'S3'!BM126,IF($E$2=32.5,'S3'!BN126,IF($E$2=33.5,'S3'!BO126)))))))))))))))))))</f>
        <v>196.65</v>
      </c>
      <c r="F126" s="437">
        <f t="shared" si="4"/>
        <v>275.31</v>
      </c>
    </row>
    <row r="127" spans="2:6" x14ac:dyDescent="0.45">
      <c r="B127" s="435">
        <v>123</v>
      </c>
      <c r="C127" s="436">
        <f>IF($C$2=34.5,'S3'!AD127,IF($C$2=35.5,'S3'!AF127,IF($C$2=36.5,'S3'!AH127,IF($C$2=37.5,'S3'!AJ127,IF($C$2=38.5,'S3'!AL127,IF($C$2=39.5,'S3'!AN127,IF($C$2=40.5,'S3'!AP127,IF($C$2=27.5,'S3'!P127,IF($C$2=28.5,'S3'!R127,IF($C$2=29.5,'S3'!T127,IF($C$2=30.5,'S3'!V127,IF($C$2=31.5,'S3'!Z127,IF($C$2=32.5,'S3'!Z127,IF($C$2=33.5,'S3'!AB127))))))))))))))</f>
        <v>317.02999999999997</v>
      </c>
      <c r="D127" s="436">
        <f>IF($C$2=34.5,'S3'!AE127,IF($C$2=35.5,'S3'!AG127,IF($C$2=36.5,'S3'!AI127,IF($C$2=37.5,'S3'!AK127,IF($C$2=38.5,'S3'!AM127,IF($C$2=39.5,'S3'!AO127,IF($C$2=40.5,'S3'!AQ127,IF($C$2=27.5,'S3'!Q127,IF($C$2=28.5,'S3'!S127,IF($C$2=29.5,'S3'!U127,IF($C$2=30.5,'S3'!W127,IF($C$2=31.5,'S3'!Y127,IF($C$2=32.5,'S3'!AA127,IF($C$2=33.5,'S3'!AC127))))))))))))))</f>
        <v>443.84</v>
      </c>
      <c r="E127" s="437">
        <f>IF($E$2=34.5,'S3'!BP127,IF($E$2=35.5,'S3'!BQ127,IF($E$2=36.5,'S3'!BR127,IF($E$2=37.5,'S3'!BS127,IF($E$2=38.5,'S3'!BT127,IF($E$2=39.5,'S3'!BU127,IF($E$2=40.5,'S3'!BV127,IF($E$2=22.5,'S3'!BD127,IF($E$2=23.5,'S3'!BE127,IF($E$2=24.5,'S3'!BF127,IF($E$2=25.5,'S3'!BG127,IF($E$2=26.5,'S3'!BH127,IF($E$2=27.5,'S3'!BI127,IF($E$2=28.5,'S3'!BJ127,IF($E$2=29.5,'S3'!BK127,IF($E$2=30.5,'S3'!BL127,IF($E$2=31.5,'S3'!BM127,IF($E$2=32.5,'S3'!BN127,IF($E$2=33.5,'S3'!BO127)))))))))))))))))))</f>
        <v>198.22</v>
      </c>
      <c r="F127" s="437">
        <f t="shared" si="4"/>
        <v>277.51</v>
      </c>
    </row>
    <row r="128" spans="2:6" x14ac:dyDescent="0.45">
      <c r="B128" s="435">
        <v>124</v>
      </c>
      <c r="C128" s="436">
        <f>IF($C$2=34.5,'S3'!AD128,IF($C$2=35.5,'S3'!AF128,IF($C$2=36.5,'S3'!AH128,IF($C$2=37.5,'S3'!AJ128,IF($C$2=38.5,'S3'!AL128,IF($C$2=39.5,'S3'!AN128,IF($C$2=40.5,'S3'!AP128,IF($C$2=27.5,'S3'!P128,IF($C$2=28.5,'S3'!R128,IF($C$2=29.5,'S3'!T128,IF($C$2=30.5,'S3'!V128,IF($C$2=31.5,'S3'!Z128,IF($C$2=32.5,'S3'!Z128,IF($C$2=33.5,'S3'!AB128))))))))))))))</f>
        <v>319.67</v>
      </c>
      <c r="D128" s="436">
        <f>IF($C$2=34.5,'S3'!AE128,IF($C$2=35.5,'S3'!AG128,IF($C$2=36.5,'S3'!AI128,IF($C$2=37.5,'S3'!AK128,IF($C$2=38.5,'S3'!AM128,IF($C$2=39.5,'S3'!AO128,IF($C$2=40.5,'S3'!AQ128,IF($C$2=27.5,'S3'!Q128,IF($C$2=28.5,'S3'!S128,IF($C$2=29.5,'S3'!U128,IF($C$2=30.5,'S3'!W128,IF($C$2=31.5,'S3'!Y128,IF($C$2=32.5,'S3'!AA128,IF($C$2=33.5,'S3'!AC128))))))))))))))</f>
        <v>447.54</v>
      </c>
      <c r="E128" s="437">
        <f>IF($E$2=34.5,'S3'!BP128,IF($E$2=35.5,'S3'!BQ128,IF($E$2=36.5,'S3'!BR128,IF($E$2=37.5,'S3'!BS128,IF($E$2=38.5,'S3'!BT128,IF($E$2=39.5,'S3'!BU128,IF($E$2=40.5,'S3'!BV128,IF($E$2=22.5,'S3'!BD128,IF($E$2=23.5,'S3'!BE128,IF($E$2=24.5,'S3'!BF128,IF($E$2=25.5,'S3'!BG128,IF($E$2=26.5,'S3'!BH128,IF($E$2=27.5,'S3'!BI128,IF($E$2=28.5,'S3'!BJ128,IF($E$2=29.5,'S3'!BK128,IF($E$2=30.5,'S3'!BL128,IF($E$2=31.5,'S3'!BM128,IF($E$2=32.5,'S3'!BN128,IF($E$2=33.5,'S3'!BO128)))))))))))))))))))</f>
        <v>199.85</v>
      </c>
      <c r="F128" s="437">
        <f t="shared" si="4"/>
        <v>279.79000000000002</v>
      </c>
    </row>
    <row r="129" spans="2:6" x14ac:dyDescent="0.45">
      <c r="B129" s="435">
        <v>125</v>
      </c>
      <c r="C129" s="436">
        <f>IF($C$2=34.5,'S3'!AD129,IF($C$2=35.5,'S3'!AF129,IF($C$2=36.5,'S3'!AH129,IF($C$2=37.5,'S3'!AJ129,IF($C$2=38.5,'S3'!AL129,IF($C$2=39.5,'S3'!AN129,IF($C$2=40.5,'S3'!AP129,IF($C$2=27.5,'S3'!P129,IF($C$2=28.5,'S3'!R129,IF($C$2=29.5,'S3'!T129,IF($C$2=30.5,'S3'!V129,IF($C$2=31.5,'S3'!Z129,IF($C$2=32.5,'S3'!Z129,IF($C$2=33.5,'S3'!AB129))))))))))))))</f>
        <v>322.06</v>
      </c>
      <c r="D129" s="436">
        <f>IF($C$2=34.5,'S3'!AE129,IF($C$2=35.5,'S3'!AG129,IF($C$2=36.5,'S3'!AI129,IF($C$2=37.5,'S3'!AK129,IF($C$2=38.5,'S3'!AM129,IF($C$2=39.5,'S3'!AO129,IF($C$2=40.5,'S3'!AQ129,IF($C$2=27.5,'S3'!Q129,IF($C$2=28.5,'S3'!S129,IF($C$2=29.5,'S3'!U129,IF($C$2=30.5,'S3'!W129,IF($C$2=31.5,'S3'!Y129,IF($C$2=32.5,'S3'!AA129,IF($C$2=33.5,'S3'!AC129))))))))))))))</f>
        <v>450.88</v>
      </c>
      <c r="E129" s="437">
        <f>IF($E$2=34.5,'S3'!BP129,IF($E$2=35.5,'S3'!BQ129,IF($E$2=36.5,'S3'!BR129,IF($E$2=37.5,'S3'!BS129,IF($E$2=38.5,'S3'!BT129,IF($E$2=39.5,'S3'!BU129,IF($E$2=40.5,'S3'!BV129,IF($E$2=22.5,'S3'!BD129,IF($E$2=23.5,'S3'!BE129,IF($E$2=24.5,'S3'!BF129,IF($E$2=25.5,'S3'!BG129,IF($E$2=26.5,'S3'!BH129,IF($E$2=27.5,'S3'!BI129,IF($E$2=28.5,'S3'!BJ129,IF($E$2=29.5,'S3'!BK129,IF($E$2=30.5,'S3'!BL129,IF($E$2=31.5,'S3'!BM129,IF($E$2=32.5,'S3'!BN129,IF($E$2=33.5,'S3'!BO129)))))))))))))))))))</f>
        <v>201.48</v>
      </c>
      <c r="F129" s="437">
        <f t="shared" si="4"/>
        <v>282.07</v>
      </c>
    </row>
    <row r="130" spans="2:6" x14ac:dyDescent="0.45">
      <c r="B130" s="435">
        <v>126</v>
      </c>
      <c r="C130" s="436">
        <f>IF($C$2=34.5,'S3'!AD130,IF($C$2=35.5,'S3'!AF130,IF($C$2=36.5,'S3'!AH130,IF($C$2=37.5,'S3'!AJ130,IF($C$2=38.5,'S3'!AL130,IF($C$2=39.5,'S3'!AN130,IF($C$2=40.5,'S3'!AP130,IF($C$2=27.5,'S3'!P130,IF($C$2=28.5,'S3'!R130,IF($C$2=29.5,'S3'!T130,IF($C$2=30.5,'S3'!V130,IF($C$2=31.5,'S3'!Z130,IF($C$2=32.5,'S3'!Z130,IF($C$2=33.5,'S3'!AB130))))))))))))))</f>
        <v>324.70999999999998</v>
      </c>
      <c r="D130" s="436">
        <f>IF($C$2=34.5,'S3'!AE130,IF($C$2=35.5,'S3'!AG130,IF($C$2=36.5,'S3'!AI130,IF($C$2=37.5,'S3'!AK130,IF($C$2=38.5,'S3'!AM130,IF($C$2=39.5,'S3'!AO130,IF($C$2=40.5,'S3'!AQ130,IF($C$2=27.5,'S3'!Q130,IF($C$2=28.5,'S3'!S130,IF($C$2=29.5,'S3'!U130,IF($C$2=30.5,'S3'!W130,IF($C$2=31.5,'S3'!Y130,IF($C$2=32.5,'S3'!AA130,IF($C$2=33.5,'S3'!AC130))))))))))))))</f>
        <v>454.59</v>
      </c>
      <c r="E130" s="437">
        <f>IF($E$2=34.5,'S3'!BP130,IF($E$2=35.5,'S3'!BQ130,IF($E$2=36.5,'S3'!BR130,IF($E$2=37.5,'S3'!BS130,IF($E$2=38.5,'S3'!BT130,IF($E$2=39.5,'S3'!BU130,IF($E$2=40.5,'S3'!BV130,IF($E$2=22.5,'S3'!BD130,IF($E$2=23.5,'S3'!BE130,IF($E$2=24.5,'S3'!BF130,IF($E$2=25.5,'S3'!BG130,IF($E$2=26.5,'S3'!BH130,IF($E$2=27.5,'S3'!BI130,IF($E$2=28.5,'S3'!BJ130,IF($E$2=29.5,'S3'!BK130,IF($E$2=30.5,'S3'!BL130,IF($E$2=31.5,'S3'!BM130,IF($E$2=32.5,'S3'!BN130,IF($E$2=33.5,'S3'!BO130)))))))))))))))))))</f>
        <v>203.04</v>
      </c>
      <c r="F130" s="437">
        <f t="shared" si="4"/>
        <v>284.26</v>
      </c>
    </row>
    <row r="131" spans="2:6" x14ac:dyDescent="0.45">
      <c r="B131" s="435">
        <v>127</v>
      </c>
      <c r="C131" s="436">
        <f>IF($C$2=34.5,'S3'!AD131,IF($C$2=35.5,'S3'!AF131,IF($C$2=36.5,'S3'!AH131,IF($C$2=37.5,'S3'!AJ131,IF($C$2=38.5,'S3'!AL131,IF($C$2=39.5,'S3'!AN131,IF($C$2=40.5,'S3'!AP131,IF($C$2=27.5,'S3'!P131,IF($C$2=28.5,'S3'!R131,IF($C$2=29.5,'S3'!T131,IF($C$2=30.5,'S3'!V131,IF($C$2=31.5,'S3'!Z131,IF($C$2=32.5,'S3'!Z131,IF($C$2=33.5,'S3'!AB131))))))))))))))</f>
        <v>327.38</v>
      </c>
      <c r="D131" s="436">
        <f>IF($C$2=34.5,'S3'!AE131,IF($C$2=35.5,'S3'!AG131,IF($C$2=36.5,'S3'!AI131,IF($C$2=37.5,'S3'!AK131,IF($C$2=38.5,'S3'!AM131,IF($C$2=39.5,'S3'!AO131,IF($C$2=40.5,'S3'!AQ131,IF($C$2=27.5,'S3'!Q131,IF($C$2=28.5,'S3'!S131,IF($C$2=29.5,'S3'!U131,IF($C$2=30.5,'S3'!W131,IF($C$2=31.5,'S3'!Y131,IF($C$2=32.5,'S3'!AA131,IF($C$2=33.5,'S3'!AC131))))))))))))))</f>
        <v>458.33</v>
      </c>
      <c r="E131" s="437">
        <f>IF($E$2=34.5,'S3'!BP131,IF($E$2=35.5,'S3'!BQ131,IF($E$2=36.5,'S3'!BR131,IF($E$2=37.5,'S3'!BS131,IF($E$2=38.5,'S3'!BT131,IF($E$2=39.5,'S3'!BU131,IF($E$2=40.5,'S3'!BV131,IF($E$2=22.5,'S3'!BD131,IF($E$2=23.5,'S3'!BE131,IF($E$2=24.5,'S3'!BF131,IF($E$2=25.5,'S3'!BG131,IF($E$2=26.5,'S3'!BH131,IF($E$2=27.5,'S3'!BI131,IF($E$2=28.5,'S3'!BJ131,IF($E$2=29.5,'S3'!BK131,IF($E$2=30.5,'S3'!BL131,IF($E$2=31.5,'S3'!BM131,IF($E$2=32.5,'S3'!BN131,IF($E$2=33.5,'S3'!BO131)))))))))))))))))))</f>
        <v>204.68</v>
      </c>
      <c r="F131" s="437">
        <f t="shared" si="4"/>
        <v>286.55</v>
      </c>
    </row>
    <row r="132" spans="2:6" x14ac:dyDescent="0.45">
      <c r="B132" s="435">
        <v>128</v>
      </c>
      <c r="C132" s="436">
        <f>IF($C$2=34.5,'S3'!AD132,IF($C$2=35.5,'S3'!AF132,IF($C$2=36.5,'S3'!AH132,IF($C$2=37.5,'S3'!AJ132,IF($C$2=38.5,'S3'!AL132,IF($C$2=39.5,'S3'!AN132,IF($C$2=40.5,'S3'!AP132,IF($C$2=27.5,'S3'!P132,IF($C$2=28.5,'S3'!R132,IF($C$2=29.5,'S3'!T132,IF($C$2=30.5,'S3'!V132,IF($C$2=31.5,'S3'!Z132,IF($C$2=32.5,'S3'!Z132,IF($C$2=33.5,'S3'!AB132))))))))))))))</f>
        <v>329.78</v>
      </c>
      <c r="D132" s="436">
        <f>IF($C$2=34.5,'S3'!AE132,IF($C$2=35.5,'S3'!AG132,IF($C$2=36.5,'S3'!AI132,IF($C$2=37.5,'S3'!AK132,IF($C$2=38.5,'S3'!AM132,IF($C$2=39.5,'S3'!AO132,IF($C$2=40.5,'S3'!AQ132,IF($C$2=27.5,'S3'!Q132,IF($C$2=28.5,'S3'!S132,IF($C$2=29.5,'S3'!U132,IF($C$2=30.5,'S3'!W132,IF($C$2=31.5,'S3'!Y132,IF($C$2=32.5,'S3'!AA132,IF($C$2=33.5,'S3'!AC132))))))))))))))</f>
        <v>461.69</v>
      </c>
      <c r="E132" s="437">
        <f>IF($E$2=34.5,'S3'!BP132,IF($E$2=35.5,'S3'!BQ132,IF($E$2=36.5,'S3'!BR132,IF($E$2=37.5,'S3'!BS132,IF($E$2=38.5,'S3'!BT132,IF($E$2=39.5,'S3'!BU132,IF($E$2=40.5,'S3'!BV132,IF($E$2=22.5,'S3'!BD132,IF($E$2=23.5,'S3'!BE132,IF($E$2=24.5,'S3'!BF132,IF($E$2=25.5,'S3'!BG132,IF($E$2=26.5,'S3'!BH132,IF($E$2=27.5,'S3'!BI132,IF($E$2=28.5,'S3'!BJ132,IF($E$2=29.5,'S3'!BK132,IF($E$2=30.5,'S3'!BL132,IF($E$2=31.5,'S3'!BM132,IF($E$2=32.5,'S3'!BN132,IF($E$2=33.5,'S3'!BO132)))))))))))))))))))</f>
        <v>206.32</v>
      </c>
      <c r="F132" s="437">
        <f t="shared" si="4"/>
        <v>288.85000000000002</v>
      </c>
    </row>
    <row r="133" spans="2:6" x14ac:dyDescent="0.45">
      <c r="B133" s="435">
        <v>129</v>
      </c>
      <c r="C133" s="436">
        <f>IF($C$2=34.5,'S3'!AD133,IF($C$2=35.5,'S3'!AF133,IF($C$2=36.5,'S3'!AH133,IF($C$2=37.5,'S3'!AJ133,IF($C$2=38.5,'S3'!AL133,IF($C$2=39.5,'S3'!AN133,IF($C$2=40.5,'S3'!AP133,IF($C$2=27.5,'S3'!P133,IF($C$2=28.5,'S3'!R133,IF($C$2=29.5,'S3'!T133,IF($C$2=30.5,'S3'!V133,IF($C$2=31.5,'S3'!Z133,IF($C$2=32.5,'S3'!Z133,IF($C$2=33.5,'S3'!AB133))))))))))))))</f>
        <v>332.46</v>
      </c>
      <c r="D133" s="436">
        <f>IF($C$2=34.5,'S3'!AE133,IF($C$2=35.5,'S3'!AG133,IF($C$2=36.5,'S3'!AI133,IF($C$2=37.5,'S3'!AK133,IF($C$2=38.5,'S3'!AM133,IF($C$2=39.5,'S3'!AO133,IF($C$2=40.5,'S3'!AQ133,IF($C$2=27.5,'S3'!Q133,IF($C$2=28.5,'S3'!S133,IF($C$2=29.5,'S3'!U133,IF($C$2=30.5,'S3'!W133,IF($C$2=31.5,'S3'!Y133,IF($C$2=32.5,'S3'!AA133,IF($C$2=33.5,'S3'!AC133))))))))))))))</f>
        <v>465.44</v>
      </c>
      <c r="E133" s="437">
        <f>IF($E$2=34.5,'S3'!BP133,IF($E$2=35.5,'S3'!BQ133,IF($E$2=36.5,'S3'!BR133,IF($E$2=37.5,'S3'!BS133,IF($E$2=38.5,'S3'!BT133,IF($E$2=39.5,'S3'!BU133,IF($E$2=40.5,'S3'!BV133,IF($E$2=22.5,'S3'!BD133,IF($E$2=23.5,'S3'!BE133,IF($E$2=24.5,'S3'!BF133,IF($E$2=25.5,'S3'!BG133,IF($E$2=26.5,'S3'!BH133,IF($E$2=27.5,'S3'!BI133,IF($E$2=28.5,'S3'!BJ133,IF($E$2=29.5,'S3'!BK133,IF($E$2=30.5,'S3'!BL133,IF($E$2=31.5,'S3'!BM133,IF($E$2=32.5,'S3'!BN133,IF($E$2=33.5,'S3'!BO133)))))))))))))))))))</f>
        <v>207.89</v>
      </c>
      <c r="F133" s="437">
        <f t="shared" si="4"/>
        <v>291.05</v>
      </c>
    </row>
    <row r="134" spans="2:6" x14ac:dyDescent="0.45">
      <c r="B134" s="435">
        <v>130</v>
      </c>
      <c r="C134" s="436">
        <f>IF($C$2=34.5,'S3'!AD134,IF($C$2=35.5,'S3'!AF134,IF($C$2=36.5,'S3'!AH134,IF($C$2=37.5,'S3'!AJ134,IF($C$2=38.5,'S3'!AL134,IF($C$2=39.5,'S3'!AN134,IF($C$2=40.5,'S3'!AP134,IF($C$2=27.5,'S3'!P134,IF($C$2=28.5,'S3'!R134,IF($C$2=29.5,'S3'!T134,IF($C$2=30.5,'S3'!V134,IF($C$2=31.5,'S3'!Z134,IF($C$2=32.5,'S3'!Z134,IF($C$2=33.5,'S3'!AB134))))))))))))))</f>
        <v>335.15</v>
      </c>
      <c r="D134" s="436">
        <f>IF($C$2=34.5,'S3'!AE134,IF($C$2=35.5,'S3'!AG134,IF($C$2=36.5,'S3'!AI134,IF($C$2=37.5,'S3'!AK134,IF($C$2=38.5,'S3'!AM134,IF($C$2=39.5,'S3'!AO134,IF($C$2=40.5,'S3'!AQ134,IF($C$2=27.5,'S3'!Q134,IF($C$2=28.5,'S3'!S134,IF($C$2=29.5,'S3'!U134,IF($C$2=30.5,'S3'!W134,IF($C$2=31.5,'S3'!Y134,IF($C$2=32.5,'S3'!AA134,IF($C$2=33.5,'S3'!AC134))))))))))))))</f>
        <v>469.21</v>
      </c>
      <c r="E134" s="437">
        <f>IF($E$2=34.5,'S3'!BP134,IF($E$2=35.5,'S3'!BQ134,IF($E$2=36.5,'S3'!BR134,IF($E$2=37.5,'S3'!BS134,IF($E$2=38.5,'S3'!BT134,IF($E$2=39.5,'S3'!BU134,IF($E$2=40.5,'S3'!BV134,IF($E$2=22.5,'S3'!BD134,IF($E$2=23.5,'S3'!BE134,IF($E$2=24.5,'S3'!BF134,IF($E$2=25.5,'S3'!BG134,IF($E$2=26.5,'S3'!BH134,IF($E$2=27.5,'S3'!BI134,IF($E$2=28.5,'S3'!BJ134,IF($E$2=29.5,'S3'!BK134,IF($E$2=30.5,'S3'!BL134,IF($E$2=31.5,'S3'!BM134,IF($E$2=32.5,'S3'!BN134,IF($E$2=33.5,'S3'!BO134)))))))))))))))))))</f>
        <v>209.53</v>
      </c>
      <c r="F134" s="437">
        <f t="shared" ref="F134:F197" si="5">ROUND(E134*1.4,2)</f>
        <v>293.33999999999997</v>
      </c>
    </row>
    <row r="135" spans="2:6" x14ac:dyDescent="0.45">
      <c r="B135" s="435">
        <v>131</v>
      </c>
      <c r="C135" s="436">
        <f>IF($C$2=34.5,'S3'!AD135,IF($C$2=35.5,'S3'!AF135,IF($C$2=36.5,'S3'!AH135,IF($C$2=37.5,'S3'!AJ135,IF($C$2=38.5,'S3'!AL135,IF($C$2=39.5,'S3'!AN135,IF($C$2=40.5,'S3'!AP135,IF($C$2=27.5,'S3'!P135,IF($C$2=28.5,'S3'!R135,IF($C$2=29.5,'S3'!T135,IF($C$2=30.5,'S3'!V135,IF($C$2=31.5,'S3'!Z135,IF($C$2=32.5,'S3'!Z135,IF($C$2=33.5,'S3'!AB135))))))))))))))</f>
        <v>337.56</v>
      </c>
      <c r="D135" s="436">
        <f>IF($C$2=34.5,'S3'!AE135,IF($C$2=35.5,'S3'!AG135,IF($C$2=36.5,'S3'!AI135,IF($C$2=37.5,'S3'!AK135,IF($C$2=38.5,'S3'!AM135,IF($C$2=39.5,'S3'!AO135,IF($C$2=40.5,'S3'!AQ135,IF($C$2=27.5,'S3'!Q135,IF($C$2=28.5,'S3'!S135,IF($C$2=29.5,'S3'!U135,IF($C$2=30.5,'S3'!W135,IF($C$2=31.5,'S3'!Y135,IF($C$2=32.5,'S3'!AA135,IF($C$2=33.5,'S3'!AC135))))))))))))))</f>
        <v>472.58</v>
      </c>
      <c r="E135" s="437">
        <f>IF($E$2=34.5,'S3'!BP135,IF($E$2=35.5,'S3'!BQ135,IF($E$2=36.5,'S3'!BR135,IF($E$2=37.5,'S3'!BS135,IF($E$2=38.5,'S3'!BT135,IF($E$2=39.5,'S3'!BU135,IF($E$2=40.5,'S3'!BV135,IF($E$2=22.5,'S3'!BD135,IF($E$2=23.5,'S3'!BE135,IF($E$2=24.5,'S3'!BF135,IF($E$2=25.5,'S3'!BG135,IF($E$2=26.5,'S3'!BH135,IF($E$2=27.5,'S3'!BI135,IF($E$2=28.5,'S3'!BJ135,IF($E$2=29.5,'S3'!BK135,IF($E$2=30.5,'S3'!BL135,IF($E$2=31.5,'S3'!BM135,IF($E$2=32.5,'S3'!BN135,IF($E$2=33.5,'S3'!BO135)))))))))))))))))))</f>
        <v>211.1</v>
      </c>
      <c r="F135" s="437">
        <f t="shared" si="5"/>
        <v>295.54000000000002</v>
      </c>
    </row>
    <row r="136" spans="2:6" x14ac:dyDescent="0.45">
      <c r="B136" s="435">
        <v>132</v>
      </c>
      <c r="C136" s="436">
        <f>IF($C$2=34.5,'S3'!AD136,IF($C$2=35.5,'S3'!AF136,IF($C$2=36.5,'S3'!AH136,IF($C$2=37.5,'S3'!AJ136,IF($C$2=38.5,'S3'!AL136,IF($C$2=39.5,'S3'!AN136,IF($C$2=40.5,'S3'!AP136,IF($C$2=27.5,'S3'!P136,IF($C$2=28.5,'S3'!R136,IF($C$2=29.5,'S3'!T136,IF($C$2=30.5,'S3'!V136,IF($C$2=31.5,'S3'!Z136,IF($C$2=32.5,'S3'!Z136,IF($C$2=33.5,'S3'!AB136))))))))))))))</f>
        <v>340.27</v>
      </c>
      <c r="D136" s="436">
        <f>IF($C$2=34.5,'S3'!AE136,IF($C$2=35.5,'S3'!AG136,IF($C$2=36.5,'S3'!AI136,IF($C$2=37.5,'S3'!AK136,IF($C$2=38.5,'S3'!AM136,IF($C$2=39.5,'S3'!AO136,IF($C$2=40.5,'S3'!AQ136,IF($C$2=27.5,'S3'!Q136,IF($C$2=28.5,'S3'!S136,IF($C$2=29.5,'S3'!U136,IF($C$2=30.5,'S3'!W136,IF($C$2=31.5,'S3'!Y136,IF($C$2=32.5,'S3'!AA136,IF($C$2=33.5,'S3'!AC136))))))))))))))</f>
        <v>476.38</v>
      </c>
      <c r="E136" s="437">
        <f>IF($E$2=34.5,'S3'!BP136,IF($E$2=35.5,'S3'!BQ136,IF($E$2=36.5,'S3'!BR136,IF($E$2=37.5,'S3'!BS136,IF($E$2=38.5,'S3'!BT136,IF($E$2=39.5,'S3'!BU136,IF($E$2=40.5,'S3'!BV136,IF($E$2=22.5,'S3'!BD136,IF($E$2=23.5,'S3'!BE136,IF($E$2=24.5,'S3'!BF136,IF($E$2=25.5,'S3'!BG136,IF($E$2=26.5,'S3'!BH136,IF($E$2=27.5,'S3'!BI136,IF($E$2=28.5,'S3'!BJ136,IF($E$2=29.5,'S3'!BK136,IF($E$2=30.5,'S3'!BL136,IF($E$2=31.5,'S3'!BM136,IF($E$2=32.5,'S3'!BN136,IF($E$2=33.5,'S3'!BO136)))))))))))))))))))</f>
        <v>212.67</v>
      </c>
      <c r="F136" s="437">
        <f t="shared" si="5"/>
        <v>297.74</v>
      </c>
    </row>
    <row r="137" spans="2:6" x14ac:dyDescent="0.45">
      <c r="B137" s="435">
        <v>133</v>
      </c>
      <c r="C137" s="436">
        <f>IF($C$2=34.5,'S3'!AD137,IF($C$2=35.5,'S3'!AF137,IF($C$2=36.5,'S3'!AH137,IF($C$2=37.5,'S3'!AJ137,IF($C$2=38.5,'S3'!AL137,IF($C$2=39.5,'S3'!AN137,IF($C$2=40.5,'S3'!AP137,IF($C$2=27.5,'S3'!P137,IF($C$2=28.5,'S3'!R137,IF($C$2=29.5,'S3'!T137,IF($C$2=30.5,'S3'!V137,IF($C$2=31.5,'S3'!Z137,IF($C$2=32.5,'S3'!Z137,IF($C$2=33.5,'S3'!AB137))))))))))))))</f>
        <v>342.69</v>
      </c>
      <c r="D137" s="436">
        <f>IF($C$2=34.5,'S3'!AE137,IF($C$2=35.5,'S3'!AG137,IF($C$2=36.5,'S3'!AI137,IF($C$2=37.5,'S3'!AK137,IF($C$2=38.5,'S3'!AM137,IF($C$2=39.5,'S3'!AO137,IF($C$2=40.5,'S3'!AQ137,IF($C$2=27.5,'S3'!Q137,IF($C$2=28.5,'S3'!S137,IF($C$2=29.5,'S3'!U137,IF($C$2=30.5,'S3'!W137,IF($C$2=31.5,'S3'!Y137,IF($C$2=32.5,'S3'!AA137,IF($C$2=33.5,'S3'!AC137))))))))))))))</f>
        <v>479.77</v>
      </c>
      <c r="E137" s="437">
        <f>IF($E$2=34.5,'S3'!BP137,IF($E$2=35.5,'S3'!BQ137,IF($E$2=36.5,'S3'!BR137,IF($E$2=37.5,'S3'!BS137,IF($E$2=38.5,'S3'!BT137,IF($E$2=39.5,'S3'!BU137,IF($E$2=40.5,'S3'!BV137,IF($E$2=22.5,'S3'!BD137,IF($E$2=23.5,'S3'!BE137,IF($E$2=24.5,'S3'!BF137,IF($E$2=25.5,'S3'!BG137,IF($E$2=26.5,'S3'!BH137,IF($E$2=27.5,'S3'!BI137,IF($E$2=28.5,'S3'!BJ137,IF($E$2=29.5,'S3'!BK137,IF($E$2=30.5,'S3'!BL137,IF($E$2=31.5,'S3'!BM137,IF($E$2=32.5,'S3'!BN137,IF($E$2=33.5,'S3'!BO137)))))))))))))))))))</f>
        <v>214.32</v>
      </c>
      <c r="F137" s="437">
        <f t="shared" si="5"/>
        <v>300.05</v>
      </c>
    </row>
    <row r="138" spans="2:6" x14ac:dyDescent="0.45">
      <c r="B138" s="435">
        <v>134</v>
      </c>
      <c r="C138" s="436">
        <f>IF($C$2=34.5,'S3'!AD138,IF($C$2=35.5,'S3'!AF138,IF($C$2=36.5,'S3'!AH138,IF($C$2=37.5,'S3'!AJ138,IF($C$2=38.5,'S3'!AL138,IF($C$2=39.5,'S3'!AN138,IF($C$2=40.5,'S3'!AP138,IF($C$2=27.5,'S3'!P138,IF($C$2=28.5,'S3'!R138,IF($C$2=29.5,'S3'!T138,IF($C$2=30.5,'S3'!V138,IF($C$2=31.5,'S3'!Z138,IF($C$2=32.5,'S3'!Z138,IF($C$2=33.5,'S3'!AB138))))))))))))))</f>
        <v>345.42</v>
      </c>
      <c r="D138" s="436">
        <f>IF($C$2=34.5,'S3'!AE138,IF($C$2=35.5,'S3'!AG138,IF($C$2=36.5,'S3'!AI138,IF($C$2=37.5,'S3'!AK138,IF($C$2=38.5,'S3'!AM138,IF($C$2=39.5,'S3'!AO138,IF($C$2=40.5,'S3'!AQ138,IF($C$2=27.5,'S3'!Q138,IF($C$2=28.5,'S3'!S138,IF($C$2=29.5,'S3'!U138,IF($C$2=30.5,'S3'!W138,IF($C$2=31.5,'S3'!Y138,IF($C$2=32.5,'S3'!AA138,IF($C$2=33.5,'S3'!AC138))))))))))))))</f>
        <v>483.59</v>
      </c>
      <c r="E138" s="437">
        <f>IF($E$2=34.5,'S3'!BP138,IF($E$2=35.5,'S3'!BQ138,IF($E$2=36.5,'S3'!BR138,IF($E$2=37.5,'S3'!BS138,IF($E$2=38.5,'S3'!BT138,IF($E$2=39.5,'S3'!BU138,IF($E$2=40.5,'S3'!BV138,IF($E$2=22.5,'S3'!BD138,IF($E$2=23.5,'S3'!BE138,IF($E$2=24.5,'S3'!BF138,IF($E$2=25.5,'S3'!BG138,IF($E$2=26.5,'S3'!BH138,IF($E$2=27.5,'S3'!BI138,IF($E$2=28.5,'S3'!BJ138,IF($E$2=29.5,'S3'!BK138,IF($E$2=30.5,'S3'!BL138,IF($E$2=31.5,'S3'!BM138,IF($E$2=32.5,'S3'!BN138,IF($E$2=33.5,'S3'!BO138)))))))))))))))))))</f>
        <v>215.9</v>
      </c>
      <c r="F138" s="437">
        <f t="shared" si="5"/>
        <v>302.26</v>
      </c>
    </row>
    <row r="139" spans="2:6" x14ac:dyDescent="0.45">
      <c r="B139" s="435">
        <v>135</v>
      </c>
      <c r="C139" s="436">
        <f>IF($C$2=34.5,'S3'!AD139,IF($C$2=35.5,'S3'!AF139,IF($C$2=36.5,'S3'!AH139,IF($C$2=37.5,'S3'!AJ139,IF($C$2=38.5,'S3'!AL139,IF($C$2=39.5,'S3'!AN139,IF($C$2=40.5,'S3'!AP139,IF($C$2=27.5,'S3'!P139,IF($C$2=28.5,'S3'!R139,IF($C$2=29.5,'S3'!T139,IF($C$2=30.5,'S3'!V139,IF($C$2=31.5,'S3'!Z139,IF($C$2=32.5,'S3'!Z139,IF($C$2=33.5,'S3'!AB139))))))))))))))</f>
        <v>347.85</v>
      </c>
      <c r="D139" s="436">
        <f>IF($C$2=34.5,'S3'!AE139,IF($C$2=35.5,'S3'!AG139,IF($C$2=36.5,'S3'!AI139,IF($C$2=37.5,'S3'!AK139,IF($C$2=38.5,'S3'!AM139,IF($C$2=39.5,'S3'!AO139,IF($C$2=40.5,'S3'!AQ139,IF($C$2=27.5,'S3'!Q139,IF($C$2=28.5,'S3'!S139,IF($C$2=29.5,'S3'!U139,IF($C$2=30.5,'S3'!W139,IF($C$2=31.5,'S3'!Y139,IF($C$2=32.5,'S3'!AA139,IF($C$2=33.5,'S3'!AC139))))))))))))))</f>
        <v>486.99</v>
      </c>
      <c r="E139" s="437">
        <f>IF($E$2=34.5,'S3'!BP139,IF($E$2=35.5,'S3'!BQ139,IF($E$2=36.5,'S3'!BR139,IF($E$2=37.5,'S3'!BS139,IF($E$2=38.5,'S3'!BT139,IF($E$2=39.5,'S3'!BU139,IF($E$2=40.5,'S3'!BV139,IF($E$2=22.5,'S3'!BD139,IF($E$2=23.5,'S3'!BE139,IF($E$2=24.5,'S3'!BF139,IF($E$2=25.5,'S3'!BG139,IF($E$2=26.5,'S3'!BH139,IF($E$2=27.5,'S3'!BI139,IF($E$2=28.5,'S3'!BJ139,IF($E$2=29.5,'S3'!BK139,IF($E$2=30.5,'S3'!BL139,IF($E$2=31.5,'S3'!BM139,IF($E$2=32.5,'S3'!BN139,IF($E$2=33.5,'S3'!BO139)))))))))))))))))))</f>
        <v>217.55</v>
      </c>
      <c r="F139" s="437">
        <f t="shared" si="5"/>
        <v>304.57</v>
      </c>
    </row>
    <row r="140" spans="2:6" x14ac:dyDescent="0.45">
      <c r="B140" s="435">
        <v>136</v>
      </c>
      <c r="C140" s="436">
        <f>IF($C$2=34.5,'S3'!AD140,IF($C$2=35.5,'S3'!AF140,IF($C$2=36.5,'S3'!AH140,IF($C$2=37.5,'S3'!AJ140,IF($C$2=38.5,'S3'!AL140,IF($C$2=39.5,'S3'!AN140,IF($C$2=40.5,'S3'!AP140,IF($C$2=27.5,'S3'!P140,IF($C$2=28.5,'S3'!R140,IF($C$2=29.5,'S3'!T140,IF($C$2=30.5,'S3'!V140,IF($C$2=31.5,'S3'!Z140,IF($C$2=32.5,'S3'!Z140,IF($C$2=33.5,'S3'!AB140))))))))))))))</f>
        <v>350.28</v>
      </c>
      <c r="D140" s="436">
        <f>IF($C$2=34.5,'S3'!AE140,IF($C$2=35.5,'S3'!AG140,IF($C$2=36.5,'S3'!AI140,IF($C$2=37.5,'S3'!AK140,IF($C$2=38.5,'S3'!AM140,IF($C$2=39.5,'S3'!AO140,IF($C$2=40.5,'S3'!AQ140,IF($C$2=27.5,'S3'!Q140,IF($C$2=28.5,'S3'!S140,IF($C$2=29.5,'S3'!U140,IF($C$2=30.5,'S3'!W140,IF($C$2=31.5,'S3'!Y140,IF($C$2=32.5,'S3'!AA140,IF($C$2=33.5,'S3'!AC140))))))))))))))</f>
        <v>490.39</v>
      </c>
      <c r="E140" s="437">
        <f>IF($E$2=34.5,'S3'!BP140,IF($E$2=35.5,'S3'!BQ140,IF($E$2=36.5,'S3'!BR140,IF($E$2=37.5,'S3'!BS140,IF($E$2=38.5,'S3'!BT140,IF($E$2=39.5,'S3'!BU140,IF($E$2=40.5,'S3'!BV140,IF($E$2=22.5,'S3'!BD140,IF($E$2=23.5,'S3'!BE140,IF($E$2=24.5,'S3'!BF140,IF($E$2=25.5,'S3'!BG140,IF($E$2=26.5,'S3'!BH140,IF($E$2=27.5,'S3'!BI140,IF($E$2=28.5,'S3'!BJ140,IF($E$2=29.5,'S3'!BK140,IF($E$2=30.5,'S3'!BL140,IF($E$2=31.5,'S3'!BM140,IF($E$2=32.5,'S3'!BN140,IF($E$2=33.5,'S3'!BO140)))))))))))))))))))</f>
        <v>219.13</v>
      </c>
      <c r="F140" s="437">
        <f t="shared" si="5"/>
        <v>306.77999999999997</v>
      </c>
    </row>
    <row r="141" spans="2:6" x14ac:dyDescent="0.45">
      <c r="B141" s="435">
        <v>137</v>
      </c>
      <c r="C141" s="436">
        <f>IF($C$2=34.5,'S3'!AD141,IF($C$2=35.5,'S3'!AF141,IF($C$2=36.5,'S3'!AH141,IF($C$2=37.5,'S3'!AJ141,IF($C$2=38.5,'S3'!AL141,IF($C$2=39.5,'S3'!AN141,IF($C$2=40.5,'S3'!AP141,IF($C$2=27.5,'S3'!P141,IF($C$2=28.5,'S3'!R141,IF($C$2=29.5,'S3'!T141,IF($C$2=30.5,'S3'!V141,IF($C$2=31.5,'S3'!Z141,IF($C$2=32.5,'S3'!Z141,IF($C$2=33.5,'S3'!AB141))))))))))))))</f>
        <v>353.03</v>
      </c>
      <c r="D141" s="436">
        <f>IF($C$2=34.5,'S3'!AE141,IF($C$2=35.5,'S3'!AG141,IF($C$2=36.5,'S3'!AI141,IF($C$2=37.5,'S3'!AK141,IF($C$2=38.5,'S3'!AM141,IF($C$2=39.5,'S3'!AO141,IF($C$2=40.5,'S3'!AQ141,IF($C$2=27.5,'S3'!Q141,IF($C$2=28.5,'S3'!S141,IF($C$2=29.5,'S3'!U141,IF($C$2=30.5,'S3'!W141,IF($C$2=31.5,'S3'!Y141,IF($C$2=32.5,'S3'!AA141,IF($C$2=33.5,'S3'!AC141))))))))))))))</f>
        <v>494.24</v>
      </c>
      <c r="E141" s="437">
        <f>IF($E$2=34.5,'S3'!BP141,IF($E$2=35.5,'S3'!BQ141,IF($E$2=36.5,'S3'!BR141,IF($E$2=37.5,'S3'!BS141,IF($E$2=38.5,'S3'!BT141,IF($E$2=39.5,'S3'!BU141,IF($E$2=40.5,'S3'!BV141,IF($E$2=22.5,'S3'!BD141,IF($E$2=23.5,'S3'!BE141,IF($E$2=24.5,'S3'!BF141,IF($E$2=25.5,'S3'!BG141,IF($E$2=26.5,'S3'!BH141,IF($E$2=27.5,'S3'!BI141,IF($E$2=28.5,'S3'!BJ141,IF($E$2=29.5,'S3'!BK141,IF($E$2=30.5,'S3'!BL141,IF($E$2=31.5,'S3'!BM141,IF($E$2=32.5,'S3'!BN141,IF($E$2=33.5,'S3'!BO141)))))))))))))))))))</f>
        <v>220.79</v>
      </c>
      <c r="F141" s="437">
        <f t="shared" si="5"/>
        <v>309.11</v>
      </c>
    </row>
    <row r="142" spans="2:6" x14ac:dyDescent="0.45">
      <c r="B142" s="435">
        <v>138</v>
      </c>
      <c r="C142" s="436">
        <f>IF($C$2=34.5,'S3'!AD142,IF($C$2=35.5,'S3'!AF142,IF($C$2=36.5,'S3'!AH142,IF($C$2=37.5,'S3'!AJ142,IF($C$2=38.5,'S3'!AL142,IF($C$2=39.5,'S3'!AN142,IF($C$2=40.5,'S3'!AP142,IF($C$2=27.5,'S3'!P142,IF($C$2=28.5,'S3'!R142,IF($C$2=29.5,'S3'!T142,IF($C$2=30.5,'S3'!V142,IF($C$2=31.5,'S3'!Z142,IF($C$2=32.5,'S3'!Z142,IF($C$2=33.5,'S3'!AB142))))))))))))))</f>
        <v>355.47</v>
      </c>
      <c r="D142" s="436">
        <f>IF($C$2=34.5,'S3'!AE142,IF($C$2=35.5,'S3'!AG142,IF($C$2=36.5,'S3'!AI142,IF($C$2=37.5,'S3'!AK142,IF($C$2=38.5,'S3'!AM142,IF($C$2=39.5,'S3'!AO142,IF($C$2=40.5,'S3'!AQ142,IF($C$2=27.5,'S3'!Q142,IF($C$2=28.5,'S3'!S142,IF($C$2=29.5,'S3'!U142,IF($C$2=30.5,'S3'!W142,IF($C$2=31.5,'S3'!Y142,IF($C$2=32.5,'S3'!AA142,IF($C$2=33.5,'S3'!AC142))))))))))))))</f>
        <v>497.66</v>
      </c>
      <c r="E142" s="437">
        <f>IF($E$2=34.5,'S3'!BP142,IF($E$2=35.5,'S3'!BQ142,IF($E$2=36.5,'S3'!BR142,IF($E$2=37.5,'S3'!BS142,IF($E$2=38.5,'S3'!BT142,IF($E$2=39.5,'S3'!BU142,IF($E$2=40.5,'S3'!BV142,IF($E$2=22.5,'S3'!BD142,IF($E$2=23.5,'S3'!BE142,IF($E$2=24.5,'S3'!BF142,IF($E$2=25.5,'S3'!BG142,IF($E$2=26.5,'S3'!BH142,IF($E$2=27.5,'S3'!BI142,IF($E$2=28.5,'S3'!BJ142,IF($E$2=29.5,'S3'!BK142,IF($E$2=30.5,'S3'!BL142,IF($E$2=31.5,'S3'!BM142,IF($E$2=32.5,'S3'!BN142,IF($E$2=33.5,'S3'!BO142)))))))))))))))))))</f>
        <v>222.37</v>
      </c>
      <c r="F142" s="437">
        <f t="shared" si="5"/>
        <v>311.32</v>
      </c>
    </row>
    <row r="143" spans="2:6" x14ac:dyDescent="0.45">
      <c r="B143" s="435">
        <v>139</v>
      </c>
      <c r="C143" s="436">
        <f>IF($C$2=34.5,'S3'!AD143,IF($C$2=35.5,'S3'!AF143,IF($C$2=36.5,'S3'!AH143,IF($C$2=37.5,'S3'!AJ143,IF($C$2=38.5,'S3'!AL143,IF($C$2=39.5,'S3'!AN143,IF($C$2=40.5,'S3'!AP143,IF($C$2=27.5,'S3'!P143,IF($C$2=28.5,'S3'!R143,IF($C$2=29.5,'S3'!T143,IF($C$2=30.5,'S3'!V143,IF($C$2=31.5,'S3'!Z143,IF($C$2=32.5,'S3'!Z143,IF($C$2=33.5,'S3'!AB143))))))))))))))</f>
        <v>358.24</v>
      </c>
      <c r="D143" s="436">
        <f>IF($C$2=34.5,'S3'!AE143,IF($C$2=35.5,'S3'!AG143,IF($C$2=36.5,'S3'!AI143,IF($C$2=37.5,'S3'!AK143,IF($C$2=38.5,'S3'!AM143,IF($C$2=39.5,'S3'!AO143,IF($C$2=40.5,'S3'!AQ143,IF($C$2=27.5,'S3'!Q143,IF($C$2=28.5,'S3'!S143,IF($C$2=29.5,'S3'!U143,IF($C$2=30.5,'S3'!W143,IF($C$2=31.5,'S3'!Y143,IF($C$2=32.5,'S3'!AA143,IF($C$2=33.5,'S3'!AC143))))))))))))))</f>
        <v>501.54</v>
      </c>
      <c r="E143" s="437">
        <f>IF($E$2=34.5,'S3'!BP143,IF($E$2=35.5,'S3'!BQ143,IF($E$2=36.5,'S3'!BR143,IF($E$2=37.5,'S3'!BS143,IF($E$2=38.5,'S3'!BT143,IF($E$2=39.5,'S3'!BU143,IF($E$2=40.5,'S3'!BV143,IF($E$2=22.5,'S3'!BD143,IF($E$2=23.5,'S3'!BE143,IF($E$2=24.5,'S3'!BF143,IF($E$2=25.5,'S3'!BG143,IF($E$2=26.5,'S3'!BH143,IF($E$2=27.5,'S3'!BI143,IF($E$2=28.5,'S3'!BJ143,IF($E$2=29.5,'S3'!BK143,IF($E$2=30.5,'S3'!BL143,IF($E$2=31.5,'S3'!BM143,IF($E$2=32.5,'S3'!BN143,IF($E$2=33.5,'S3'!BO143)))))))))))))))))))</f>
        <v>223.95</v>
      </c>
      <c r="F143" s="437">
        <f t="shared" si="5"/>
        <v>313.52999999999997</v>
      </c>
    </row>
    <row r="144" spans="2:6" x14ac:dyDescent="0.45">
      <c r="B144" s="435">
        <v>140</v>
      </c>
      <c r="C144" s="436">
        <f>IF($C$2=34.5,'S3'!AD144,IF($C$2=35.5,'S3'!AF144,IF($C$2=36.5,'S3'!AH144,IF($C$2=37.5,'S3'!AJ144,IF($C$2=38.5,'S3'!AL144,IF($C$2=39.5,'S3'!AN144,IF($C$2=40.5,'S3'!AP144,IF($C$2=27.5,'S3'!P144,IF($C$2=28.5,'S3'!R144,IF($C$2=29.5,'S3'!T144,IF($C$2=30.5,'S3'!V144,IF($C$2=31.5,'S3'!Z144,IF($C$2=32.5,'S3'!Z144,IF($C$2=33.5,'S3'!AB144))))))))))))))</f>
        <v>360.69</v>
      </c>
      <c r="D144" s="436">
        <f>IF($C$2=34.5,'S3'!AE144,IF($C$2=35.5,'S3'!AG144,IF($C$2=36.5,'S3'!AI144,IF($C$2=37.5,'S3'!AK144,IF($C$2=38.5,'S3'!AM144,IF($C$2=39.5,'S3'!AO144,IF($C$2=40.5,'S3'!AQ144,IF($C$2=27.5,'S3'!Q144,IF($C$2=28.5,'S3'!S144,IF($C$2=29.5,'S3'!U144,IF($C$2=30.5,'S3'!W144,IF($C$2=31.5,'S3'!Y144,IF($C$2=32.5,'S3'!AA144,IF($C$2=33.5,'S3'!AC144))))))))))))))</f>
        <v>504.97</v>
      </c>
      <c r="E144" s="437">
        <f>IF($E$2=34.5,'S3'!BP144,IF($E$2=35.5,'S3'!BQ144,IF($E$2=36.5,'S3'!BR144,IF($E$2=37.5,'S3'!BS144,IF($E$2=38.5,'S3'!BT144,IF($E$2=39.5,'S3'!BU144,IF($E$2=40.5,'S3'!BV144,IF($E$2=22.5,'S3'!BD144,IF($E$2=23.5,'S3'!BE144,IF($E$2=24.5,'S3'!BF144,IF($E$2=25.5,'S3'!BG144,IF($E$2=26.5,'S3'!BH144,IF($E$2=27.5,'S3'!BI144,IF($E$2=28.5,'S3'!BJ144,IF($E$2=29.5,'S3'!BK144,IF($E$2=30.5,'S3'!BL144,IF($E$2=31.5,'S3'!BM144,IF($E$2=32.5,'S3'!BN144,IF($E$2=33.5,'S3'!BO144)))))))))))))))))))</f>
        <v>225.53</v>
      </c>
      <c r="F144" s="437">
        <f t="shared" si="5"/>
        <v>315.74</v>
      </c>
    </row>
    <row r="145" spans="2:6" x14ac:dyDescent="0.45">
      <c r="B145" s="435">
        <v>141</v>
      </c>
      <c r="C145" s="436">
        <f>IF($C$2=34.5,'S3'!AD145,IF($C$2=35.5,'S3'!AF145,IF($C$2=36.5,'S3'!AH145,IF($C$2=37.5,'S3'!AJ145,IF($C$2=38.5,'S3'!AL145,IF($C$2=39.5,'S3'!AN145,IF($C$2=40.5,'S3'!AP145,IF($C$2=27.5,'S3'!P145,IF($C$2=28.5,'S3'!R145,IF($C$2=29.5,'S3'!T145,IF($C$2=30.5,'S3'!V145,IF($C$2=31.5,'S3'!Z145,IF($C$2=32.5,'S3'!Z145,IF($C$2=33.5,'S3'!AB145))))))))))))))</f>
        <v>363.15</v>
      </c>
      <c r="D145" s="436">
        <f>IF($C$2=34.5,'S3'!AE145,IF($C$2=35.5,'S3'!AG145,IF($C$2=36.5,'S3'!AI145,IF($C$2=37.5,'S3'!AK145,IF($C$2=38.5,'S3'!AM145,IF($C$2=39.5,'S3'!AO145,IF($C$2=40.5,'S3'!AQ145,IF($C$2=27.5,'S3'!Q145,IF($C$2=28.5,'S3'!S145,IF($C$2=29.5,'S3'!U145,IF($C$2=30.5,'S3'!W145,IF($C$2=31.5,'S3'!Y145,IF($C$2=32.5,'S3'!AA145,IF($C$2=33.5,'S3'!AC145))))))))))))))</f>
        <v>508.41</v>
      </c>
      <c r="E145" s="437">
        <f>IF($E$2=34.5,'S3'!BP145,IF($E$2=35.5,'S3'!BQ145,IF($E$2=36.5,'S3'!BR145,IF($E$2=37.5,'S3'!BS145,IF($E$2=38.5,'S3'!BT145,IF($E$2=39.5,'S3'!BU145,IF($E$2=40.5,'S3'!BV145,IF($E$2=22.5,'S3'!BD145,IF($E$2=23.5,'S3'!BE145,IF($E$2=24.5,'S3'!BF145,IF($E$2=25.5,'S3'!BG145,IF($E$2=26.5,'S3'!BH145,IF($E$2=27.5,'S3'!BI145,IF($E$2=28.5,'S3'!BJ145,IF($E$2=29.5,'S3'!BK145,IF($E$2=30.5,'S3'!BL145,IF($E$2=31.5,'S3'!BM145,IF($E$2=32.5,'S3'!BN145,IF($E$2=33.5,'S3'!BO145)))))))))))))))))))</f>
        <v>227.19</v>
      </c>
      <c r="F145" s="437">
        <f t="shared" si="5"/>
        <v>318.07</v>
      </c>
    </row>
    <row r="146" spans="2:6" x14ac:dyDescent="0.45">
      <c r="B146" s="435">
        <v>142</v>
      </c>
      <c r="C146" s="436">
        <f>IF($C$2=34.5,'S3'!AD146,IF($C$2=35.5,'S3'!AF146,IF($C$2=36.5,'S3'!AH146,IF($C$2=37.5,'S3'!AJ146,IF($C$2=38.5,'S3'!AL146,IF($C$2=39.5,'S3'!AN146,IF($C$2=40.5,'S3'!AP146,IF($C$2=27.5,'S3'!P146,IF($C$2=28.5,'S3'!R146,IF($C$2=29.5,'S3'!T146,IF($C$2=30.5,'S3'!V146,IF($C$2=31.5,'S3'!Z146,IF($C$2=32.5,'S3'!Z146,IF($C$2=33.5,'S3'!AB146))))))))))))))</f>
        <v>365.95</v>
      </c>
      <c r="D146" s="436">
        <f>IF($C$2=34.5,'S3'!AE146,IF($C$2=35.5,'S3'!AG146,IF($C$2=36.5,'S3'!AI146,IF($C$2=37.5,'S3'!AK146,IF($C$2=38.5,'S3'!AM146,IF($C$2=39.5,'S3'!AO146,IF($C$2=40.5,'S3'!AQ146,IF($C$2=27.5,'S3'!Q146,IF($C$2=28.5,'S3'!S146,IF($C$2=29.5,'S3'!U146,IF($C$2=30.5,'S3'!W146,IF($C$2=31.5,'S3'!Y146,IF($C$2=32.5,'S3'!AA146,IF($C$2=33.5,'S3'!AC146))))))))))))))</f>
        <v>512.33000000000004</v>
      </c>
      <c r="E146" s="437">
        <f>IF($E$2=34.5,'S3'!BP146,IF($E$2=35.5,'S3'!BQ146,IF($E$2=36.5,'S3'!BR146,IF($E$2=37.5,'S3'!BS146,IF($E$2=38.5,'S3'!BT146,IF($E$2=39.5,'S3'!BU146,IF($E$2=40.5,'S3'!BV146,IF($E$2=22.5,'S3'!BD146,IF($E$2=23.5,'S3'!BE146,IF($E$2=24.5,'S3'!BF146,IF($E$2=25.5,'S3'!BG146,IF($E$2=26.5,'S3'!BH146,IF($E$2=27.5,'S3'!BI146,IF($E$2=28.5,'S3'!BJ146,IF($E$2=29.5,'S3'!BK146,IF($E$2=30.5,'S3'!BL146,IF($E$2=31.5,'S3'!BM146,IF($E$2=32.5,'S3'!BN146,IF($E$2=33.5,'S3'!BO146)))))))))))))))))))</f>
        <v>228.78</v>
      </c>
      <c r="F146" s="437">
        <f t="shared" si="5"/>
        <v>320.29000000000002</v>
      </c>
    </row>
    <row r="147" spans="2:6" x14ac:dyDescent="0.45">
      <c r="B147" s="435">
        <v>143</v>
      </c>
      <c r="C147" s="436">
        <f>IF($C$2=34.5,'S3'!AD147,IF($C$2=35.5,'S3'!AF147,IF($C$2=36.5,'S3'!AH147,IF($C$2=37.5,'S3'!AJ147,IF($C$2=38.5,'S3'!AL147,IF($C$2=39.5,'S3'!AN147,IF($C$2=40.5,'S3'!AP147,IF($C$2=27.5,'S3'!P147,IF($C$2=28.5,'S3'!R147,IF($C$2=29.5,'S3'!T147,IF($C$2=30.5,'S3'!V147,IF($C$2=31.5,'S3'!Z147,IF($C$2=32.5,'S3'!Z147,IF($C$2=33.5,'S3'!AB147))))))))))))))</f>
        <v>368.41</v>
      </c>
      <c r="D147" s="436">
        <f>IF($C$2=34.5,'S3'!AE147,IF($C$2=35.5,'S3'!AG147,IF($C$2=36.5,'S3'!AI147,IF($C$2=37.5,'S3'!AK147,IF($C$2=38.5,'S3'!AM147,IF($C$2=39.5,'S3'!AO147,IF($C$2=40.5,'S3'!AQ147,IF($C$2=27.5,'S3'!Q147,IF($C$2=28.5,'S3'!S147,IF($C$2=29.5,'S3'!U147,IF($C$2=30.5,'S3'!W147,IF($C$2=31.5,'S3'!Y147,IF($C$2=32.5,'S3'!AA147,IF($C$2=33.5,'S3'!AC147))))))))))))))</f>
        <v>515.77</v>
      </c>
      <c r="E147" s="437">
        <f>IF($E$2=34.5,'S3'!BP147,IF($E$2=35.5,'S3'!BQ147,IF($E$2=36.5,'S3'!BR147,IF($E$2=37.5,'S3'!BS147,IF($E$2=38.5,'S3'!BT147,IF($E$2=39.5,'S3'!BU147,IF($E$2=40.5,'S3'!BV147,IF($E$2=22.5,'S3'!BD147,IF($E$2=23.5,'S3'!BE147,IF($E$2=24.5,'S3'!BF147,IF($E$2=25.5,'S3'!BG147,IF($E$2=26.5,'S3'!BH147,IF($E$2=27.5,'S3'!BI147,IF($E$2=28.5,'S3'!BJ147,IF($E$2=29.5,'S3'!BK147,IF($E$2=30.5,'S3'!BL147,IF($E$2=31.5,'S3'!BM147,IF($E$2=32.5,'S3'!BN147,IF($E$2=33.5,'S3'!BO147)))))))))))))))))))</f>
        <v>230.36</v>
      </c>
      <c r="F147" s="437">
        <f t="shared" si="5"/>
        <v>322.5</v>
      </c>
    </row>
    <row r="148" spans="2:6" x14ac:dyDescent="0.45">
      <c r="B148" s="435">
        <v>144</v>
      </c>
      <c r="C148" s="436">
        <f>IF($C$2=34.5,'S3'!AD148,IF($C$2=35.5,'S3'!AF148,IF($C$2=36.5,'S3'!AH148,IF($C$2=37.5,'S3'!AJ148,IF($C$2=38.5,'S3'!AL148,IF($C$2=39.5,'S3'!AN148,IF($C$2=40.5,'S3'!AP148,IF($C$2=27.5,'S3'!P148,IF($C$2=28.5,'S3'!R148,IF($C$2=29.5,'S3'!T148,IF($C$2=30.5,'S3'!V148,IF($C$2=31.5,'S3'!Z148,IF($C$2=32.5,'S3'!Z148,IF($C$2=33.5,'S3'!AB148))))))))))))))</f>
        <v>370.88</v>
      </c>
      <c r="D148" s="436">
        <f>IF($C$2=34.5,'S3'!AE148,IF($C$2=35.5,'S3'!AG148,IF($C$2=36.5,'S3'!AI148,IF($C$2=37.5,'S3'!AK148,IF($C$2=38.5,'S3'!AM148,IF($C$2=39.5,'S3'!AO148,IF($C$2=40.5,'S3'!AQ148,IF($C$2=27.5,'S3'!Q148,IF($C$2=28.5,'S3'!S148,IF($C$2=29.5,'S3'!U148,IF($C$2=30.5,'S3'!W148,IF($C$2=31.5,'S3'!Y148,IF($C$2=32.5,'S3'!AA148,IF($C$2=33.5,'S3'!AC148))))))))))))))</f>
        <v>519.23</v>
      </c>
      <c r="E148" s="437">
        <f>IF($E$2=34.5,'S3'!BP148,IF($E$2=35.5,'S3'!BQ148,IF($E$2=36.5,'S3'!BR148,IF($E$2=37.5,'S3'!BS148,IF($E$2=38.5,'S3'!BT148,IF($E$2=39.5,'S3'!BU148,IF($E$2=40.5,'S3'!BV148,IF($E$2=22.5,'S3'!BD148,IF($E$2=23.5,'S3'!BE148,IF($E$2=24.5,'S3'!BF148,IF($E$2=25.5,'S3'!BG148,IF($E$2=26.5,'S3'!BH148,IF($E$2=27.5,'S3'!BI148,IF($E$2=28.5,'S3'!BJ148,IF($E$2=29.5,'S3'!BK148,IF($E$2=30.5,'S3'!BL148,IF($E$2=31.5,'S3'!BM148,IF($E$2=32.5,'S3'!BN148,IF($E$2=33.5,'S3'!BO148)))))))))))))))))))</f>
        <v>232.04</v>
      </c>
      <c r="F148" s="437">
        <f t="shared" si="5"/>
        <v>324.86</v>
      </c>
    </row>
    <row r="149" spans="2:6" x14ac:dyDescent="0.45">
      <c r="B149" s="435">
        <v>145</v>
      </c>
      <c r="C149" s="436">
        <f>IF($C$2=34.5,'S3'!AD149,IF($C$2=35.5,'S3'!AF149,IF($C$2=36.5,'S3'!AH149,IF($C$2=37.5,'S3'!AJ149,IF($C$2=38.5,'S3'!AL149,IF($C$2=39.5,'S3'!AN149,IF($C$2=40.5,'S3'!AP149,IF($C$2=27.5,'S3'!P149,IF($C$2=28.5,'S3'!R149,IF($C$2=29.5,'S3'!T149,IF($C$2=30.5,'S3'!V149,IF($C$2=31.5,'S3'!Z149,IF($C$2=32.5,'S3'!Z149,IF($C$2=33.5,'S3'!AB149))))))))))))))</f>
        <v>373.71</v>
      </c>
      <c r="D149" s="436">
        <f>IF($C$2=34.5,'S3'!AE149,IF($C$2=35.5,'S3'!AG149,IF($C$2=36.5,'S3'!AI149,IF($C$2=37.5,'S3'!AK149,IF($C$2=38.5,'S3'!AM149,IF($C$2=39.5,'S3'!AO149,IF($C$2=40.5,'S3'!AQ149,IF($C$2=27.5,'S3'!Q149,IF($C$2=28.5,'S3'!S149,IF($C$2=29.5,'S3'!U149,IF($C$2=30.5,'S3'!W149,IF($C$2=31.5,'S3'!Y149,IF($C$2=32.5,'S3'!AA149,IF($C$2=33.5,'S3'!AC149))))))))))))))</f>
        <v>523.19000000000005</v>
      </c>
      <c r="E149" s="437">
        <f>IF($E$2=34.5,'S3'!BP149,IF($E$2=35.5,'S3'!BQ149,IF($E$2=36.5,'S3'!BR149,IF($E$2=37.5,'S3'!BS149,IF($E$2=38.5,'S3'!BT149,IF($E$2=39.5,'S3'!BU149,IF($E$2=40.5,'S3'!BV149,IF($E$2=22.5,'S3'!BD149,IF($E$2=23.5,'S3'!BE149,IF($E$2=24.5,'S3'!BF149,IF($E$2=25.5,'S3'!BG149,IF($E$2=26.5,'S3'!BH149,IF($E$2=27.5,'S3'!BI149,IF($E$2=28.5,'S3'!BJ149,IF($E$2=29.5,'S3'!BK149,IF($E$2=30.5,'S3'!BL149,IF($E$2=31.5,'S3'!BM149,IF($E$2=32.5,'S3'!BN149,IF($E$2=33.5,'S3'!BO149)))))))))))))))))))</f>
        <v>233.62</v>
      </c>
      <c r="F149" s="437">
        <f t="shared" si="5"/>
        <v>327.07</v>
      </c>
    </row>
    <row r="150" spans="2:6" x14ac:dyDescent="0.45">
      <c r="B150" s="435">
        <v>146</v>
      </c>
      <c r="C150" s="436">
        <f>IF($C$2=34.5,'S3'!AD150,IF($C$2=35.5,'S3'!AF150,IF($C$2=36.5,'S3'!AH150,IF($C$2=37.5,'S3'!AJ150,IF($C$2=38.5,'S3'!AL150,IF($C$2=39.5,'S3'!AN150,IF($C$2=40.5,'S3'!AP150,IF($C$2=27.5,'S3'!P150,IF($C$2=28.5,'S3'!R150,IF($C$2=29.5,'S3'!T150,IF($C$2=30.5,'S3'!V150,IF($C$2=31.5,'S3'!Z150,IF($C$2=32.5,'S3'!Z150,IF($C$2=33.5,'S3'!AB150))))))))))))))</f>
        <v>376.19</v>
      </c>
      <c r="D150" s="436">
        <f>IF($C$2=34.5,'S3'!AE150,IF($C$2=35.5,'S3'!AG150,IF($C$2=36.5,'S3'!AI150,IF($C$2=37.5,'S3'!AK150,IF($C$2=38.5,'S3'!AM150,IF($C$2=39.5,'S3'!AO150,IF($C$2=40.5,'S3'!AQ150,IF($C$2=27.5,'S3'!Q150,IF($C$2=28.5,'S3'!S150,IF($C$2=29.5,'S3'!U150,IF($C$2=30.5,'S3'!W150,IF($C$2=31.5,'S3'!Y150,IF($C$2=32.5,'S3'!AA150,IF($C$2=33.5,'S3'!AC150))))))))))))))</f>
        <v>526.66999999999996</v>
      </c>
      <c r="E150" s="437">
        <f>IF($E$2=34.5,'S3'!BP150,IF($E$2=35.5,'S3'!BQ150,IF($E$2=36.5,'S3'!BR150,IF($E$2=37.5,'S3'!BS150,IF($E$2=38.5,'S3'!BT150,IF($E$2=39.5,'S3'!BU150,IF($E$2=40.5,'S3'!BV150,IF($E$2=22.5,'S3'!BD150,IF($E$2=23.5,'S3'!BE150,IF($E$2=24.5,'S3'!BF150,IF($E$2=25.5,'S3'!BG150,IF($E$2=26.5,'S3'!BH150,IF($E$2=27.5,'S3'!BI150,IF($E$2=28.5,'S3'!BJ150,IF($E$2=29.5,'S3'!BK150,IF($E$2=30.5,'S3'!BL150,IF($E$2=31.5,'S3'!BM150,IF($E$2=32.5,'S3'!BN150,IF($E$2=33.5,'S3'!BO150)))))))))))))))))))</f>
        <v>235.21</v>
      </c>
      <c r="F150" s="437">
        <f t="shared" si="5"/>
        <v>329.29</v>
      </c>
    </row>
    <row r="151" spans="2:6" x14ac:dyDescent="0.45">
      <c r="B151" s="435">
        <v>147</v>
      </c>
      <c r="C151" s="436">
        <f>IF($C$2=34.5,'S3'!AD151,IF($C$2=35.5,'S3'!AF151,IF($C$2=36.5,'S3'!AH151,IF($C$2=37.5,'S3'!AJ151,IF($C$2=38.5,'S3'!AL151,IF($C$2=39.5,'S3'!AN151,IF($C$2=40.5,'S3'!AP151,IF($C$2=27.5,'S3'!P151,IF($C$2=28.5,'S3'!R151,IF($C$2=29.5,'S3'!T151,IF($C$2=30.5,'S3'!V151,IF($C$2=31.5,'S3'!Z151,IF($C$2=32.5,'S3'!Z151,IF($C$2=33.5,'S3'!AB151))))))))))))))</f>
        <v>378.68</v>
      </c>
      <c r="D151" s="436">
        <f>IF($C$2=34.5,'S3'!AE151,IF($C$2=35.5,'S3'!AG151,IF($C$2=36.5,'S3'!AI151,IF($C$2=37.5,'S3'!AK151,IF($C$2=38.5,'S3'!AM151,IF($C$2=39.5,'S3'!AO151,IF($C$2=40.5,'S3'!AQ151,IF($C$2=27.5,'S3'!Q151,IF($C$2=28.5,'S3'!S151,IF($C$2=29.5,'S3'!U151,IF($C$2=30.5,'S3'!W151,IF($C$2=31.5,'S3'!Y151,IF($C$2=32.5,'S3'!AA151,IF($C$2=33.5,'S3'!AC151))))))))))))))</f>
        <v>530.15</v>
      </c>
      <c r="E151" s="437">
        <f>IF($E$2=34.5,'S3'!BP151,IF($E$2=35.5,'S3'!BQ151,IF($E$2=36.5,'S3'!BR151,IF($E$2=37.5,'S3'!BS151,IF($E$2=38.5,'S3'!BT151,IF($E$2=39.5,'S3'!BU151,IF($E$2=40.5,'S3'!BV151,IF($E$2=22.5,'S3'!BD151,IF($E$2=23.5,'S3'!BE151,IF($E$2=24.5,'S3'!BF151,IF($E$2=25.5,'S3'!BG151,IF($E$2=26.5,'S3'!BH151,IF($E$2=27.5,'S3'!BI151,IF($E$2=28.5,'S3'!BJ151,IF($E$2=29.5,'S3'!BK151,IF($E$2=30.5,'S3'!BL151,IF($E$2=31.5,'S3'!BM151,IF($E$2=32.5,'S3'!BN151,IF($E$2=33.5,'S3'!BO151)))))))))))))))))))</f>
        <v>236.8</v>
      </c>
      <c r="F151" s="437">
        <f t="shared" si="5"/>
        <v>331.52</v>
      </c>
    </row>
    <row r="152" spans="2:6" x14ac:dyDescent="0.45">
      <c r="B152" s="435">
        <v>148</v>
      </c>
      <c r="C152" s="436">
        <f>IF($C$2=34.5,'S3'!AD152,IF($C$2=35.5,'S3'!AF152,IF($C$2=36.5,'S3'!AH152,IF($C$2=37.5,'S3'!AJ152,IF($C$2=38.5,'S3'!AL152,IF($C$2=39.5,'S3'!AN152,IF($C$2=40.5,'S3'!AP152,IF($C$2=27.5,'S3'!P152,IF($C$2=28.5,'S3'!R152,IF($C$2=29.5,'S3'!T152,IF($C$2=30.5,'S3'!V152,IF($C$2=31.5,'S3'!Z152,IF($C$2=32.5,'S3'!Z152,IF($C$2=33.5,'S3'!AB152))))))))))))))</f>
        <v>381.17</v>
      </c>
      <c r="D152" s="436">
        <f>IF($C$2=34.5,'S3'!AE152,IF($C$2=35.5,'S3'!AG152,IF($C$2=36.5,'S3'!AI152,IF($C$2=37.5,'S3'!AK152,IF($C$2=38.5,'S3'!AM152,IF($C$2=39.5,'S3'!AO152,IF($C$2=40.5,'S3'!AQ152,IF($C$2=27.5,'S3'!Q152,IF($C$2=28.5,'S3'!S152,IF($C$2=29.5,'S3'!U152,IF($C$2=30.5,'S3'!W152,IF($C$2=31.5,'S3'!Y152,IF($C$2=32.5,'S3'!AA152,IF($C$2=33.5,'S3'!AC152))))))))))))))</f>
        <v>533.64</v>
      </c>
      <c r="E152" s="437">
        <f>IF($E$2=34.5,'S3'!BP152,IF($E$2=35.5,'S3'!BQ152,IF($E$2=36.5,'S3'!BR152,IF($E$2=37.5,'S3'!BS152,IF($E$2=38.5,'S3'!BT152,IF($E$2=39.5,'S3'!BU152,IF($E$2=40.5,'S3'!BV152,IF($E$2=22.5,'S3'!BD152,IF($E$2=23.5,'S3'!BE152,IF($E$2=24.5,'S3'!BF152,IF($E$2=25.5,'S3'!BG152,IF($E$2=26.5,'S3'!BH152,IF($E$2=27.5,'S3'!BI152,IF($E$2=28.5,'S3'!BJ152,IF($E$2=29.5,'S3'!BK152,IF($E$2=30.5,'S3'!BL152,IF($E$2=31.5,'S3'!BM152,IF($E$2=32.5,'S3'!BN152,IF($E$2=33.5,'S3'!BO152)))))))))))))))))))</f>
        <v>238.39</v>
      </c>
      <c r="F152" s="437">
        <f t="shared" si="5"/>
        <v>333.75</v>
      </c>
    </row>
    <row r="153" spans="2:6" x14ac:dyDescent="0.45">
      <c r="B153" s="435">
        <v>149</v>
      </c>
      <c r="C153" s="436">
        <f>IF($C$2=34.5,'S3'!AD153,IF($C$2=35.5,'S3'!AF153,IF($C$2=36.5,'S3'!AH153,IF($C$2=37.5,'S3'!AJ153,IF($C$2=38.5,'S3'!AL153,IF($C$2=39.5,'S3'!AN153,IF($C$2=40.5,'S3'!AP153,IF($C$2=27.5,'S3'!P153,IF($C$2=28.5,'S3'!R153,IF($C$2=29.5,'S3'!T153,IF($C$2=30.5,'S3'!V153,IF($C$2=31.5,'S3'!Z153,IF($C$2=32.5,'S3'!Z153,IF($C$2=33.5,'S3'!AB153))))))))))))))</f>
        <v>383.66</v>
      </c>
      <c r="D153" s="436">
        <f>IF($C$2=34.5,'S3'!AE153,IF($C$2=35.5,'S3'!AG153,IF($C$2=36.5,'S3'!AI153,IF($C$2=37.5,'S3'!AK153,IF($C$2=38.5,'S3'!AM153,IF($C$2=39.5,'S3'!AO153,IF($C$2=40.5,'S3'!AQ153,IF($C$2=27.5,'S3'!Q153,IF($C$2=28.5,'S3'!S153,IF($C$2=29.5,'S3'!U153,IF($C$2=30.5,'S3'!W153,IF($C$2=31.5,'S3'!Y153,IF($C$2=32.5,'S3'!AA153,IF($C$2=33.5,'S3'!AC153))))))))))))))</f>
        <v>537.12</v>
      </c>
      <c r="E153" s="437">
        <f>IF($E$2=34.5,'S3'!BP153,IF($E$2=35.5,'S3'!BQ153,IF($E$2=36.5,'S3'!BR153,IF($E$2=37.5,'S3'!BS153,IF($E$2=38.5,'S3'!BT153,IF($E$2=39.5,'S3'!BU153,IF($E$2=40.5,'S3'!BV153,IF($E$2=22.5,'S3'!BD153,IF($E$2=23.5,'S3'!BE153,IF($E$2=24.5,'S3'!BF153,IF($E$2=25.5,'S3'!BG153,IF($E$2=26.5,'S3'!BH153,IF($E$2=27.5,'S3'!BI153,IF($E$2=28.5,'S3'!BJ153,IF($E$2=29.5,'S3'!BK153,IF($E$2=30.5,'S3'!BL153,IF($E$2=31.5,'S3'!BM153,IF($E$2=32.5,'S3'!BN153,IF($E$2=33.5,'S3'!BO153)))))))))))))))))))</f>
        <v>240.08</v>
      </c>
      <c r="F153" s="437">
        <f t="shared" si="5"/>
        <v>336.11</v>
      </c>
    </row>
    <row r="154" spans="2:6" x14ac:dyDescent="0.45">
      <c r="B154" s="435">
        <v>150</v>
      </c>
      <c r="C154" s="436">
        <f>IF($C$2=34.5,'S3'!AD154,IF($C$2=35.5,'S3'!AF154,IF($C$2=36.5,'S3'!AH154,IF($C$2=37.5,'S3'!AJ154,IF($C$2=38.5,'S3'!AL154,IF($C$2=39.5,'S3'!AN154,IF($C$2=40.5,'S3'!AP154,IF($C$2=27.5,'S3'!P154,IF($C$2=28.5,'S3'!R154,IF($C$2=29.5,'S3'!T154,IF($C$2=30.5,'S3'!V154,IF($C$2=31.5,'S3'!Z154,IF($C$2=32.5,'S3'!Z154,IF($C$2=33.5,'S3'!AB154))))))))))))))</f>
        <v>386.53</v>
      </c>
      <c r="D154" s="436">
        <f>IF($C$2=34.5,'S3'!AE154,IF($C$2=35.5,'S3'!AG154,IF($C$2=36.5,'S3'!AI154,IF($C$2=37.5,'S3'!AK154,IF($C$2=38.5,'S3'!AM154,IF($C$2=39.5,'S3'!AO154,IF($C$2=40.5,'S3'!AQ154,IF($C$2=27.5,'S3'!Q154,IF($C$2=28.5,'S3'!S154,IF($C$2=29.5,'S3'!U154,IF($C$2=30.5,'S3'!W154,IF($C$2=31.5,'S3'!Y154,IF($C$2=32.5,'S3'!AA154,IF($C$2=33.5,'S3'!AC154))))))))))))))</f>
        <v>541.14</v>
      </c>
      <c r="E154" s="437">
        <f>IF($E$2=34.5,'S3'!BP154,IF($E$2=35.5,'S3'!BQ154,IF($E$2=36.5,'S3'!BR154,IF($E$2=37.5,'S3'!BS154,IF($E$2=38.5,'S3'!BT154,IF($E$2=39.5,'S3'!BU154,IF($E$2=40.5,'S3'!BV154,IF($E$2=22.5,'S3'!BD154,IF($E$2=23.5,'S3'!BE154,IF($E$2=24.5,'S3'!BF154,IF($E$2=25.5,'S3'!BG154,IF($E$2=26.5,'S3'!BH154,IF($E$2=27.5,'S3'!BI154,IF($E$2=28.5,'S3'!BJ154,IF($E$2=29.5,'S3'!BK154,IF($E$2=30.5,'S3'!BL154,IF($E$2=31.5,'S3'!BM154,IF($E$2=32.5,'S3'!BN154,IF($E$2=33.5,'S3'!BO154)))))))))))))))))))</f>
        <v>241.67</v>
      </c>
      <c r="F154" s="437">
        <f t="shared" si="5"/>
        <v>338.34</v>
      </c>
    </row>
    <row r="155" spans="2:6" x14ac:dyDescent="0.45">
      <c r="B155" s="435">
        <v>151</v>
      </c>
      <c r="C155" s="436">
        <f>IF($C$2=34.5,'S3'!AD155,IF($C$2=35.5,'S3'!AF155,IF($C$2=36.5,'S3'!AH155,IF($C$2=37.5,'S3'!AJ155,IF($C$2=38.5,'S3'!AL155,IF($C$2=39.5,'S3'!AN155,IF($C$2=40.5,'S3'!AP155,IF($C$2=27.5,'S3'!P155,IF($C$2=28.5,'S3'!R155,IF($C$2=29.5,'S3'!T155,IF($C$2=30.5,'S3'!V155,IF($C$2=31.5,'S3'!Z155,IF($C$2=32.5,'S3'!Z155,IF($C$2=33.5,'S3'!AB155))))))))))))))</f>
        <v>389.04</v>
      </c>
      <c r="D155" s="436">
        <f>IF($C$2=34.5,'S3'!AE155,IF($C$2=35.5,'S3'!AG155,IF($C$2=36.5,'S3'!AI155,IF($C$2=37.5,'S3'!AK155,IF($C$2=38.5,'S3'!AM155,IF($C$2=39.5,'S3'!AO155,IF($C$2=40.5,'S3'!AQ155,IF($C$2=27.5,'S3'!Q155,IF($C$2=28.5,'S3'!S155,IF($C$2=29.5,'S3'!U155,IF($C$2=30.5,'S3'!W155,IF($C$2=31.5,'S3'!Y155,IF($C$2=32.5,'S3'!AA155,IF($C$2=33.5,'S3'!AC155))))))))))))))</f>
        <v>544.66</v>
      </c>
      <c r="E155" s="437">
        <f>IF($E$2=34.5,'S3'!BP155,IF($E$2=35.5,'S3'!BQ155,IF($E$2=36.5,'S3'!BR155,IF($E$2=37.5,'S3'!BS155,IF($E$2=38.5,'S3'!BT155,IF($E$2=39.5,'S3'!BU155,IF($E$2=40.5,'S3'!BV155,IF($E$2=22.5,'S3'!BD155,IF($E$2=23.5,'S3'!BE155,IF($E$2=24.5,'S3'!BF155,IF($E$2=25.5,'S3'!BG155,IF($E$2=26.5,'S3'!BH155,IF($E$2=27.5,'S3'!BI155,IF($E$2=28.5,'S3'!BJ155,IF($E$2=29.5,'S3'!BK155,IF($E$2=30.5,'S3'!BL155,IF($E$2=31.5,'S3'!BM155,IF($E$2=32.5,'S3'!BN155,IF($E$2=33.5,'S3'!BO155)))))))))))))))))))</f>
        <v>243.27</v>
      </c>
      <c r="F155" s="437">
        <f t="shared" si="5"/>
        <v>340.58</v>
      </c>
    </row>
    <row r="156" spans="2:6" x14ac:dyDescent="0.45">
      <c r="B156" s="435">
        <v>152</v>
      </c>
      <c r="C156" s="436">
        <f>IF($C$2=34.5,'S3'!AD156,IF($C$2=35.5,'S3'!AF156,IF($C$2=36.5,'S3'!AH156,IF($C$2=37.5,'S3'!AJ156,IF($C$2=38.5,'S3'!AL156,IF($C$2=39.5,'S3'!AN156,IF($C$2=40.5,'S3'!AP156,IF($C$2=27.5,'S3'!P156,IF($C$2=28.5,'S3'!R156,IF($C$2=29.5,'S3'!T156,IF($C$2=30.5,'S3'!V156,IF($C$2=31.5,'S3'!Z156,IF($C$2=32.5,'S3'!Z156,IF($C$2=33.5,'S3'!AB156))))))))))))))</f>
        <v>391.55</v>
      </c>
      <c r="D156" s="436">
        <f>IF($C$2=34.5,'S3'!AE156,IF($C$2=35.5,'S3'!AG156,IF($C$2=36.5,'S3'!AI156,IF($C$2=37.5,'S3'!AK156,IF($C$2=38.5,'S3'!AM156,IF($C$2=39.5,'S3'!AO156,IF($C$2=40.5,'S3'!AQ156,IF($C$2=27.5,'S3'!Q156,IF($C$2=28.5,'S3'!S156,IF($C$2=29.5,'S3'!U156,IF($C$2=30.5,'S3'!W156,IF($C$2=31.5,'S3'!Y156,IF($C$2=32.5,'S3'!AA156,IF($C$2=33.5,'S3'!AC156))))))))))))))</f>
        <v>548.16999999999996</v>
      </c>
      <c r="E156" s="437">
        <f>IF($E$2=34.5,'S3'!BP156,IF($E$2=35.5,'S3'!BQ156,IF($E$2=36.5,'S3'!BR156,IF($E$2=37.5,'S3'!BS156,IF($E$2=38.5,'S3'!BT156,IF($E$2=39.5,'S3'!BU156,IF($E$2=40.5,'S3'!BV156,IF($E$2=22.5,'S3'!BD156,IF($E$2=23.5,'S3'!BE156,IF($E$2=24.5,'S3'!BF156,IF($E$2=25.5,'S3'!BG156,IF($E$2=26.5,'S3'!BH156,IF($E$2=27.5,'S3'!BI156,IF($E$2=28.5,'S3'!BJ156,IF($E$2=29.5,'S3'!BK156,IF($E$2=30.5,'S3'!BL156,IF($E$2=31.5,'S3'!BM156,IF($E$2=32.5,'S3'!BN156,IF($E$2=33.5,'S3'!BO156)))))))))))))))))))</f>
        <v>244.86</v>
      </c>
      <c r="F156" s="437">
        <f t="shared" si="5"/>
        <v>342.8</v>
      </c>
    </row>
    <row r="157" spans="2:6" x14ac:dyDescent="0.45">
      <c r="B157" s="435">
        <v>153</v>
      </c>
      <c r="C157" s="436">
        <f>IF($C$2=34.5,'S3'!AD157,IF($C$2=35.5,'S3'!AF157,IF($C$2=36.5,'S3'!AH157,IF($C$2=37.5,'S3'!AJ157,IF($C$2=38.5,'S3'!AL157,IF($C$2=39.5,'S3'!AN157,IF($C$2=40.5,'S3'!AP157,IF($C$2=27.5,'S3'!P157,IF($C$2=28.5,'S3'!R157,IF($C$2=29.5,'S3'!T157,IF($C$2=30.5,'S3'!V157,IF($C$2=31.5,'S3'!Z157,IF($C$2=32.5,'S3'!Z157,IF($C$2=33.5,'S3'!AB157))))))))))))))</f>
        <v>394.06</v>
      </c>
      <c r="D157" s="436">
        <f>IF($C$2=34.5,'S3'!AE157,IF($C$2=35.5,'S3'!AG157,IF($C$2=36.5,'S3'!AI157,IF($C$2=37.5,'S3'!AK157,IF($C$2=38.5,'S3'!AM157,IF($C$2=39.5,'S3'!AO157,IF($C$2=40.5,'S3'!AQ157,IF($C$2=27.5,'S3'!Q157,IF($C$2=28.5,'S3'!S157,IF($C$2=29.5,'S3'!U157,IF($C$2=30.5,'S3'!W157,IF($C$2=31.5,'S3'!Y157,IF($C$2=32.5,'S3'!AA157,IF($C$2=33.5,'S3'!AC157))))))))))))))</f>
        <v>551.67999999999995</v>
      </c>
      <c r="E157" s="437">
        <f>IF($E$2=34.5,'S3'!BP157,IF($E$2=35.5,'S3'!BQ157,IF($E$2=36.5,'S3'!BR157,IF($E$2=37.5,'S3'!BS157,IF($E$2=38.5,'S3'!BT157,IF($E$2=39.5,'S3'!BU157,IF($E$2=40.5,'S3'!BV157,IF($E$2=22.5,'S3'!BD157,IF($E$2=23.5,'S3'!BE157,IF($E$2=24.5,'S3'!BF157,IF($E$2=25.5,'S3'!BG157,IF($E$2=26.5,'S3'!BH157,IF($E$2=27.5,'S3'!BI157,IF($E$2=28.5,'S3'!BJ157,IF($E$2=29.5,'S3'!BK157,IF($E$2=30.5,'S3'!BL157,IF($E$2=31.5,'S3'!BM157,IF($E$2=32.5,'S3'!BN157,IF($E$2=33.5,'S3'!BO157)))))))))))))))))))</f>
        <v>246.46</v>
      </c>
      <c r="F157" s="437">
        <f t="shared" si="5"/>
        <v>345.04</v>
      </c>
    </row>
    <row r="158" spans="2:6" x14ac:dyDescent="0.45">
      <c r="B158" s="435">
        <v>154</v>
      </c>
      <c r="C158" s="436">
        <f>IF($C$2=34.5,'S3'!AD158,IF($C$2=35.5,'S3'!AF158,IF($C$2=36.5,'S3'!AH158,IF($C$2=37.5,'S3'!AJ158,IF($C$2=38.5,'S3'!AL158,IF($C$2=39.5,'S3'!AN158,IF($C$2=40.5,'S3'!AP158,IF($C$2=27.5,'S3'!P158,IF($C$2=28.5,'S3'!R158,IF($C$2=29.5,'S3'!T158,IF($C$2=30.5,'S3'!V158,IF($C$2=31.5,'S3'!Z158,IF($C$2=32.5,'S3'!Z158,IF($C$2=33.5,'S3'!AB158))))))))))))))</f>
        <v>396.58</v>
      </c>
      <c r="D158" s="436">
        <f>IF($C$2=34.5,'S3'!AE158,IF($C$2=35.5,'S3'!AG158,IF($C$2=36.5,'S3'!AI158,IF($C$2=37.5,'S3'!AK158,IF($C$2=38.5,'S3'!AM158,IF($C$2=39.5,'S3'!AO158,IF($C$2=40.5,'S3'!AQ158,IF($C$2=27.5,'S3'!Q158,IF($C$2=28.5,'S3'!S158,IF($C$2=29.5,'S3'!U158,IF($C$2=30.5,'S3'!W158,IF($C$2=31.5,'S3'!Y158,IF($C$2=32.5,'S3'!AA158,IF($C$2=33.5,'S3'!AC158))))))))))))))</f>
        <v>555.21</v>
      </c>
      <c r="E158" s="437">
        <f>IF($E$2=34.5,'S3'!BP158,IF($E$2=35.5,'S3'!BQ158,IF($E$2=36.5,'S3'!BR158,IF($E$2=37.5,'S3'!BS158,IF($E$2=38.5,'S3'!BT158,IF($E$2=39.5,'S3'!BU158,IF($E$2=40.5,'S3'!BV158,IF($E$2=22.5,'S3'!BD158,IF($E$2=23.5,'S3'!BE158,IF($E$2=24.5,'S3'!BF158,IF($E$2=25.5,'S3'!BG158,IF($E$2=26.5,'S3'!BH158,IF($E$2=27.5,'S3'!BI158,IF($E$2=28.5,'S3'!BJ158,IF($E$2=29.5,'S3'!BK158,IF($E$2=30.5,'S3'!BL158,IF($E$2=31.5,'S3'!BM158,IF($E$2=32.5,'S3'!BN158,IF($E$2=33.5,'S3'!BO158)))))))))))))))))))</f>
        <v>248.06</v>
      </c>
      <c r="F158" s="437">
        <f t="shared" si="5"/>
        <v>347.28</v>
      </c>
    </row>
    <row r="159" spans="2:6" x14ac:dyDescent="0.45">
      <c r="B159" s="435">
        <v>155</v>
      </c>
      <c r="C159" s="436">
        <f>IF($C$2=34.5,'S3'!AD159,IF($C$2=35.5,'S3'!AF159,IF($C$2=36.5,'S3'!AH159,IF($C$2=37.5,'S3'!AJ159,IF($C$2=38.5,'S3'!AL159,IF($C$2=39.5,'S3'!AN159,IF($C$2=40.5,'S3'!AP159,IF($C$2=27.5,'S3'!P159,IF($C$2=28.5,'S3'!R159,IF($C$2=29.5,'S3'!T159,IF($C$2=30.5,'S3'!V159,IF($C$2=31.5,'S3'!Z159,IF($C$2=32.5,'S3'!Z159,IF($C$2=33.5,'S3'!AB159))))))))))))))</f>
        <v>399.11</v>
      </c>
      <c r="D159" s="436">
        <f>IF($C$2=34.5,'S3'!AE159,IF($C$2=35.5,'S3'!AG159,IF($C$2=36.5,'S3'!AI159,IF($C$2=37.5,'S3'!AK159,IF($C$2=38.5,'S3'!AM159,IF($C$2=39.5,'S3'!AO159,IF($C$2=40.5,'S3'!AQ159,IF($C$2=27.5,'S3'!Q159,IF($C$2=28.5,'S3'!S159,IF($C$2=29.5,'S3'!U159,IF($C$2=30.5,'S3'!W159,IF($C$2=31.5,'S3'!Y159,IF($C$2=32.5,'S3'!AA159,IF($C$2=33.5,'S3'!AC159))))))))))))))</f>
        <v>558.75</v>
      </c>
      <c r="E159" s="437">
        <f>IF($E$2=34.5,'S3'!BP159,IF($E$2=35.5,'S3'!BQ159,IF($E$2=36.5,'S3'!BR159,IF($E$2=37.5,'S3'!BS159,IF($E$2=38.5,'S3'!BT159,IF($E$2=39.5,'S3'!BU159,IF($E$2=40.5,'S3'!BV159,IF($E$2=22.5,'S3'!BD159,IF($E$2=23.5,'S3'!BE159,IF($E$2=24.5,'S3'!BF159,IF($E$2=25.5,'S3'!BG159,IF($E$2=26.5,'S3'!BH159,IF($E$2=27.5,'S3'!BI159,IF($E$2=28.5,'S3'!BJ159,IF($E$2=29.5,'S3'!BK159,IF($E$2=30.5,'S3'!BL159,IF($E$2=31.5,'S3'!BM159,IF($E$2=32.5,'S3'!BN159,IF($E$2=33.5,'S3'!BO159)))))))))))))))))))</f>
        <v>249.66</v>
      </c>
      <c r="F159" s="437">
        <f t="shared" si="5"/>
        <v>349.52</v>
      </c>
    </row>
    <row r="160" spans="2:6" x14ac:dyDescent="0.45">
      <c r="B160" s="435">
        <v>156</v>
      </c>
      <c r="C160" s="436">
        <f>IF($C$2=34.5,'S3'!AD160,IF($C$2=35.5,'S3'!AF160,IF($C$2=36.5,'S3'!AH160,IF($C$2=37.5,'S3'!AJ160,IF($C$2=38.5,'S3'!AL160,IF($C$2=39.5,'S3'!AN160,IF($C$2=40.5,'S3'!AP160,IF($C$2=27.5,'S3'!P160,IF($C$2=28.5,'S3'!R160,IF($C$2=29.5,'S3'!T160,IF($C$2=30.5,'S3'!V160,IF($C$2=31.5,'S3'!Z160,IF($C$2=32.5,'S3'!Z160,IF($C$2=33.5,'S3'!AB160))))))))))))))</f>
        <v>401.64</v>
      </c>
      <c r="D160" s="436">
        <f>IF($C$2=34.5,'S3'!AE160,IF($C$2=35.5,'S3'!AG160,IF($C$2=36.5,'S3'!AI160,IF($C$2=37.5,'S3'!AK160,IF($C$2=38.5,'S3'!AM160,IF($C$2=39.5,'S3'!AO160,IF($C$2=40.5,'S3'!AQ160,IF($C$2=27.5,'S3'!Q160,IF($C$2=28.5,'S3'!S160,IF($C$2=29.5,'S3'!U160,IF($C$2=30.5,'S3'!W160,IF($C$2=31.5,'S3'!Y160,IF($C$2=32.5,'S3'!AA160,IF($C$2=33.5,'S3'!AC160))))))))))))))</f>
        <v>562.29999999999995</v>
      </c>
      <c r="E160" s="437">
        <f>IF($E$2=34.5,'S3'!BP160,IF($E$2=35.5,'S3'!BQ160,IF($E$2=36.5,'S3'!BR160,IF($E$2=37.5,'S3'!BS160,IF($E$2=38.5,'S3'!BT160,IF($E$2=39.5,'S3'!BU160,IF($E$2=40.5,'S3'!BV160,IF($E$2=22.5,'S3'!BD160,IF($E$2=23.5,'S3'!BE160,IF($E$2=24.5,'S3'!BF160,IF($E$2=25.5,'S3'!BG160,IF($E$2=26.5,'S3'!BH160,IF($E$2=27.5,'S3'!BI160,IF($E$2=28.5,'S3'!BJ160,IF($E$2=29.5,'S3'!BK160,IF($E$2=30.5,'S3'!BL160,IF($E$2=31.5,'S3'!BM160,IF($E$2=32.5,'S3'!BN160,IF($E$2=33.5,'S3'!BO160)))))))))))))))))))</f>
        <v>251.26</v>
      </c>
      <c r="F160" s="437">
        <f t="shared" si="5"/>
        <v>351.76</v>
      </c>
    </row>
    <row r="161" spans="2:6" x14ac:dyDescent="0.45">
      <c r="B161" s="435">
        <v>157</v>
      </c>
      <c r="C161" s="436">
        <f>IF($C$2=34.5,'S3'!AD161,IF($C$2=35.5,'S3'!AF161,IF($C$2=36.5,'S3'!AH161,IF($C$2=37.5,'S3'!AJ161,IF($C$2=38.5,'S3'!AL161,IF($C$2=39.5,'S3'!AN161,IF($C$2=40.5,'S3'!AP161,IF($C$2=27.5,'S3'!P161,IF($C$2=28.5,'S3'!R161,IF($C$2=29.5,'S3'!T161,IF($C$2=30.5,'S3'!V161,IF($C$2=31.5,'S3'!Z161,IF($C$2=32.5,'S3'!Z161,IF($C$2=33.5,'S3'!AB161))))))))))))))</f>
        <v>404.17</v>
      </c>
      <c r="D161" s="436">
        <f>IF($C$2=34.5,'S3'!AE161,IF($C$2=35.5,'S3'!AG161,IF($C$2=36.5,'S3'!AI161,IF($C$2=37.5,'S3'!AK161,IF($C$2=38.5,'S3'!AM161,IF($C$2=39.5,'S3'!AO161,IF($C$2=40.5,'S3'!AQ161,IF($C$2=27.5,'S3'!Q161,IF($C$2=28.5,'S3'!S161,IF($C$2=29.5,'S3'!U161,IF($C$2=30.5,'S3'!W161,IF($C$2=31.5,'S3'!Y161,IF($C$2=32.5,'S3'!AA161,IF($C$2=33.5,'S3'!AC161))))))))))))))</f>
        <v>565.84</v>
      </c>
      <c r="E161" s="437">
        <f>IF($E$2=34.5,'S3'!BP161,IF($E$2=35.5,'S3'!BQ161,IF($E$2=36.5,'S3'!BR161,IF($E$2=37.5,'S3'!BS161,IF($E$2=38.5,'S3'!BT161,IF($E$2=39.5,'S3'!BU161,IF($E$2=40.5,'S3'!BV161,IF($E$2=22.5,'S3'!BD161,IF($E$2=23.5,'S3'!BE161,IF($E$2=24.5,'S3'!BF161,IF($E$2=25.5,'S3'!BG161,IF($E$2=26.5,'S3'!BH161,IF($E$2=27.5,'S3'!BI161,IF($E$2=28.5,'S3'!BJ161,IF($E$2=29.5,'S3'!BK161,IF($E$2=30.5,'S3'!BL161,IF($E$2=31.5,'S3'!BM161,IF($E$2=32.5,'S3'!BN161,IF($E$2=33.5,'S3'!BO161)))))))))))))))))))</f>
        <v>252.86</v>
      </c>
      <c r="F161" s="437">
        <f t="shared" si="5"/>
        <v>354</v>
      </c>
    </row>
    <row r="162" spans="2:6" x14ac:dyDescent="0.45">
      <c r="B162" s="435">
        <v>158</v>
      </c>
      <c r="C162" s="436">
        <f>IF($C$2=34.5,'S3'!AD162,IF($C$2=35.5,'S3'!AF162,IF($C$2=36.5,'S3'!AH162,IF($C$2=37.5,'S3'!AJ162,IF($C$2=38.5,'S3'!AL162,IF($C$2=39.5,'S3'!AN162,IF($C$2=40.5,'S3'!AP162,IF($C$2=27.5,'S3'!P162,IF($C$2=28.5,'S3'!R162,IF($C$2=29.5,'S3'!T162,IF($C$2=30.5,'S3'!V162,IF($C$2=31.5,'S3'!Z162,IF($C$2=32.5,'S3'!Z162,IF($C$2=33.5,'S3'!AB162))))))))))))))</f>
        <v>407.12</v>
      </c>
      <c r="D162" s="436">
        <f>IF($C$2=34.5,'S3'!AE162,IF($C$2=35.5,'S3'!AG162,IF($C$2=36.5,'S3'!AI162,IF($C$2=37.5,'S3'!AK162,IF($C$2=38.5,'S3'!AM162,IF($C$2=39.5,'S3'!AO162,IF($C$2=40.5,'S3'!AQ162,IF($C$2=27.5,'S3'!Q162,IF($C$2=28.5,'S3'!S162,IF($C$2=29.5,'S3'!U162,IF($C$2=30.5,'S3'!W162,IF($C$2=31.5,'S3'!Y162,IF($C$2=32.5,'S3'!AA162,IF($C$2=33.5,'S3'!AC162))))))))))))))</f>
        <v>569.97</v>
      </c>
      <c r="E162" s="437">
        <f>IF($E$2=34.5,'S3'!BP162,IF($E$2=35.5,'S3'!BQ162,IF($E$2=36.5,'S3'!BR162,IF($E$2=37.5,'S3'!BS162,IF($E$2=38.5,'S3'!BT162,IF($E$2=39.5,'S3'!BU162,IF($E$2=40.5,'S3'!BV162,IF($E$2=22.5,'S3'!BD162,IF($E$2=23.5,'S3'!BE162,IF($E$2=24.5,'S3'!BF162,IF($E$2=25.5,'S3'!BG162,IF($E$2=26.5,'S3'!BH162,IF($E$2=27.5,'S3'!BI162,IF($E$2=28.5,'S3'!BJ162,IF($E$2=29.5,'S3'!BK162,IF($E$2=30.5,'S3'!BL162,IF($E$2=31.5,'S3'!BM162,IF($E$2=32.5,'S3'!BN162,IF($E$2=33.5,'S3'!BO162)))))))))))))))))))</f>
        <v>254.46</v>
      </c>
      <c r="F162" s="437">
        <f t="shared" si="5"/>
        <v>356.24</v>
      </c>
    </row>
    <row r="163" spans="2:6" x14ac:dyDescent="0.45">
      <c r="B163" s="435">
        <v>159</v>
      </c>
      <c r="C163" s="436">
        <f>IF($C$2=34.5,'S3'!AD163,IF($C$2=35.5,'S3'!AF163,IF($C$2=36.5,'S3'!AH163,IF($C$2=37.5,'S3'!AJ163,IF($C$2=38.5,'S3'!AL163,IF($C$2=39.5,'S3'!AN163,IF($C$2=40.5,'S3'!AP163,IF($C$2=27.5,'S3'!P163,IF($C$2=28.5,'S3'!R163,IF($C$2=29.5,'S3'!T163,IF($C$2=30.5,'S3'!V163,IF($C$2=31.5,'S3'!Z163,IF($C$2=32.5,'S3'!Z163,IF($C$2=33.5,'S3'!AB163))))))))))))))</f>
        <v>409.67</v>
      </c>
      <c r="D163" s="436">
        <f>IF($C$2=34.5,'S3'!AE163,IF($C$2=35.5,'S3'!AG163,IF($C$2=36.5,'S3'!AI163,IF($C$2=37.5,'S3'!AK163,IF($C$2=38.5,'S3'!AM163,IF($C$2=39.5,'S3'!AO163,IF($C$2=40.5,'S3'!AQ163,IF($C$2=27.5,'S3'!Q163,IF($C$2=28.5,'S3'!S163,IF($C$2=29.5,'S3'!U163,IF($C$2=30.5,'S3'!W163,IF($C$2=31.5,'S3'!Y163,IF($C$2=32.5,'S3'!AA163,IF($C$2=33.5,'S3'!AC163))))))))))))))</f>
        <v>573.54</v>
      </c>
      <c r="E163" s="437">
        <f>IF($E$2=34.5,'S3'!BP163,IF($E$2=35.5,'S3'!BQ163,IF($E$2=36.5,'S3'!BR163,IF($E$2=37.5,'S3'!BS163,IF($E$2=38.5,'S3'!BT163,IF($E$2=39.5,'S3'!BU163,IF($E$2=40.5,'S3'!BV163,IF($E$2=22.5,'S3'!BD163,IF($E$2=23.5,'S3'!BE163,IF($E$2=24.5,'S3'!BF163,IF($E$2=25.5,'S3'!BG163,IF($E$2=26.5,'S3'!BH163,IF($E$2=27.5,'S3'!BI163,IF($E$2=28.5,'S3'!BJ163,IF($E$2=29.5,'S3'!BK163,IF($E$2=30.5,'S3'!BL163,IF($E$2=31.5,'S3'!BM163,IF($E$2=32.5,'S3'!BN163,IF($E$2=33.5,'S3'!BO163)))))))))))))))))))</f>
        <v>256.07</v>
      </c>
      <c r="F163" s="437">
        <f t="shared" si="5"/>
        <v>358.5</v>
      </c>
    </row>
    <row r="164" spans="2:6" x14ac:dyDescent="0.45">
      <c r="B164" s="435">
        <v>160</v>
      </c>
      <c r="C164" s="436">
        <f>IF($C$2=34.5,'S3'!AD164,IF($C$2=35.5,'S3'!AF164,IF($C$2=36.5,'S3'!AH164,IF($C$2=37.5,'S3'!AJ164,IF($C$2=38.5,'S3'!AL164,IF($C$2=39.5,'S3'!AN164,IF($C$2=40.5,'S3'!AP164,IF($C$2=27.5,'S3'!P164,IF($C$2=28.5,'S3'!R164,IF($C$2=29.5,'S3'!T164,IF($C$2=30.5,'S3'!V164,IF($C$2=31.5,'S3'!Z164,IF($C$2=32.5,'S3'!Z164,IF($C$2=33.5,'S3'!AB164))))))))))))))</f>
        <v>412.22</v>
      </c>
      <c r="D164" s="436">
        <f>IF($C$2=34.5,'S3'!AE164,IF($C$2=35.5,'S3'!AG164,IF($C$2=36.5,'S3'!AI164,IF($C$2=37.5,'S3'!AK164,IF($C$2=38.5,'S3'!AM164,IF($C$2=39.5,'S3'!AO164,IF($C$2=40.5,'S3'!AQ164,IF($C$2=27.5,'S3'!Q164,IF($C$2=28.5,'S3'!S164,IF($C$2=29.5,'S3'!U164,IF($C$2=30.5,'S3'!W164,IF($C$2=31.5,'S3'!Y164,IF($C$2=32.5,'S3'!AA164,IF($C$2=33.5,'S3'!AC164))))))))))))))</f>
        <v>577.11</v>
      </c>
      <c r="E164" s="437">
        <f>IF($E$2=34.5,'S3'!BP164,IF($E$2=35.5,'S3'!BQ164,IF($E$2=36.5,'S3'!BR164,IF($E$2=37.5,'S3'!BS164,IF($E$2=38.5,'S3'!BT164,IF($E$2=39.5,'S3'!BU164,IF($E$2=40.5,'S3'!BV164,IF($E$2=22.5,'S3'!BD164,IF($E$2=23.5,'S3'!BE164,IF($E$2=24.5,'S3'!BF164,IF($E$2=25.5,'S3'!BG164,IF($E$2=26.5,'S3'!BH164,IF($E$2=27.5,'S3'!BI164,IF($E$2=28.5,'S3'!BJ164,IF($E$2=29.5,'S3'!BK164,IF($E$2=30.5,'S3'!BL164,IF($E$2=31.5,'S3'!BM164,IF($E$2=32.5,'S3'!BN164,IF($E$2=33.5,'S3'!BO164)))))))))))))))))))</f>
        <v>257.67</v>
      </c>
      <c r="F164" s="437">
        <f t="shared" si="5"/>
        <v>360.74</v>
      </c>
    </row>
    <row r="165" spans="2:6" x14ac:dyDescent="0.45">
      <c r="B165" s="435">
        <v>161</v>
      </c>
      <c r="C165" s="436">
        <f>IF($C$2=34.5,'S3'!AD165,IF($C$2=35.5,'S3'!AF165,IF($C$2=36.5,'S3'!AH165,IF($C$2=37.5,'S3'!AJ165,IF($C$2=38.5,'S3'!AL165,IF($C$2=39.5,'S3'!AN165,IF($C$2=40.5,'S3'!AP165,IF($C$2=27.5,'S3'!P165,IF($C$2=28.5,'S3'!R165,IF($C$2=29.5,'S3'!T165,IF($C$2=30.5,'S3'!V165,IF($C$2=31.5,'S3'!Z165,IF($C$2=32.5,'S3'!Z165,IF($C$2=33.5,'S3'!AB165))))))))))))))</f>
        <v>414.78</v>
      </c>
      <c r="D165" s="436">
        <f>IF($C$2=34.5,'S3'!AE165,IF($C$2=35.5,'S3'!AG165,IF($C$2=36.5,'S3'!AI165,IF($C$2=37.5,'S3'!AK165,IF($C$2=38.5,'S3'!AM165,IF($C$2=39.5,'S3'!AO165,IF($C$2=40.5,'S3'!AQ165,IF($C$2=27.5,'S3'!Q165,IF($C$2=28.5,'S3'!S165,IF($C$2=29.5,'S3'!U165,IF($C$2=30.5,'S3'!W165,IF($C$2=31.5,'S3'!Y165,IF($C$2=32.5,'S3'!AA165,IF($C$2=33.5,'S3'!AC165))))))))))))))</f>
        <v>580.69000000000005</v>
      </c>
      <c r="E165" s="437">
        <f>IF($E$2=34.5,'S3'!BP165,IF($E$2=35.5,'S3'!BQ165,IF($E$2=36.5,'S3'!BR165,IF($E$2=37.5,'S3'!BS165,IF($E$2=38.5,'S3'!BT165,IF($E$2=39.5,'S3'!BU165,IF($E$2=40.5,'S3'!BV165,IF($E$2=22.5,'S3'!BD165,IF($E$2=23.5,'S3'!BE165,IF($E$2=24.5,'S3'!BF165,IF($E$2=25.5,'S3'!BG165,IF($E$2=26.5,'S3'!BH165,IF($E$2=27.5,'S3'!BI165,IF($E$2=28.5,'S3'!BJ165,IF($E$2=29.5,'S3'!BK165,IF($E$2=30.5,'S3'!BL165,IF($E$2=31.5,'S3'!BM165,IF($E$2=32.5,'S3'!BN165,IF($E$2=33.5,'S3'!BO165)))))))))))))))))))</f>
        <v>259.27999999999997</v>
      </c>
      <c r="F165" s="437">
        <f t="shared" si="5"/>
        <v>362.99</v>
      </c>
    </row>
    <row r="166" spans="2:6" x14ac:dyDescent="0.45">
      <c r="B166" s="435">
        <v>162</v>
      </c>
      <c r="C166" s="436">
        <f>IF($C$2=34.5,'S3'!AD166,IF($C$2=35.5,'S3'!AF166,IF($C$2=36.5,'S3'!AH166,IF($C$2=37.5,'S3'!AJ166,IF($C$2=38.5,'S3'!AL166,IF($C$2=39.5,'S3'!AN166,IF($C$2=40.5,'S3'!AP166,IF($C$2=27.5,'S3'!P166,IF($C$2=28.5,'S3'!R166,IF($C$2=29.5,'S3'!T166,IF($C$2=30.5,'S3'!V166,IF($C$2=31.5,'S3'!Z166,IF($C$2=32.5,'S3'!Z166,IF($C$2=33.5,'S3'!AB166))))))))))))))</f>
        <v>417.34</v>
      </c>
      <c r="D166" s="436">
        <f>IF($C$2=34.5,'S3'!AE166,IF($C$2=35.5,'S3'!AG166,IF($C$2=36.5,'S3'!AI166,IF($C$2=37.5,'S3'!AK166,IF($C$2=38.5,'S3'!AM166,IF($C$2=39.5,'S3'!AO166,IF($C$2=40.5,'S3'!AQ166,IF($C$2=27.5,'S3'!Q166,IF($C$2=28.5,'S3'!S166,IF($C$2=29.5,'S3'!U166,IF($C$2=30.5,'S3'!W166,IF($C$2=31.5,'S3'!Y166,IF($C$2=32.5,'S3'!AA166,IF($C$2=33.5,'S3'!AC166))))))))))))))</f>
        <v>584.28</v>
      </c>
      <c r="E166" s="437">
        <f>IF($E$2=34.5,'S3'!BP166,IF($E$2=35.5,'S3'!BQ166,IF($E$2=36.5,'S3'!BR166,IF($E$2=37.5,'S3'!BS166,IF($E$2=38.5,'S3'!BT166,IF($E$2=39.5,'S3'!BU166,IF($E$2=40.5,'S3'!BV166,IF($E$2=22.5,'S3'!BD166,IF($E$2=23.5,'S3'!BE166,IF($E$2=24.5,'S3'!BF166,IF($E$2=25.5,'S3'!BG166,IF($E$2=26.5,'S3'!BH166,IF($E$2=27.5,'S3'!BI166,IF($E$2=28.5,'S3'!BJ166,IF($E$2=29.5,'S3'!BK166,IF($E$2=30.5,'S3'!BL166,IF($E$2=31.5,'S3'!BM166,IF($E$2=32.5,'S3'!BN166,IF($E$2=33.5,'S3'!BO166)))))))))))))))))))</f>
        <v>260.89</v>
      </c>
      <c r="F166" s="437">
        <f t="shared" si="5"/>
        <v>365.25</v>
      </c>
    </row>
    <row r="167" spans="2:6" x14ac:dyDescent="0.45">
      <c r="B167" s="435">
        <v>163</v>
      </c>
      <c r="C167" s="436">
        <f>IF($C$2=34.5,'S3'!AD167,IF($C$2=35.5,'S3'!AF167,IF($C$2=36.5,'S3'!AH167,IF($C$2=37.5,'S3'!AJ167,IF($C$2=38.5,'S3'!AL167,IF($C$2=39.5,'S3'!AN167,IF($C$2=40.5,'S3'!AP167,IF($C$2=27.5,'S3'!P167,IF($C$2=28.5,'S3'!R167,IF($C$2=29.5,'S3'!T167,IF($C$2=30.5,'S3'!V167,IF($C$2=31.5,'S3'!Z167,IF($C$2=32.5,'S3'!Z167,IF($C$2=33.5,'S3'!AB167))))))))))))))</f>
        <v>419.91</v>
      </c>
      <c r="D167" s="436">
        <f>IF($C$2=34.5,'S3'!AE167,IF($C$2=35.5,'S3'!AG167,IF($C$2=36.5,'S3'!AI167,IF($C$2=37.5,'S3'!AK167,IF($C$2=38.5,'S3'!AM167,IF($C$2=39.5,'S3'!AO167,IF($C$2=40.5,'S3'!AQ167,IF($C$2=27.5,'S3'!Q167,IF($C$2=28.5,'S3'!S167,IF($C$2=29.5,'S3'!U167,IF($C$2=30.5,'S3'!W167,IF($C$2=31.5,'S3'!Y167,IF($C$2=32.5,'S3'!AA167,IF($C$2=33.5,'S3'!AC167))))))))))))))</f>
        <v>587.87</v>
      </c>
      <c r="E167" s="437">
        <f>IF($E$2=34.5,'S3'!BP167,IF($E$2=35.5,'S3'!BQ167,IF($E$2=36.5,'S3'!BR167,IF($E$2=37.5,'S3'!BS167,IF($E$2=38.5,'S3'!BT167,IF($E$2=39.5,'S3'!BU167,IF($E$2=40.5,'S3'!BV167,IF($E$2=22.5,'S3'!BD167,IF($E$2=23.5,'S3'!BE167,IF($E$2=24.5,'S3'!BF167,IF($E$2=25.5,'S3'!BG167,IF($E$2=26.5,'S3'!BH167,IF($E$2=27.5,'S3'!BI167,IF($E$2=28.5,'S3'!BJ167,IF($E$2=29.5,'S3'!BK167,IF($E$2=30.5,'S3'!BL167,IF($E$2=31.5,'S3'!BM167,IF($E$2=32.5,'S3'!BN167,IF($E$2=33.5,'S3'!BO167)))))))))))))))))))</f>
        <v>262.5</v>
      </c>
      <c r="F167" s="437">
        <f t="shared" si="5"/>
        <v>367.5</v>
      </c>
    </row>
    <row r="168" spans="2:6" x14ac:dyDescent="0.45">
      <c r="B168" s="435">
        <v>164</v>
      </c>
      <c r="C168" s="436">
        <f>IF($C$2=34.5,'S3'!AD168,IF($C$2=35.5,'S3'!AF168,IF($C$2=36.5,'S3'!AH168,IF($C$2=37.5,'S3'!AJ168,IF($C$2=38.5,'S3'!AL168,IF($C$2=39.5,'S3'!AN168,IF($C$2=40.5,'S3'!AP168,IF($C$2=27.5,'S3'!P168,IF($C$2=28.5,'S3'!R168,IF($C$2=29.5,'S3'!T168,IF($C$2=30.5,'S3'!V168,IF($C$2=31.5,'S3'!Z168,IF($C$2=32.5,'S3'!Z168,IF($C$2=33.5,'S3'!AB168))))))))))))))</f>
        <v>422.48</v>
      </c>
      <c r="D168" s="436">
        <f>IF($C$2=34.5,'S3'!AE168,IF($C$2=35.5,'S3'!AG168,IF($C$2=36.5,'S3'!AI168,IF($C$2=37.5,'S3'!AK168,IF($C$2=38.5,'S3'!AM168,IF($C$2=39.5,'S3'!AO168,IF($C$2=40.5,'S3'!AQ168,IF($C$2=27.5,'S3'!Q168,IF($C$2=28.5,'S3'!S168,IF($C$2=29.5,'S3'!U168,IF($C$2=30.5,'S3'!W168,IF($C$2=31.5,'S3'!Y168,IF($C$2=32.5,'S3'!AA168,IF($C$2=33.5,'S3'!AC168))))))))))))))</f>
        <v>591.47</v>
      </c>
      <c r="E168" s="437">
        <f>IF($E$2=34.5,'S3'!BP168,IF($E$2=35.5,'S3'!BQ168,IF($E$2=36.5,'S3'!BR168,IF($E$2=37.5,'S3'!BS168,IF($E$2=38.5,'S3'!BT168,IF($E$2=39.5,'S3'!BU168,IF($E$2=40.5,'S3'!BV168,IF($E$2=22.5,'S3'!BD168,IF($E$2=23.5,'S3'!BE168,IF($E$2=24.5,'S3'!BF168,IF($E$2=25.5,'S3'!BG168,IF($E$2=26.5,'S3'!BH168,IF($E$2=27.5,'S3'!BI168,IF($E$2=28.5,'S3'!BJ168,IF($E$2=29.5,'S3'!BK168,IF($E$2=30.5,'S3'!BL168,IF($E$2=31.5,'S3'!BM168,IF($E$2=32.5,'S3'!BN168,IF($E$2=33.5,'S3'!BO168)))))))))))))))))))</f>
        <v>264.11</v>
      </c>
      <c r="F168" s="437">
        <f t="shared" si="5"/>
        <v>369.75</v>
      </c>
    </row>
    <row r="169" spans="2:6" x14ac:dyDescent="0.45">
      <c r="B169" s="435">
        <v>165</v>
      </c>
      <c r="C169" s="436">
        <f>IF($C$2=34.5,'S3'!AD169,IF($C$2=35.5,'S3'!AF169,IF($C$2=36.5,'S3'!AH169,IF($C$2=37.5,'S3'!AJ169,IF($C$2=38.5,'S3'!AL169,IF($C$2=39.5,'S3'!AN169,IF($C$2=40.5,'S3'!AP169,IF($C$2=27.5,'S3'!P169,IF($C$2=28.5,'S3'!R169,IF($C$2=29.5,'S3'!T169,IF($C$2=30.5,'S3'!V169,IF($C$2=31.5,'S3'!Z169,IF($C$2=32.5,'S3'!Z169,IF($C$2=33.5,'S3'!AB169))))))))))))))</f>
        <v>425.06</v>
      </c>
      <c r="D169" s="436">
        <f>IF($C$2=34.5,'S3'!AE169,IF($C$2=35.5,'S3'!AG169,IF($C$2=36.5,'S3'!AI169,IF($C$2=37.5,'S3'!AK169,IF($C$2=38.5,'S3'!AM169,IF($C$2=39.5,'S3'!AO169,IF($C$2=40.5,'S3'!AQ169,IF($C$2=27.5,'S3'!Q169,IF($C$2=28.5,'S3'!S169,IF($C$2=29.5,'S3'!U169,IF($C$2=30.5,'S3'!W169,IF($C$2=31.5,'S3'!Y169,IF($C$2=32.5,'S3'!AA169,IF($C$2=33.5,'S3'!AC169))))))))))))))</f>
        <v>595.08000000000004</v>
      </c>
      <c r="E169" s="437">
        <f>IF($E$2=34.5,'S3'!BP169,IF($E$2=35.5,'S3'!BQ169,IF($E$2=36.5,'S3'!BR169,IF($E$2=37.5,'S3'!BS169,IF($E$2=38.5,'S3'!BT169,IF($E$2=39.5,'S3'!BU169,IF($E$2=40.5,'S3'!BV169,IF($E$2=22.5,'S3'!BD169,IF($E$2=23.5,'S3'!BE169,IF($E$2=24.5,'S3'!BF169,IF($E$2=25.5,'S3'!BG169,IF($E$2=26.5,'S3'!BH169,IF($E$2=27.5,'S3'!BI169,IF($E$2=28.5,'S3'!BJ169,IF($E$2=29.5,'S3'!BK169,IF($E$2=30.5,'S3'!BL169,IF($E$2=31.5,'S3'!BM169,IF($E$2=32.5,'S3'!BN169,IF($E$2=33.5,'S3'!BO169)))))))))))))))))))</f>
        <v>265.72000000000003</v>
      </c>
      <c r="F169" s="437">
        <f t="shared" si="5"/>
        <v>372.01</v>
      </c>
    </row>
    <row r="170" spans="2:6" x14ac:dyDescent="0.45">
      <c r="B170" s="435">
        <v>166</v>
      </c>
      <c r="C170" s="436">
        <f>IF($C$2=34.5,'S3'!AD170,IF($C$2=35.5,'S3'!AF170,IF($C$2=36.5,'S3'!AH170,IF($C$2=37.5,'S3'!AJ170,IF($C$2=38.5,'S3'!AL170,IF($C$2=39.5,'S3'!AN170,IF($C$2=40.5,'S3'!AP170,IF($C$2=27.5,'S3'!P170,IF($C$2=28.5,'S3'!R170,IF($C$2=29.5,'S3'!T170,IF($C$2=30.5,'S3'!V170,IF($C$2=31.5,'S3'!Z170,IF($C$2=32.5,'S3'!Z170,IF($C$2=33.5,'S3'!AB170))))))))))))))</f>
        <v>427.65</v>
      </c>
      <c r="D170" s="436">
        <f>IF($C$2=34.5,'S3'!AE170,IF($C$2=35.5,'S3'!AG170,IF($C$2=36.5,'S3'!AI170,IF($C$2=37.5,'S3'!AK170,IF($C$2=38.5,'S3'!AM170,IF($C$2=39.5,'S3'!AO170,IF($C$2=40.5,'S3'!AQ170,IF($C$2=27.5,'S3'!Q170,IF($C$2=28.5,'S3'!S170,IF($C$2=29.5,'S3'!U170,IF($C$2=30.5,'S3'!W170,IF($C$2=31.5,'S3'!Y170,IF($C$2=32.5,'S3'!AA170,IF($C$2=33.5,'S3'!AC170))))))))))))))</f>
        <v>598.71</v>
      </c>
      <c r="E170" s="437">
        <f>IF($E$2=34.5,'S3'!BP170,IF($E$2=35.5,'S3'!BQ170,IF($E$2=36.5,'S3'!BR170,IF($E$2=37.5,'S3'!BS170,IF($E$2=38.5,'S3'!BT170,IF($E$2=39.5,'S3'!BU170,IF($E$2=40.5,'S3'!BV170,IF($E$2=22.5,'S3'!BD170,IF($E$2=23.5,'S3'!BE170,IF($E$2=24.5,'S3'!BF170,IF($E$2=25.5,'S3'!BG170,IF($E$2=26.5,'S3'!BH170,IF($E$2=27.5,'S3'!BI170,IF($E$2=28.5,'S3'!BJ170,IF($E$2=29.5,'S3'!BK170,IF($E$2=30.5,'S3'!BL170,IF($E$2=31.5,'S3'!BM170,IF($E$2=32.5,'S3'!BN170,IF($E$2=33.5,'S3'!BO170)))))))))))))))))))</f>
        <v>267.33</v>
      </c>
      <c r="F170" s="437">
        <f t="shared" si="5"/>
        <v>374.26</v>
      </c>
    </row>
    <row r="171" spans="2:6" x14ac:dyDescent="0.45">
      <c r="B171" s="435">
        <v>167</v>
      </c>
      <c r="C171" s="436">
        <f>IF($C$2=34.5,'S3'!AD171,IF($C$2=35.5,'S3'!AF171,IF($C$2=36.5,'S3'!AH171,IF($C$2=37.5,'S3'!AJ171,IF($C$2=38.5,'S3'!AL171,IF($C$2=39.5,'S3'!AN171,IF($C$2=40.5,'S3'!AP171,IF($C$2=27.5,'S3'!P171,IF($C$2=28.5,'S3'!R171,IF($C$2=29.5,'S3'!T171,IF($C$2=30.5,'S3'!V171,IF($C$2=31.5,'S3'!Z171,IF($C$2=32.5,'S3'!Z171,IF($C$2=33.5,'S3'!AB171))))))))))))))</f>
        <v>430.24</v>
      </c>
      <c r="D171" s="436">
        <f>IF($C$2=34.5,'S3'!AE171,IF($C$2=35.5,'S3'!AG171,IF($C$2=36.5,'S3'!AI171,IF($C$2=37.5,'S3'!AK171,IF($C$2=38.5,'S3'!AM171,IF($C$2=39.5,'S3'!AO171,IF($C$2=40.5,'S3'!AQ171,IF($C$2=27.5,'S3'!Q171,IF($C$2=28.5,'S3'!S171,IF($C$2=29.5,'S3'!U171,IF($C$2=30.5,'S3'!W171,IF($C$2=31.5,'S3'!Y171,IF($C$2=32.5,'S3'!AA171,IF($C$2=33.5,'S3'!AC171))))))))))))))</f>
        <v>602.34</v>
      </c>
      <c r="E171" s="437">
        <f>IF($E$2=34.5,'S3'!BP171,IF($E$2=35.5,'S3'!BQ171,IF($E$2=36.5,'S3'!BR171,IF($E$2=37.5,'S3'!BS171,IF($E$2=38.5,'S3'!BT171,IF($E$2=39.5,'S3'!BU171,IF($E$2=40.5,'S3'!BV171,IF($E$2=22.5,'S3'!BD171,IF($E$2=23.5,'S3'!BE171,IF($E$2=24.5,'S3'!BF171,IF($E$2=25.5,'S3'!BG171,IF($E$2=26.5,'S3'!BH171,IF($E$2=27.5,'S3'!BI171,IF($E$2=28.5,'S3'!BJ171,IF($E$2=29.5,'S3'!BK171,IF($E$2=30.5,'S3'!BL171,IF($E$2=31.5,'S3'!BM171,IF($E$2=32.5,'S3'!BN171,IF($E$2=33.5,'S3'!BO171)))))))))))))))))))</f>
        <v>268.95</v>
      </c>
      <c r="F171" s="437">
        <f t="shared" si="5"/>
        <v>376.53</v>
      </c>
    </row>
    <row r="172" spans="2:6" x14ac:dyDescent="0.45">
      <c r="B172" s="435">
        <v>168</v>
      </c>
      <c r="C172" s="436">
        <f>IF($C$2=34.5,'S3'!AD172,IF($C$2=35.5,'S3'!AF172,IF($C$2=36.5,'S3'!AH172,IF($C$2=37.5,'S3'!AJ172,IF($C$2=38.5,'S3'!AL172,IF($C$2=39.5,'S3'!AN172,IF($C$2=40.5,'S3'!AP172,IF($C$2=27.5,'S3'!P172,IF($C$2=28.5,'S3'!R172,IF($C$2=29.5,'S3'!T172,IF($C$2=30.5,'S3'!V172,IF($C$2=31.5,'S3'!Z172,IF($C$2=32.5,'S3'!Z172,IF($C$2=33.5,'S3'!AB172))))))))))))))</f>
        <v>432.83</v>
      </c>
      <c r="D172" s="436">
        <f>IF($C$2=34.5,'S3'!AE172,IF($C$2=35.5,'S3'!AG172,IF($C$2=36.5,'S3'!AI172,IF($C$2=37.5,'S3'!AK172,IF($C$2=38.5,'S3'!AM172,IF($C$2=39.5,'S3'!AO172,IF($C$2=40.5,'S3'!AQ172,IF($C$2=27.5,'S3'!Q172,IF($C$2=28.5,'S3'!S172,IF($C$2=29.5,'S3'!U172,IF($C$2=30.5,'S3'!W172,IF($C$2=31.5,'S3'!Y172,IF($C$2=32.5,'S3'!AA172,IF($C$2=33.5,'S3'!AC172))))))))))))))</f>
        <v>605.96</v>
      </c>
      <c r="E172" s="437">
        <f>IF($E$2=34.5,'S3'!BP172,IF($E$2=35.5,'S3'!BQ172,IF($E$2=36.5,'S3'!BR172,IF($E$2=37.5,'S3'!BS172,IF($E$2=38.5,'S3'!BT172,IF($E$2=39.5,'S3'!BU172,IF($E$2=40.5,'S3'!BV172,IF($E$2=22.5,'S3'!BD172,IF($E$2=23.5,'S3'!BE172,IF($E$2=24.5,'S3'!BF172,IF($E$2=25.5,'S3'!BG172,IF($E$2=26.5,'S3'!BH172,IF($E$2=27.5,'S3'!BI172,IF($E$2=28.5,'S3'!BJ172,IF($E$2=29.5,'S3'!BK172,IF($E$2=30.5,'S3'!BL172,IF($E$2=31.5,'S3'!BM172,IF($E$2=32.5,'S3'!BN172,IF($E$2=33.5,'S3'!BO172)))))))))))))))))))</f>
        <v>270.57</v>
      </c>
      <c r="F172" s="437">
        <f t="shared" si="5"/>
        <v>378.8</v>
      </c>
    </row>
    <row r="173" spans="2:6" x14ac:dyDescent="0.45">
      <c r="B173" s="435">
        <v>169</v>
      </c>
      <c r="C173" s="436">
        <f>IF($C$2=34.5,'S3'!AD173,IF($C$2=35.5,'S3'!AF173,IF($C$2=36.5,'S3'!AH173,IF($C$2=37.5,'S3'!AJ173,IF($C$2=38.5,'S3'!AL173,IF($C$2=39.5,'S3'!AN173,IF($C$2=40.5,'S3'!AP173,IF($C$2=27.5,'S3'!P173,IF($C$2=28.5,'S3'!R173,IF($C$2=29.5,'S3'!T173,IF($C$2=30.5,'S3'!V173,IF($C$2=31.5,'S3'!Z173,IF($C$2=32.5,'S3'!Z173,IF($C$2=33.5,'S3'!AB173))))))))))))))</f>
        <v>434.96</v>
      </c>
      <c r="D173" s="436">
        <f>IF($C$2=34.5,'S3'!AE173,IF($C$2=35.5,'S3'!AG173,IF($C$2=36.5,'S3'!AI173,IF($C$2=37.5,'S3'!AK173,IF($C$2=38.5,'S3'!AM173,IF($C$2=39.5,'S3'!AO173,IF($C$2=40.5,'S3'!AQ173,IF($C$2=27.5,'S3'!Q173,IF($C$2=28.5,'S3'!S173,IF($C$2=29.5,'S3'!U173,IF($C$2=30.5,'S3'!W173,IF($C$2=31.5,'S3'!Y173,IF($C$2=32.5,'S3'!AA173,IF($C$2=33.5,'S3'!AC173))))))))))))))</f>
        <v>608.94000000000005</v>
      </c>
      <c r="E173" s="437">
        <f>IF($E$2=34.5,'S3'!BP173,IF($E$2=35.5,'S3'!BQ173,IF($E$2=36.5,'S3'!BR173,IF($E$2=37.5,'S3'!BS173,IF($E$2=38.5,'S3'!BT173,IF($E$2=39.5,'S3'!BU173,IF($E$2=40.5,'S3'!BV173,IF($E$2=22.5,'S3'!BD173,IF($E$2=23.5,'S3'!BE173,IF($E$2=24.5,'S3'!BF173,IF($E$2=25.5,'S3'!BG173,IF($E$2=26.5,'S3'!BH173,IF($E$2=27.5,'S3'!BI173,IF($E$2=28.5,'S3'!BJ173,IF($E$2=29.5,'S3'!BK173,IF($E$2=30.5,'S3'!BL173,IF($E$2=31.5,'S3'!BM173,IF($E$2=32.5,'S3'!BN173,IF($E$2=33.5,'S3'!BO173)))))))))))))))))))</f>
        <v>272.19</v>
      </c>
      <c r="F173" s="437">
        <f t="shared" si="5"/>
        <v>381.07</v>
      </c>
    </row>
    <row r="174" spans="2:6" x14ac:dyDescent="0.45">
      <c r="B174" s="435">
        <v>170</v>
      </c>
      <c r="C174" s="436">
        <f>IF($C$2=34.5,'S3'!AD174,IF($C$2=35.5,'S3'!AF174,IF($C$2=36.5,'S3'!AH174,IF($C$2=37.5,'S3'!AJ174,IF($C$2=38.5,'S3'!AL174,IF($C$2=39.5,'S3'!AN174,IF($C$2=40.5,'S3'!AP174,IF($C$2=27.5,'S3'!P174,IF($C$2=28.5,'S3'!R174,IF($C$2=29.5,'S3'!T174,IF($C$2=30.5,'S3'!V174,IF($C$2=31.5,'S3'!Z174,IF($C$2=32.5,'S3'!Z174,IF($C$2=33.5,'S3'!AB174))))))))))))))</f>
        <v>437.56</v>
      </c>
      <c r="D174" s="436">
        <f>IF($C$2=34.5,'S3'!AE174,IF($C$2=35.5,'S3'!AG174,IF($C$2=36.5,'S3'!AI174,IF($C$2=37.5,'S3'!AK174,IF($C$2=38.5,'S3'!AM174,IF($C$2=39.5,'S3'!AO174,IF($C$2=40.5,'S3'!AQ174,IF($C$2=27.5,'S3'!Q174,IF($C$2=28.5,'S3'!S174,IF($C$2=29.5,'S3'!U174,IF($C$2=30.5,'S3'!W174,IF($C$2=31.5,'S3'!Y174,IF($C$2=32.5,'S3'!AA174,IF($C$2=33.5,'S3'!AC174))))))))))))))</f>
        <v>612.58000000000004</v>
      </c>
      <c r="E174" s="437">
        <f>IF($E$2=34.5,'S3'!BP174,IF($E$2=35.5,'S3'!BQ174,IF($E$2=36.5,'S3'!BR174,IF($E$2=37.5,'S3'!BS174,IF($E$2=38.5,'S3'!BT174,IF($E$2=39.5,'S3'!BU174,IF($E$2=40.5,'S3'!BV174,IF($E$2=22.5,'S3'!BD174,IF($E$2=23.5,'S3'!BE174,IF($E$2=24.5,'S3'!BF174,IF($E$2=25.5,'S3'!BG174,IF($E$2=26.5,'S3'!BH174,IF($E$2=27.5,'S3'!BI174,IF($E$2=28.5,'S3'!BJ174,IF($E$2=29.5,'S3'!BK174,IF($E$2=30.5,'S3'!BL174,IF($E$2=31.5,'S3'!BM174,IF($E$2=32.5,'S3'!BN174,IF($E$2=33.5,'S3'!BO174)))))))))))))))))))</f>
        <v>273.81</v>
      </c>
      <c r="F174" s="437">
        <f t="shared" si="5"/>
        <v>383.33</v>
      </c>
    </row>
    <row r="175" spans="2:6" x14ac:dyDescent="0.45">
      <c r="B175" s="435">
        <v>171</v>
      </c>
      <c r="C175" s="436">
        <f>IF($C$2=34.5,'S3'!AD175,IF($C$2=35.5,'S3'!AF175,IF($C$2=36.5,'S3'!AH175,IF($C$2=37.5,'S3'!AJ175,IF($C$2=38.5,'S3'!AL175,IF($C$2=39.5,'S3'!AN175,IF($C$2=40.5,'S3'!AP175,IF($C$2=27.5,'S3'!P175,IF($C$2=28.5,'S3'!R175,IF($C$2=29.5,'S3'!T175,IF($C$2=30.5,'S3'!V175,IF($C$2=31.5,'S3'!Z175,IF($C$2=32.5,'S3'!Z175,IF($C$2=33.5,'S3'!AB175))))))))))))))</f>
        <v>440.17</v>
      </c>
      <c r="D175" s="436">
        <f>IF($C$2=34.5,'S3'!AE175,IF($C$2=35.5,'S3'!AG175,IF($C$2=36.5,'S3'!AI175,IF($C$2=37.5,'S3'!AK175,IF($C$2=38.5,'S3'!AM175,IF($C$2=39.5,'S3'!AO175,IF($C$2=40.5,'S3'!AQ175,IF($C$2=27.5,'S3'!Q175,IF($C$2=28.5,'S3'!S175,IF($C$2=29.5,'S3'!U175,IF($C$2=30.5,'S3'!W175,IF($C$2=31.5,'S3'!Y175,IF($C$2=32.5,'S3'!AA175,IF($C$2=33.5,'S3'!AC175))))))))))))))</f>
        <v>616.24</v>
      </c>
      <c r="E175" s="437">
        <f>IF($E$2=34.5,'S3'!BP175,IF($E$2=35.5,'S3'!BQ175,IF($E$2=36.5,'S3'!BR175,IF($E$2=37.5,'S3'!BS175,IF($E$2=38.5,'S3'!BT175,IF($E$2=39.5,'S3'!BU175,IF($E$2=40.5,'S3'!BV175,IF($E$2=22.5,'S3'!BD175,IF($E$2=23.5,'S3'!BE175,IF($E$2=24.5,'S3'!BF175,IF($E$2=25.5,'S3'!BG175,IF($E$2=26.5,'S3'!BH175,IF($E$2=27.5,'S3'!BI175,IF($E$2=28.5,'S3'!BJ175,IF($E$2=29.5,'S3'!BK175,IF($E$2=30.5,'S3'!BL175,IF($E$2=31.5,'S3'!BM175,IF($E$2=32.5,'S3'!BN175,IF($E$2=33.5,'S3'!BO175)))))))))))))))))))</f>
        <v>275.43</v>
      </c>
      <c r="F175" s="437">
        <f t="shared" si="5"/>
        <v>385.6</v>
      </c>
    </row>
    <row r="176" spans="2:6" x14ac:dyDescent="0.45">
      <c r="B176" s="435">
        <v>172</v>
      </c>
      <c r="C176" s="436">
        <f>IF($C$2=34.5,'S3'!AD176,IF($C$2=35.5,'S3'!AF176,IF($C$2=36.5,'S3'!AH176,IF($C$2=37.5,'S3'!AJ176,IF($C$2=38.5,'S3'!AL176,IF($C$2=39.5,'S3'!AN176,IF($C$2=40.5,'S3'!AP176,IF($C$2=27.5,'S3'!P176,IF($C$2=28.5,'S3'!R176,IF($C$2=29.5,'S3'!T176,IF($C$2=30.5,'S3'!V176,IF($C$2=31.5,'S3'!Z176,IF($C$2=32.5,'S3'!Z176,IF($C$2=33.5,'S3'!AB176))))))))))))))</f>
        <v>442.78</v>
      </c>
      <c r="D176" s="436">
        <f>IF($C$2=34.5,'S3'!AE176,IF($C$2=35.5,'S3'!AG176,IF($C$2=36.5,'S3'!AI176,IF($C$2=37.5,'S3'!AK176,IF($C$2=38.5,'S3'!AM176,IF($C$2=39.5,'S3'!AO176,IF($C$2=40.5,'S3'!AQ176,IF($C$2=27.5,'S3'!Q176,IF($C$2=28.5,'S3'!S176,IF($C$2=29.5,'S3'!U176,IF($C$2=30.5,'S3'!W176,IF($C$2=31.5,'S3'!Y176,IF($C$2=32.5,'S3'!AA176,IF($C$2=33.5,'S3'!AC176))))))))))))))</f>
        <v>619.89</v>
      </c>
      <c r="E176" s="437">
        <f>IF($E$2=34.5,'S3'!BP176,IF($E$2=35.5,'S3'!BQ176,IF($E$2=36.5,'S3'!BR176,IF($E$2=37.5,'S3'!BS176,IF($E$2=38.5,'S3'!BT176,IF($E$2=39.5,'S3'!BU176,IF($E$2=40.5,'S3'!BV176,IF($E$2=22.5,'S3'!BD176,IF($E$2=23.5,'S3'!BE176,IF($E$2=24.5,'S3'!BF176,IF($E$2=25.5,'S3'!BG176,IF($E$2=26.5,'S3'!BH176,IF($E$2=27.5,'S3'!BI176,IF($E$2=28.5,'S3'!BJ176,IF($E$2=29.5,'S3'!BK176,IF($E$2=30.5,'S3'!BL176,IF($E$2=31.5,'S3'!BM176,IF($E$2=32.5,'S3'!BN176,IF($E$2=33.5,'S3'!BO176)))))))))))))))))))</f>
        <v>277.05</v>
      </c>
      <c r="F176" s="437">
        <f t="shared" si="5"/>
        <v>387.87</v>
      </c>
    </row>
    <row r="177" spans="2:6" x14ac:dyDescent="0.45">
      <c r="B177" s="435">
        <v>173</v>
      </c>
      <c r="C177" s="436">
        <f>IF($C$2=34.5,'S3'!AD177,IF($C$2=35.5,'S3'!AF177,IF($C$2=36.5,'S3'!AH177,IF($C$2=37.5,'S3'!AJ177,IF($C$2=38.5,'S3'!AL177,IF($C$2=39.5,'S3'!AN177,IF($C$2=40.5,'S3'!AP177,IF($C$2=27.5,'S3'!P177,IF($C$2=28.5,'S3'!R177,IF($C$2=29.5,'S3'!T177,IF($C$2=30.5,'S3'!V177,IF($C$2=31.5,'S3'!Z177,IF($C$2=32.5,'S3'!Z177,IF($C$2=33.5,'S3'!AB177))))))))))))))</f>
        <v>445.4</v>
      </c>
      <c r="D177" s="436">
        <f>IF($C$2=34.5,'S3'!AE177,IF($C$2=35.5,'S3'!AG177,IF($C$2=36.5,'S3'!AI177,IF($C$2=37.5,'S3'!AK177,IF($C$2=38.5,'S3'!AM177,IF($C$2=39.5,'S3'!AO177,IF($C$2=40.5,'S3'!AQ177,IF($C$2=27.5,'S3'!Q177,IF($C$2=28.5,'S3'!S177,IF($C$2=29.5,'S3'!U177,IF($C$2=30.5,'S3'!W177,IF($C$2=31.5,'S3'!Y177,IF($C$2=32.5,'S3'!AA177,IF($C$2=33.5,'S3'!AC177))))))))))))))</f>
        <v>623.55999999999995</v>
      </c>
      <c r="E177" s="437">
        <f>IF($E$2=34.5,'S3'!BP177,IF($E$2=35.5,'S3'!BQ177,IF($E$2=36.5,'S3'!BR177,IF($E$2=37.5,'S3'!BS177,IF($E$2=38.5,'S3'!BT177,IF($E$2=39.5,'S3'!BU177,IF($E$2=40.5,'S3'!BV177,IF($E$2=22.5,'S3'!BD177,IF($E$2=23.5,'S3'!BE177,IF($E$2=24.5,'S3'!BF177,IF($E$2=25.5,'S3'!BG177,IF($E$2=26.5,'S3'!BH177,IF($E$2=27.5,'S3'!BI177,IF($E$2=28.5,'S3'!BJ177,IF($E$2=29.5,'S3'!BK177,IF($E$2=30.5,'S3'!BL177,IF($E$2=31.5,'S3'!BM177,IF($E$2=32.5,'S3'!BN177,IF($E$2=33.5,'S3'!BO177)))))))))))))))))))</f>
        <v>278.55</v>
      </c>
      <c r="F177" s="437">
        <f t="shared" si="5"/>
        <v>389.97</v>
      </c>
    </row>
    <row r="178" spans="2:6" x14ac:dyDescent="0.45">
      <c r="B178" s="435">
        <v>174</v>
      </c>
      <c r="C178" s="436">
        <f>IF($C$2=34.5,'S3'!AD178,IF($C$2=35.5,'S3'!AF178,IF($C$2=36.5,'S3'!AH178,IF($C$2=37.5,'S3'!AJ178,IF($C$2=38.5,'S3'!AL178,IF($C$2=39.5,'S3'!AN178,IF($C$2=40.5,'S3'!AP178,IF($C$2=27.5,'S3'!P178,IF($C$2=28.5,'S3'!R178,IF($C$2=29.5,'S3'!T178,IF($C$2=30.5,'S3'!V178,IF($C$2=31.5,'S3'!Z178,IF($C$2=32.5,'S3'!Z178,IF($C$2=33.5,'S3'!AB178))))))))))))))</f>
        <v>448.03</v>
      </c>
      <c r="D178" s="436">
        <f>IF($C$2=34.5,'S3'!AE178,IF($C$2=35.5,'S3'!AG178,IF($C$2=36.5,'S3'!AI178,IF($C$2=37.5,'S3'!AK178,IF($C$2=38.5,'S3'!AM178,IF($C$2=39.5,'S3'!AO178,IF($C$2=40.5,'S3'!AQ178,IF($C$2=27.5,'S3'!Q178,IF($C$2=28.5,'S3'!S178,IF($C$2=29.5,'S3'!U178,IF($C$2=30.5,'S3'!W178,IF($C$2=31.5,'S3'!Y178,IF($C$2=32.5,'S3'!AA178,IF($C$2=33.5,'S3'!AC178))))))))))))))</f>
        <v>627.24</v>
      </c>
      <c r="E178" s="437">
        <f>IF($E$2=34.5,'S3'!BP178,IF($E$2=35.5,'S3'!BQ178,IF($E$2=36.5,'S3'!BR178,IF($E$2=37.5,'S3'!BS178,IF($E$2=38.5,'S3'!BT178,IF($E$2=39.5,'S3'!BU178,IF($E$2=40.5,'S3'!BV178,IF($E$2=22.5,'S3'!BD178,IF($E$2=23.5,'S3'!BE178,IF($E$2=24.5,'S3'!BF178,IF($E$2=25.5,'S3'!BG178,IF($E$2=26.5,'S3'!BH178,IF($E$2=27.5,'S3'!BI178,IF($E$2=28.5,'S3'!BJ178,IF($E$2=29.5,'S3'!BK178,IF($E$2=30.5,'S3'!BL178,IF($E$2=31.5,'S3'!BM178,IF($E$2=32.5,'S3'!BN178,IF($E$2=33.5,'S3'!BO178)))))))))))))))))))</f>
        <v>280.17</v>
      </c>
      <c r="F178" s="437">
        <f t="shared" si="5"/>
        <v>392.24</v>
      </c>
    </row>
    <row r="179" spans="2:6" x14ac:dyDescent="0.45">
      <c r="B179" s="435">
        <v>175</v>
      </c>
      <c r="C179" s="436">
        <f>IF($C$2=34.5,'S3'!AD179,IF($C$2=35.5,'S3'!AF179,IF($C$2=36.5,'S3'!AH179,IF($C$2=37.5,'S3'!AJ179,IF($C$2=38.5,'S3'!AL179,IF($C$2=39.5,'S3'!AN179,IF($C$2=40.5,'S3'!AP179,IF($C$2=27.5,'S3'!P179,IF($C$2=28.5,'S3'!R179,IF($C$2=29.5,'S3'!T179,IF($C$2=30.5,'S3'!V179,IF($C$2=31.5,'S3'!Z179,IF($C$2=32.5,'S3'!Z179,IF($C$2=33.5,'S3'!AB179))))))))))))))</f>
        <v>450.66</v>
      </c>
      <c r="D179" s="436">
        <f>IF($C$2=34.5,'S3'!AE179,IF($C$2=35.5,'S3'!AG179,IF($C$2=36.5,'S3'!AI179,IF($C$2=37.5,'S3'!AK179,IF($C$2=38.5,'S3'!AM179,IF($C$2=39.5,'S3'!AO179,IF($C$2=40.5,'S3'!AQ179,IF($C$2=27.5,'S3'!Q179,IF($C$2=28.5,'S3'!S179,IF($C$2=29.5,'S3'!U179,IF($C$2=30.5,'S3'!W179,IF($C$2=31.5,'S3'!Y179,IF($C$2=32.5,'S3'!AA179,IF($C$2=33.5,'S3'!AC179))))))))))))))</f>
        <v>630.91999999999996</v>
      </c>
      <c r="E179" s="437">
        <f>IF($E$2=34.5,'S3'!BP179,IF($E$2=35.5,'S3'!BQ179,IF($E$2=36.5,'S3'!BR179,IF($E$2=37.5,'S3'!BS179,IF($E$2=38.5,'S3'!BT179,IF($E$2=39.5,'S3'!BU179,IF($E$2=40.5,'S3'!BV179,IF($E$2=22.5,'S3'!BD179,IF($E$2=23.5,'S3'!BE179,IF($E$2=24.5,'S3'!BF179,IF($E$2=25.5,'S3'!BG179,IF($E$2=26.5,'S3'!BH179,IF($E$2=27.5,'S3'!BI179,IF($E$2=28.5,'S3'!BJ179,IF($E$2=29.5,'S3'!BK179,IF($E$2=30.5,'S3'!BL179,IF($E$2=31.5,'S3'!BM179,IF($E$2=32.5,'S3'!BN179,IF($E$2=33.5,'S3'!BO179)))))))))))))))))))</f>
        <v>281.8</v>
      </c>
      <c r="F179" s="437">
        <f t="shared" si="5"/>
        <v>394.52</v>
      </c>
    </row>
    <row r="180" spans="2:6" x14ac:dyDescent="0.45">
      <c r="B180" s="435">
        <v>176</v>
      </c>
      <c r="C180" s="436">
        <f>IF($C$2=34.5,'S3'!AD180,IF($C$2=35.5,'S3'!AF180,IF($C$2=36.5,'S3'!AH180,IF($C$2=37.5,'S3'!AJ180,IF($C$2=38.5,'S3'!AL180,IF($C$2=39.5,'S3'!AN180,IF($C$2=40.5,'S3'!AP180,IF($C$2=27.5,'S3'!P180,IF($C$2=28.5,'S3'!R180,IF($C$2=29.5,'S3'!T180,IF($C$2=30.5,'S3'!V180,IF($C$2=31.5,'S3'!Z180,IF($C$2=32.5,'S3'!Z180,IF($C$2=33.5,'S3'!AB180))))))))))))))</f>
        <v>453.3</v>
      </c>
      <c r="D180" s="436">
        <f>IF($C$2=34.5,'S3'!AE180,IF($C$2=35.5,'S3'!AG180,IF($C$2=36.5,'S3'!AI180,IF($C$2=37.5,'S3'!AK180,IF($C$2=38.5,'S3'!AM180,IF($C$2=39.5,'S3'!AO180,IF($C$2=40.5,'S3'!AQ180,IF($C$2=27.5,'S3'!Q180,IF($C$2=28.5,'S3'!S180,IF($C$2=29.5,'S3'!U180,IF($C$2=30.5,'S3'!W180,IF($C$2=31.5,'S3'!Y180,IF($C$2=32.5,'S3'!AA180,IF($C$2=33.5,'S3'!AC180))))))))))))))</f>
        <v>634.62</v>
      </c>
      <c r="E180" s="437">
        <f>IF($E$2=34.5,'S3'!BP180,IF($E$2=35.5,'S3'!BQ180,IF($E$2=36.5,'S3'!BR180,IF($E$2=37.5,'S3'!BS180,IF($E$2=38.5,'S3'!BT180,IF($E$2=39.5,'S3'!BU180,IF($E$2=40.5,'S3'!BV180,IF($E$2=22.5,'S3'!BD180,IF($E$2=23.5,'S3'!BE180,IF($E$2=24.5,'S3'!BF180,IF($E$2=25.5,'S3'!BG180,IF($E$2=26.5,'S3'!BH180,IF($E$2=27.5,'S3'!BI180,IF($E$2=28.5,'S3'!BJ180,IF($E$2=29.5,'S3'!BK180,IF($E$2=30.5,'S3'!BL180,IF($E$2=31.5,'S3'!BM180,IF($E$2=32.5,'S3'!BN180,IF($E$2=33.5,'S3'!BO180)))))))))))))))))))</f>
        <v>283.43</v>
      </c>
      <c r="F180" s="437">
        <f t="shared" si="5"/>
        <v>396.8</v>
      </c>
    </row>
    <row r="181" spans="2:6" x14ac:dyDescent="0.45">
      <c r="B181" s="435">
        <v>177</v>
      </c>
      <c r="C181" s="436">
        <f>IF($C$2=34.5,'S3'!AD181,IF($C$2=35.5,'S3'!AF181,IF($C$2=36.5,'S3'!AH181,IF($C$2=37.5,'S3'!AJ181,IF($C$2=38.5,'S3'!AL181,IF($C$2=39.5,'S3'!AN181,IF($C$2=40.5,'S3'!AP181,IF($C$2=27.5,'S3'!P181,IF($C$2=28.5,'S3'!R181,IF($C$2=29.5,'S3'!T181,IF($C$2=30.5,'S3'!V181,IF($C$2=31.5,'S3'!Z181,IF($C$2=32.5,'S3'!Z181,IF($C$2=33.5,'S3'!AB181))))))))))))))</f>
        <v>455.95</v>
      </c>
      <c r="D181" s="436">
        <f>IF($C$2=34.5,'S3'!AE181,IF($C$2=35.5,'S3'!AG181,IF($C$2=36.5,'S3'!AI181,IF($C$2=37.5,'S3'!AK181,IF($C$2=38.5,'S3'!AM181,IF($C$2=39.5,'S3'!AO181,IF($C$2=40.5,'S3'!AQ181,IF($C$2=27.5,'S3'!Q181,IF($C$2=28.5,'S3'!S181,IF($C$2=29.5,'S3'!U181,IF($C$2=30.5,'S3'!W181,IF($C$2=31.5,'S3'!Y181,IF($C$2=32.5,'S3'!AA181,IF($C$2=33.5,'S3'!AC181))))))))))))))</f>
        <v>638.33000000000004</v>
      </c>
      <c r="E181" s="437">
        <f>IF($E$2=34.5,'S3'!BP181,IF($E$2=35.5,'S3'!BQ181,IF($E$2=36.5,'S3'!BR181,IF($E$2=37.5,'S3'!BS181,IF($E$2=38.5,'S3'!BT181,IF($E$2=39.5,'S3'!BU181,IF($E$2=40.5,'S3'!BV181,IF($E$2=22.5,'S3'!BD181,IF($E$2=23.5,'S3'!BE181,IF($E$2=24.5,'S3'!BF181,IF($E$2=25.5,'S3'!BG181,IF($E$2=26.5,'S3'!BH181,IF($E$2=27.5,'S3'!BI181,IF($E$2=28.5,'S3'!BJ181,IF($E$2=29.5,'S3'!BK181,IF($E$2=30.5,'S3'!BL181,IF($E$2=31.5,'S3'!BM181,IF($E$2=32.5,'S3'!BN181,IF($E$2=33.5,'S3'!BO181)))))))))))))))))))</f>
        <v>285.06</v>
      </c>
      <c r="F181" s="437">
        <f t="shared" si="5"/>
        <v>399.08</v>
      </c>
    </row>
    <row r="182" spans="2:6" x14ac:dyDescent="0.45">
      <c r="B182" s="435">
        <v>178</v>
      </c>
      <c r="C182" s="436">
        <f>IF($C$2=34.5,'S3'!AD182,IF($C$2=35.5,'S3'!AF182,IF($C$2=36.5,'S3'!AH182,IF($C$2=37.5,'S3'!AJ182,IF($C$2=38.5,'S3'!AL182,IF($C$2=39.5,'S3'!AN182,IF($C$2=40.5,'S3'!AP182,IF($C$2=27.5,'S3'!P182,IF($C$2=28.5,'S3'!R182,IF($C$2=29.5,'S3'!T182,IF($C$2=30.5,'S3'!V182,IF($C$2=31.5,'S3'!Z182,IF($C$2=32.5,'S3'!Z182,IF($C$2=33.5,'S3'!AB182))))))))))))))</f>
        <v>458.08</v>
      </c>
      <c r="D182" s="436">
        <f>IF($C$2=34.5,'S3'!AE182,IF($C$2=35.5,'S3'!AG182,IF($C$2=36.5,'S3'!AI182,IF($C$2=37.5,'S3'!AK182,IF($C$2=38.5,'S3'!AM182,IF($C$2=39.5,'S3'!AO182,IF($C$2=40.5,'S3'!AQ182,IF($C$2=27.5,'S3'!Q182,IF($C$2=28.5,'S3'!S182,IF($C$2=29.5,'S3'!U182,IF($C$2=30.5,'S3'!W182,IF($C$2=31.5,'S3'!Y182,IF($C$2=32.5,'S3'!AA182,IF($C$2=33.5,'S3'!AC182))))))))))))))</f>
        <v>641.30999999999995</v>
      </c>
      <c r="E182" s="437">
        <f>IF($E$2=34.5,'S3'!BP182,IF($E$2=35.5,'S3'!BQ182,IF($E$2=36.5,'S3'!BR182,IF($E$2=37.5,'S3'!BS182,IF($E$2=38.5,'S3'!BT182,IF($E$2=39.5,'S3'!BU182,IF($E$2=40.5,'S3'!BV182,IF($E$2=22.5,'S3'!BD182,IF($E$2=23.5,'S3'!BE182,IF($E$2=24.5,'S3'!BF182,IF($E$2=25.5,'S3'!BG182,IF($E$2=26.5,'S3'!BH182,IF($E$2=27.5,'S3'!BI182,IF($E$2=28.5,'S3'!BJ182,IF($E$2=29.5,'S3'!BK182,IF($E$2=30.5,'S3'!BL182,IF($E$2=31.5,'S3'!BM182,IF($E$2=32.5,'S3'!BN182,IF($E$2=33.5,'S3'!BO182)))))))))))))))))))</f>
        <v>286.69</v>
      </c>
      <c r="F182" s="437">
        <f t="shared" si="5"/>
        <v>401.37</v>
      </c>
    </row>
    <row r="183" spans="2:6" x14ac:dyDescent="0.45">
      <c r="B183" s="435">
        <v>179</v>
      </c>
      <c r="C183" s="436">
        <f>IF($C$2=34.5,'S3'!AD183,IF($C$2=35.5,'S3'!AF183,IF($C$2=36.5,'S3'!AH183,IF($C$2=37.5,'S3'!AJ183,IF($C$2=38.5,'S3'!AL183,IF($C$2=39.5,'S3'!AN183,IF($C$2=40.5,'S3'!AP183,IF($C$2=27.5,'S3'!P183,IF($C$2=28.5,'S3'!R183,IF($C$2=29.5,'S3'!T183,IF($C$2=30.5,'S3'!V183,IF($C$2=31.5,'S3'!Z183,IF($C$2=32.5,'S3'!Z183,IF($C$2=33.5,'S3'!AB183))))))))))))))</f>
        <v>460.73</v>
      </c>
      <c r="D183" s="436">
        <f>IF($C$2=34.5,'S3'!AE183,IF($C$2=35.5,'S3'!AG183,IF($C$2=36.5,'S3'!AI183,IF($C$2=37.5,'S3'!AK183,IF($C$2=38.5,'S3'!AM183,IF($C$2=39.5,'S3'!AO183,IF($C$2=40.5,'S3'!AQ183,IF($C$2=27.5,'S3'!Q183,IF($C$2=28.5,'S3'!S183,IF($C$2=29.5,'S3'!U183,IF($C$2=30.5,'S3'!W183,IF($C$2=31.5,'S3'!Y183,IF($C$2=32.5,'S3'!AA183,IF($C$2=33.5,'S3'!AC183))))))))))))))</f>
        <v>645.02</v>
      </c>
      <c r="E183" s="437">
        <f>IF($E$2=34.5,'S3'!BP183,IF($E$2=35.5,'S3'!BQ183,IF($E$2=36.5,'S3'!BR183,IF($E$2=37.5,'S3'!BS183,IF($E$2=38.5,'S3'!BT183,IF($E$2=39.5,'S3'!BU183,IF($E$2=40.5,'S3'!BV183,IF($E$2=22.5,'S3'!BD183,IF($E$2=23.5,'S3'!BE183,IF($E$2=24.5,'S3'!BF183,IF($E$2=25.5,'S3'!BG183,IF($E$2=26.5,'S3'!BH183,IF($E$2=27.5,'S3'!BI183,IF($E$2=28.5,'S3'!BJ183,IF($E$2=29.5,'S3'!BK183,IF($E$2=30.5,'S3'!BL183,IF($E$2=31.5,'S3'!BM183,IF($E$2=32.5,'S3'!BN183,IF($E$2=33.5,'S3'!BO183)))))))))))))))))))</f>
        <v>288.18</v>
      </c>
      <c r="F183" s="437">
        <f t="shared" si="5"/>
        <v>403.45</v>
      </c>
    </row>
    <row r="184" spans="2:6" x14ac:dyDescent="0.45">
      <c r="B184" s="435">
        <v>180</v>
      </c>
      <c r="C184" s="436">
        <f>IF($C$2=34.5,'S3'!AD184,IF($C$2=35.5,'S3'!AF184,IF($C$2=36.5,'S3'!AH184,IF($C$2=37.5,'S3'!AJ184,IF($C$2=38.5,'S3'!AL184,IF($C$2=39.5,'S3'!AN184,IF($C$2=40.5,'S3'!AP184,IF($C$2=27.5,'S3'!P184,IF($C$2=28.5,'S3'!R184,IF($C$2=29.5,'S3'!T184,IF($C$2=30.5,'S3'!V184,IF($C$2=31.5,'S3'!Z184,IF($C$2=32.5,'S3'!Z184,IF($C$2=33.5,'S3'!AB184))))))))))))))</f>
        <v>463.39</v>
      </c>
      <c r="D184" s="436">
        <f>IF($C$2=34.5,'S3'!AE184,IF($C$2=35.5,'S3'!AG184,IF($C$2=36.5,'S3'!AI184,IF($C$2=37.5,'S3'!AK184,IF($C$2=38.5,'S3'!AM184,IF($C$2=39.5,'S3'!AO184,IF($C$2=40.5,'S3'!AQ184,IF($C$2=27.5,'S3'!Q184,IF($C$2=28.5,'S3'!S184,IF($C$2=29.5,'S3'!U184,IF($C$2=30.5,'S3'!W184,IF($C$2=31.5,'S3'!Y184,IF($C$2=32.5,'S3'!AA184,IF($C$2=33.5,'S3'!AC184))))))))))))))</f>
        <v>648.75</v>
      </c>
      <c r="E184" s="437">
        <f>IF($E$2=34.5,'S3'!BP184,IF($E$2=35.5,'S3'!BQ184,IF($E$2=36.5,'S3'!BR184,IF($E$2=37.5,'S3'!BS184,IF($E$2=38.5,'S3'!BT184,IF($E$2=39.5,'S3'!BU184,IF($E$2=40.5,'S3'!BV184,IF($E$2=22.5,'S3'!BD184,IF($E$2=23.5,'S3'!BE184,IF($E$2=24.5,'S3'!BF184,IF($E$2=25.5,'S3'!BG184,IF($E$2=26.5,'S3'!BH184,IF($E$2=27.5,'S3'!BI184,IF($E$2=28.5,'S3'!BJ184,IF($E$2=29.5,'S3'!BK184,IF($E$2=30.5,'S3'!BL184,IF($E$2=31.5,'S3'!BM184,IF($E$2=32.5,'S3'!BN184,IF($E$2=33.5,'S3'!BO184)))))))))))))))))))</f>
        <v>289.82</v>
      </c>
      <c r="F184" s="437">
        <f t="shared" si="5"/>
        <v>405.75</v>
      </c>
    </row>
    <row r="185" spans="2:6" x14ac:dyDescent="0.45">
      <c r="B185" s="435">
        <v>181</v>
      </c>
      <c r="C185" s="436">
        <f>IF($C$2=34.5,'S3'!AD185,IF($C$2=35.5,'S3'!AF185,IF($C$2=36.5,'S3'!AH185,IF($C$2=37.5,'S3'!AJ185,IF($C$2=38.5,'S3'!AL185,IF($C$2=39.5,'S3'!AN185,IF($C$2=40.5,'S3'!AP185,IF($C$2=27.5,'S3'!P185,IF($C$2=28.5,'S3'!R185,IF($C$2=29.5,'S3'!T185,IF($C$2=30.5,'S3'!V185,IF($C$2=31.5,'S3'!Z185,IF($C$2=32.5,'S3'!Z185,IF($C$2=33.5,'S3'!AB185))))))))))))))</f>
        <v>466.06</v>
      </c>
      <c r="D185" s="436">
        <f>IF($C$2=34.5,'S3'!AE185,IF($C$2=35.5,'S3'!AG185,IF($C$2=36.5,'S3'!AI185,IF($C$2=37.5,'S3'!AK185,IF($C$2=38.5,'S3'!AM185,IF($C$2=39.5,'S3'!AO185,IF($C$2=40.5,'S3'!AQ185,IF($C$2=27.5,'S3'!Q185,IF($C$2=28.5,'S3'!S185,IF($C$2=29.5,'S3'!U185,IF($C$2=30.5,'S3'!W185,IF($C$2=31.5,'S3'!Y185,IF($C$2=32.5,'S3'!AA185,IF($C$2=33.5,'S3'!AC185))))))))))))))</f>
        <v>652.48</v>
      </c>
      <c r="E185" s="437">
        <f>IF($E$2=34.5,'S3'!BP185,IF($E$2=35.5,'S3'!BQ185,IF($E$2=36.5,'S3'!BR185,IF($E$2=37.5,'S3'!BS185,IF($E$2=38.5,'S3'!BT185,IF($E$2=39.5,'S3'!BU185,IF($E$2=40.5,'S3'!BV185,IF($E$2=22.5,'S3'!BD185,IF($E$2=23.5,'S3'!BE185,IF($E$2=24.5,'S3'!BF185,IF($E$2=25.5,'S3'!BG185,IF($E$2=26.5,'S3'!BH185,IF($E$2=27.5,'S3'!BI185,IF($E$2=28.5,'S3'!BJ185,IF($E$2=29.5,'S3'!BK185,IF($E$2=30.5,'S3'!BL185,IF($E$2=31.5,'S3'!BM185,IF($E$2=32.5,'S3'!BN185,IF($E$2=33.5,'S3'!BO185)))))))))))))))))))</f>
        <v>291.45</v>
      </c>
      <c r="F185" s="437">
        <f t="shared" si="5"/>
        <v>408.03</v>
      </c>
    </row>
    <row r="186" spans="2:6" x14ac:dyDescent="0.45">
      <c r="B186" s="435">
        <v>182</v>
      </c>
      <c r="C186" s="436">
        <f>IF($C$2=34.5,'S3'!AD186,IF($C$2=35.5,'S3'!AF186,IF($C$2=36.5,'S3'!AH186,IF($C$2=37.5,'S3'!AJ186,IF($C$2=38.5,'S3'!AL186,IF($C$2=39.5,'S3'!AN186,IF($C$2=40.5,'S3'!AP186,IF($C$2=27.5,'S3'!P186,IF($C$2=28.5,'S3'!R186,IF($C$2=29.5,'S3'!T186,IF($C$2=30.5,'S3'!V186,IF($C$2=31.5,'S3'!Z186,IF($C$2=32.5,'S3'!Z186,IF($C$2=33.5,'S3'!AB186))))))))))))))</f>
        <v>468.73</v>
      </c>
      <c r="D186" s="436">
        <f>IF($C$2=34.5,'S3'!AE186,IF($C$2=35.5,'S3'!AG186,IF($C$2=36.5,'S3'!AI186,IF($C$2=37.5,'S3'!AK186,IF($C$2=38.5,'S3'!AM186,IF($C$2=39.5,'S3'!AO186,IF($C$2=40.5,'S3'!AQ186,IF($C$2=27.5,'S3'!Q186,IF($C$2=28.5,'S3'!S186,IF($C$2=29.5,'S3'!U186,IF($C$2=30.5,'S3'!W186,IF($C$2=31.5,'S3'!Y186,IF($C$2=32.5,'S3'!AA186,IF($C$2=33.5,'S3'!AC186))))))))))))))</f>
        <v>656.22</v>
      </c>
      <c r="E186" s="437">
        <f>IF($E$2=34.5,'S3'!BP186,IF($E$2=35.5,'S3'!BQ186,IF($E$2=36.5,'S3'!BR186,IF($E$2=37.5,'S3'!BS186,IF($E$2=38.5,'S3'!BT186,IF($E$2=39.5,'S3'!BU186,IF($E$2=40.5,'S3'!BV186,IF($E$2=22.5,'S3'!BD186,IF($E$2=23.5,'S3'!BE186,IF($E$2=24.5,'S3'!BF186,IF($E$2=25.5,'S3'!BG186,IF($E$2=26.5,'S3'!BH186,IF($E$2=27.5,'S3'!BI186,IF($E$2=28.5,'S3'!BJ186,IF($E$2=29.5,'S3'!BK186,IF($E$2=30.5,'S3'!BL186,IF($E$2=31.5,'S3'!BM186,IF($E$2=32.5,'S3'!BN186,IF($E$2=33.5,'S3'!BO186)))))))))))))))))))</f>
        <v>293.08999999999997</v>
      </c>
      <c r="F186" s="437">
        <f t="shared" si="5"/>
        <v>410.33</v>
      </c>
    </row>
    <row r="187" spans="2:6" x14ac:dyDescent="0.45">
      <c r="B187" s="435">
        <v>183</v>
      </c>
      <c r="C187" s="436">
        <f>IF($C$2=34.5,'S3'!AD187,IF($C$2=35.5,'S3'!AF187,IF($C$2=36.5,'S3'!AH187,IF($C$2=37.5,'S3'!AJ187,IF($C$2=38.5,'S3'!AL187,IF($C$2=39.5,'S3'!AN187,IF($C$2=40.5,'S3'!AP187,IF($C$2=27.5,'S3'!P187,IF($C$2=28.5,'S3'!R187,IF($C$2=29.5,'S3'!T187,IF($C$2=30.5,'S3'!V187,IF($C$2=31.5,'S3'!Z187,IF($C$2=32.5,'S3'!Z187,IF($C$2=33.5,'S3'!AB187))))))))))))))</f>
        <v>471.41</v>
      </c>
      <c r="D187" s="436">
        <f>IF($C$2=34.5,'S3'!AE187,IF($C$2=35.5,'S3'!AG187,IF($C$2=36.5,'S3'!AI187,IF($C$2=37.5,'S3'!AK187,IF($C$2=38.5,'S3'!AM187,IF($C$2=39.5,'S3'!AO187,IF($C$2=40.5,'S3'!AQ187,IF($C$2=27.5,'S3'!Q187,IF($C$2=28.5,'S3'!S187,IF($C$2=29.5,'S3'!U187,IF($C$2=30.5,'S3'!W187,IF($C$2=31.5,'S3'!Y187,IF($C$2=32.5,'S3'!AA187,IF($C$2=33.5,'S3'!AC187))))))))))))))</f>
        <v>659.97</v>
      </c>
      <c r="E187" s="437">
        <f>IF($E$2=34.5,'S3'!BP187,IF($E$2=35.5,'S3'!BQ187,IF($E$2=36.5,'S3'!BR187,IF($E$2=37.5,'S3'!BS187,IF($E$2=38.5,'S3'!BT187,IF($E$2=39.5,'S3'!BU187,IF($E$2=40.5,'S3'!BV187,IF($E$2=22.5,'S3'!BD187,IF($E$2=23.5,'S3'!BE187,IF($E$2=24.5,'S3'!BF187,IF($E$2=25.5,'S3'!BG187,IF($E$2=26.5,'S3'!BH187,IF($E$2=27.5,'S3'!BI187,IF($E$2=28.5,'S3'!BJ187,IF($E$2=29.5,'S3'!BK187,IF($E$2=30.5,'S3'!BL187,IF($E$2=31.5,'S3'!BM187,IF($E$2=32.5,'S3'!BN187,IF($E$2=33.5,'S3'!BO187)))))))))))))))))))</f>
        <v>294.73</v>
      </c>
      <c r="F187" s="437">
        <f t="shared" si="5"/>
        <v>412.62</v>
      </c>
    </row>
    <row r="188" spans="2:6" x14ac:dyDescent="0.45">
      <c r="B188" s="435">
        <v>184</v>
      </c>
      <c r="C188" s="436">
        <f>IF($C$2=34.5,'S3'!AD188,IF($C$2=35.5,'S3'!AF188,IF($C$2=36.5,'S3'!AH188,IF($C$2=37.5,'S3'!AJ188,IF($C$2=38.5,'S3'!AL188,IF($C$2=39.5,'S3'!AN188,IF($C$2=40.5,'S3'!AP188,IF($C$2=27.5,'S3'!P188,IF($C$2=28.5,'S3'!R188,IF($C$2=29.5,'S3'!T188,IF($C$2=30.5,'S3'!V188,IF($C$2=31.5,'S3'!Z188,IF($C$2=32.5,'S3'!Z188,IF($C$2=33.5,'S3'!AB188))))))))))))))</f>
        <v>473.54</v>
      </c>
      <c r="D188" s="436">
        <f>IF($C$2=34.5,'S3'!AE188,IF($C$2=35.5,'S3'!AG188,IF($C$2=36.5,'S3'!AI188,IF($C$2=37.5,'S3'!AK188,IF($C$2=38.5,'S3'!AM188,IF($C$2=39.5,'S3'!AO188,IF($C$2=40.5,'S3'!AQ188,IF($C$2=27.5,'S3'!Q188,IF($C$2=28.5,'S3'!S188,IF($C$2=29.5,'S3'!U188,IF($C$2=30.5,'S3'!W188,IF($C$2=31.5,'S3'!Y188,IF($C$2=32.5,'S3'!AA188,IF($C$2=33.5,'S3'!AC188))))))))))))))</f>
        <v>662.96</v>
      </c>
      <c r="E188" s="437">
        <f>IF($E$2=34.5,'S3'!BP188,IF($E$2=35.5,'S3'!BQ188,IF($E$2=36.5,'S3'!BR188,IF($E$2=37.5,'S3'!BS188,IF($E$2=38.5,'S3'!BT188,IF($E$2=39.5,'S3'!BU188,IF($E$2=40.5,'S3'!BV188,IF($E$2=22.5,'S3'!BD188,IF($E$2=23.5,'S3'!BE188,IF($E$2=24.5,'S3'!BF188,IF($E$2=25.5,'S3'!BG188,IF($E$2=26.5,'S3'!BH188,IF($E$2=27.5,'S3'!BI188,IF($E$2=28.5,'S3'!BJ188,IF($E$2=29.5,'S3'!BK188,IF($E$2=30.5,'S3'!BL188,IF($E$2=31.5,'S3'!BM188,IF($E$2=32.5,'S3'!BN188,IF($E$2=33.5,'S3'!BO188)))))))))))))))))))</f>
        <v>296.23</v>
      </c>
      <c r="F188" s="437">
        <f t="shared" si="5"/>
        <v>414.72</v>
      </c>
    </row>
    <row r="189" spans="2:6" x14ac:dyDescent="0.45">
      <c r="B189" s="435">
        <v>185</v>
      </c>
      <c r="C189" s="436">
        <f>IF($C$2=34.5,'S3'!AD189,IF($C$2=35.5,'S3'!AF189,IF($C$2=36.5,'S3'!AH189,IF($C$2=37.5,'S3'!AJ189,IF($C$2=38.5,'S3'!AL189,IF($C$2=39.5,'S3'!AN189,IF($C$2=40.5,'S3'!AP189,IF($C$2=27.5,'S3'!P189,IF($C$2=28.5,'S3'!R189,IF($C$2=29.5,'S3'!T189,IF($C$2=30.5,'S3'!V189,IF($C$2=31.5,'S3'!Z189,IF($C$2=32.5,'S3'!Z189,IF($C$2=33.5,'S3'!AB189))))))))))))))</f>
        <v>476.23</v>
      </c>
      <c r="D189" s="436">
        <f>IF($C$2=34.5,'S3'!AE189,IF($C$2=35.5,'S3'!AG189,IF($C$2=36.5,'S3'!AI189,IF($C$2=37.5,'S3'!AK189,IF($C$2=38.5,'S3'!AM189,IF($C$2=39.5,'S3'!AO189,IF($C$2=40.5,'S3'!AQ189,IF($C$2=27.5,'S3'!Q189,IF($C$2=28.5,'S3'!S189,IF($C$2=29.5,'S3'!U189,IF($C$2=30.5,'S3'!W189,IF($C$2=31.5,'S3'!Y189,IF($C$2=32.5,'S3'!AA189,IF($C$2=33.5,'S3'!AC189))))))))))))))</f>
        <v>666.72</v>
      </c>
      <c r="E189" s="437">
        <f>IF($E$2=34.5,'S3'!BP189,IF($E$2=35.5,'S3'!BQ189,IF($E$2=36.5,'S3'!BR189,IF($E$2=37.5,'S3'!BS189,IF($E$2=38.5,'S3'!BT189,IF($E$2=39.5,'S3'!BU189,IF($E$2=40.5,'S3'!BV189,IF($E$2=22.5,'S3'!BD189,IF($E$2=23.5,'S3'!BE189,IF($E$2=24.5,'S3'!BF189,IF($E$2=25.5,'S3'!BG189,IF($E$2=26.5,'S3'!BH189,IF($E$2=27.5,'S3'!BI189,IF($E$2=28.5,'S3'!BJ189,IF($E$2=29.5,'S3'!BK189,IF($E$2=30.5,'S3'!BL189,IF($E$2=31.5,'S3'!BM189,IF($E$2=32.5,'S3'!BN189,IF($E$2=33.5,'S3'!BO189)))))))))))))))))))</f>
        <v>297.87</v>
      </c>
      <c r="F189" s="437">
        <f t="shared" si="5"/>
        <v>417.02</v>
      </c>
    </row>
    <row r="190" spans="2:6" x14ac:dyDescent="0.45">
      <c r="B190" s="435">
        <v>186</v>
      </c>
      <c r="C190" s="436">
        <f>IF($C$2=34.5,'S3'!AD190,IF($C$2=35.5,'S3'!AF190,IF($C$2=36.5,'S3'!AH190,IF($C$2=37.5,'S3'!AJ190,IF($C$2=38.5,'S3'!AL190,IF($C$2=39.5,'S3'!AN190,IF($C$2=40.5,'S3'!AP190,IF($C$2=27.5,'S3'!P190,IF($C$2=28.5,'S3'!R190,IF($C$2=29.5,'S3'!T190,IF($C$2=30.5,'S3'!V190,IF($C$2=31.5,'S3'!Z190,IF($C$2=32.5,'S3'!Z190,IF($C$2=33.5,'S3'!AB190))))))))))))))</f>
        <v>478.93</v>
      </c>
      <c r="D190" s="436">
        <f>IF($C$2=34.5,'S3'!AE190,IF($C$2=35.5,'S3'!AG190,IF($C$2=36.5,'S3'!AI190,IF($C$2=37.5,'S3'!AK190,IF($C$2=38.5,'S3'!AM190,IF($C$2=39.5,'S3'!AO190,IF($C$2=40.5,'S3'!AQ190,IF($C$2=27.5,'S3'!Q190,IF($C$2=28.5,'S3'!S190,IF($C$2=29.5,'S3'!U190,IF($C$2=30.5,'S3'!W190,IF($C$2=31.5,'S3'!Y190,IF($C$2=32.5,'S3'!AA190,IF($C$2=33.5,'S3'!AC190))))))))))))))</f>
        <v>670.5</v>
      </c>
      <c r="E190" s="437">
        <f>IF($E$2=34.5,'S3'!BP190,IF($E$2=35.5,'S3'!BQ190,IF($E$2=36.5,'S3'!BR190,IF($E$2=37.5,'S3'!BS190,IF($E$2=38.5,'S3'!BT190,IF($E$2=39.5,'S3'!BU190,IF($E$2=40.5,'S3'!BV190,IF($E$2=22.5,'S3'!BD190,IF($E$2=23.5,'S3'!BE190,IF($E$2=24.5,'S3'!BF190,IF($E$2=25.5,'S3'!BG190,IF($E$2=26.5,'S3'!BH190,IF($E$2=27.5,'S3'!BI190,IF($E$2=28.5,'S3'!BJ190,IF($E$2=29.5,'S3'!BK190,IF($E$2=30.5,'S3'!BL190,IF($E$2=31.5,'S3'!BM190,IF($E$2=32.5,'S3'!BN190,IF($E$2=33.5,'S3'!BO190)))))))))))))))))))</f>
        <v>299.51</v>
      </c>
      <c r="F190" s="437">
        <f t="shared" si="5"/>
        <v>419.31</v>
      </c>
    </row>
    <row r="191" spans="2:6" x14ac:dyDescent="0.45">
      <c r="B191" s="435">
        <v>187</v>
      </c>
      <c r="C191" s="436">
        <f>IF($C$2=34.5,'S3'!AD191,IF($C$2=35.5,'S3'!AF191,IF($C$2=36.5,'S3'!AH191,IF($C$2=37.5,'S3'!AJ191,IF($C$2=38.5,'S3'!AL191,IF($C$2=39.5,'S3'!AN191,IF($C$2=40.5,'S3'!AP191,IF($C$2=27.5,'S3'!P191,IF($C$2=28.5,'S3'!R191,IF($C$2=29.5,'S3'!T191,IF($C$2=30.5,'S3'!V191,IF($C$2=31.5,'S3'!Z191,IF($C$2=32.5,'S3'!Z191,IF($C$2=33.5,'S3'!AB191))))))))))))))</f>
        <v>481.63</v>
      </c>
      <c r="D191" s="436">
        <f>IF($C$2=34.5,'S3'!AE191,IF($C$2=35.5,'S3'!AG191,IF($C$2=36.5,'S3'!AI191,IF($C$2=37.5,'S3'!AK191,IF($C$2=38.5,'S3'!AM191,IF($C$2=39.5,'S3'!AO191,IF($C$2=40.5,'S3'!AQ191,IF($C$2=27.5,'S3'!Q191,IF($C$2=28.5,'S3'!S191,IF($C$2=29.5,'S3'!U191,IF($C$2=30.5,'S3'!W191,IF($C$2=31.5,'S3'!Y191,IF($C$2=32.5,'S3'!AA191,IF($C$2=33.5,'S3'!AC191))))))))))))))</f>
        <v>674.28</v>
      </c>
      <c r="E191" s="437">
        <f>IF($E$2=34.5,'S3'!BP191,IF($E$2=35.5,'S3'!BQ191,IF($E$2=36.5,'S3'!BR191,IF($E$2=37.5,'S3'!BS191,IF($E$2=38.5,'S3'!BT191,IF($E$2=39.5,'S3'!BU191,IF($E$2=40.5,'S3'!BV191,IF($E$2=22.5,'S3'!BD191,IF($E$2=23.5,'S3'!BE191,IF($E$2=24.5,'S3'!BF191,IF($E$2=25.5,'S3'!BG191,IF($E$2=26.5,'S3'!BH191,IF($E$2=27.5,'S3'!BI191,IF($E$2=28.5,'S3'!BJ191,IF($E$2=29.5,'S3'!BK191,IF($E$2=30.5,'S3'!BL191,IF($E$2=31.5,'S3'!BM191,IF($E$2=32.5,'S3'!BN191,IF($E$2=33.5,'S3'!BO191)))))))))))))))))))</f>
        <v>301.16000000000003</v>
      </c>
      <c r="F191" s="437">
        <f t="shared" si="5"/>
        <v>421.62</v>
      </c>
    </row>
    <row r="192" spans="2:6" x14ac:dyDescent="0.45">
      <c r="B192" s="435">
        <v>188</v>
      </c>
      <c r="C192" s="436">
        <f>IF($C$2=34.5,'S3'!AD192,IF($C$2=35.5,'S3'!AF192,IF($C$2=36.5,'S3'!AH192,IF($C$2=37.5,'S3'!AJ192,IF($C$2=38.5,'S3'!AL192,IF($C$2=39.5,'S3'!AN192,IF($C$2=40.5,'S3'!AP192,IF($C$2=27.5,'S3'!P192,IF($C$2=28.5,'S3'!R192,IF($C$2=29.5,'S3'!T192,IF($C$2=30.5,'S3'!V192,IF($C$2=31.5,'S3'!Z192,IF($C$2=32.5,'S3'!Z192,IF($C$2=33.5,'S3'!AB192))))))))))))))</f>
        <v>483.76</v>
      </c>
      <c r="D192" s="436">
        <f>IF($C$2=34.5,'S3'!AE192,IF($C$2=35.5,'S3'!AG192,IF($C$2=36.5,'S3'!AI192,IF($C$2=37.5,'S3'!AK192,IF($C$2=38.5,'S3'!AM192,IF($C$2=39.5,'S3'!AO192,IF($C$2=40.5,'S3'!AQ192,IF($C$2=27.5,'S3'!Q192,IF($C$2=28.5,'S3'!S192,IF($C$2=29.5,'S3'!U192,IF($C$2=30.5,'S3'!W192,IF($C$2=31.5,'S3'!Y192,IF($C$2=32.5,'S3'!AA192,IF($C$2=33.5,'S3'!AC192))))))))))))))</f>
        <v>677.26</v>
      </c>
      <c r="E192" s="437">
        <f>IF($E$2=34.5,'S3'!BP192,IF($E$2=35.5,'S3'!BQ192,IF($E$2=36.5,'S3'!BR192,IF($E$2=37.5,'S3'!BS192,IF($E$2=38.5,'S3'!BT192,IF($E$2=39.5,'S3'!BU192,IF($E$2=40.5,'S3'!BV192,IF($E$2=22.5,'S3'!BD192,IF($E$2=23.5,'S3'!BE192,IF($E$2=24.5,'S3'!BF192,IF($E$2=25.5,'S3'!BG192,IF($E$2=26.5,'S3'!BH192,IF($E$2=27.5,'S3'!BI192,IF($E$2=28.5,'S3'!BJ192,IF($E$2=29.5,'S3'!BK192,IF($E$2=30.5,'S3'!BL192,IF($E$2=31.5,'S3'!BM192,IF($E$2=32.5,'S3'!BN192,IF($E$2=33.5,'S3'!BO192)))))))))))))))))))</f>
        <v>302.64999999999998</v>
      </c>
      <c r="F192" s="437">
        <f t="shared" si="5"/>
        <v>423.71</v>
      </c>
    </row>
    <row r="193" spans="2:6" x14ac:dyDescent="0.45">
      <c r="B193" s="435">
        <v>189</v>
      </c>
      <c r="C193" s="436">
        <f>IF($C$2=34.5,'S3'!AD193,IF($C$2=35.5,'S3'!AF193,IF($C$2=36.5,'S3'!AH193,IF($C$2=37.5,'S3'!AJ193,IF($C$2=38.5,'S3'!AL193,IF($C$2=39.5,'S3'!AN193,IF($C$2=40.5,'S3'!AP193,IF($C$2=27.5,'S3'!P193,IF($C$2=28.5,'S3'!R193,IF($C$2=29.5,'S3'!T193,IF($C$2=30.5,'S3'!V193,IF($C$2=31.5,'S3'!Z193,IF($C$2=32.5,'S3'!Z193,IF($C$2=33.5,'S3'!AB193))))))))))))))</f>
        <v>486.47</v>
      </c>
      <c r="D193" s="436">
        <f>IF($C$2=34.5,'S3'!AE193,IF($C$2=35.5,'S3'!AG193,IF($C$2=36.5,'S3'!AI193,IF($C$2=37.5,'S3'!AK193,IF($C$2=38.5,'S3'!AM193,IF($C$2=39.5,'S3'!AO193,IF($C$2=40.5,'S3'!AQ193,IF($C$2=27.5,'S3'!Q193,IF($C$2=28.5,'S3'!S193,IF($C$2=29.5,'S3'!U193,IF($C$2=30.5,'S3'!W193,IF($C$2=31.5,'S3'!Y193,IF($C$2=32.5,'S3'!AA193,IF($C$2=33.5,'S3'!AC193))))))))))))))</f>
        <v>681.06</v>
      </c>
      <c r="E193" s="437">
        <f>IF($E$2=34.5,'S3'!BP193,IF($E$2=35.5,'S3'!BQ193,IF($E$2=36.5,'S3'!BR193,IF($E$2=37.5,'S3'!BS193,IF($E$2=38.5,'S3'!BT193,IF($E$2=39.5,'S3'!BU193,IF($E$2=40.5,'S3'!BV193,IF($E$2=22.5,'S3'!BD193,IF($E$2=23.5,'S3'!BE193,IF($E$2=24.5,'S3'!BF193,IF($E$2=25.5,'S3'!BG193,IF($E$2=26.5,'S3'!BH193,IF($E$2=27.5,'S3'!BI193,IF($E$2=28.5,'S3'!BJ193,IF($E$2=29.5,'S3'!BK193,IF($E$2=30.5,'S3'!BL193,IF($E$2=31.5,'S3'!BM193,IF($E$2=32.5,'S3'!BN193,IF($E$2=33.5,'S3'!BO193)))))))))))))))))))</f>
        <v>304.3</v>
      </c>
      <c r="F193" s="437">
        <f t="shared" si="5"/>
        <v>426.02</v>
      </c>
    </row>
    <row r="194" spans="2:6" x14ac:dyDescent="0.45">
      <c r="B194" s="435">
        <v>190</v>
      </c>
      <c r="C194" s="436">
        <f>IF($C$2=34.5,'S3'!AD194,IF($C$2=35.5,'S3'!AF194,IF($C$2=36.5,'S3'!AH194,IF($C$2=37.5,'S3'!AJ194,IF($C$2=38.5,'S3'!AL194,IF($C$2=39.5,'S3'!AN194,IF($C$2=40.5,'S3'!AP194,IF($C$2=27.5,'S3'!P194,IF($C$2=28.5,'S3'!R194,IF($C$2=29.5,'S3'!T194,IF($C$2=30.5,'S3'!V194,IF($C$2=31.5,'S3'!Z194,IF($C$2=32.5,'S3'!Z194,IF($C$2=33.5,'S3'!AB194))))))))))))))</f>
        <v>489.2</v>
      </c>
      <c r="D194" s="436">
        <f>IF($C$2=34.5,'S3'!AE194,IF($C$2=35.5,'S3'!AG194,IF($C$2=36.5,'S3'!AI194,IF($C$2=37.5,'S3'!AK194,IF($C$2=38.5,'S3'!AM194,IF($C$2=39.5,'S3'!AO194,IF($C$2=40.5,'S3'!AQ194,IF($C$2=27.5,'S3'!Q194,IF($C$2=28.5,'S3'!S194,IF($C$2=29.5,'S3'!U194,IF($C$2=30.5,'S3'!W194,IF($C$2=31.5,'S3'!Y194,IF($C$2=32.5,'S3'!AA194,IF($C$2=33.5,'S3'!AC194))))))))))))))</f>
        <v>684.88</v>
      </c>
      <c r="E194" s="437">
        <f>IF($E$2=34.5,'S3'!BP194,IF($E$2=35.5,'S3'!BQ194,IF($E$2=36.5,'S3'!BR194,IF($E$2=37.5,'S3'!BS194,IF($E$2=38.5,'S3'!BT194,IF($E$2=39.5,'S3'!BU194,IF($E$2=40.5,'S3'!BV194,IF($E$2=22.5,'S3'!BD194,IF($E$2=23.5,'S3'!BE194,IF($E$2=24.5,'S3'!BF194,IF($E$2=25.5,'S3'!BG194,IF($E$2=26.5,'S3'!BH194,IF($E$2=27.5,'S3'!BI194,IF($E$2=28.5,'S3'!BJ194,IF($E$2=29.5,'S3'!BK194,IF($E$2=30.5,'S3'!BL194,IF($E$2=31.5,'S3'!BM194,IF($E$2=32.5,'S3'!BN194,IF($E$2=33.5,'S3'!BO194)))))))))))))))))))</f>
        <v>305.95</v>
      </c>
      <c r="F194" s="437">
        <f t="shared" si="5"/>
        <v>428.33</v>
      </c>
    </row>
    <row r="195" spans="2:6" x14ac:dyDescent="0.45">
      <c r="B195" s="435">
        <v>191</v>
      </c>
      <c r="C195" s="436">
        <f>IF($C$2=34.5,'S3'!AD195,IF($C$2=35.5,'S3'!AF195,IF($C$2=36.5,'S3'!AH195,IF($C$2=37.5,'S3'!AJ195,IF($C$2=38.5,'S3'!AL195,IF($C$2=39.5,'S3'!AN195,IF($C$2=40.5,'S3'!AP195,IF($C$2=27.5,'S3'!P195,IF($C$2=28.5,'S3'!R195,IF($C$2=29.5,'S3'!T195,IF($C$2=30.5,'S3'!V195,IF($C$2=31.5,'S3'!Z195,IF($C$2=32.5,'S3'!Z195,IF($C$2=33.5,'S3'!AB195))))))))))))))</f>
        <v>491.93</v>
      </c>
      <c r="D195" s="436">
        <f>IF($C$2=34.5,'S3'!AE195,IF($C$2=35.5,'S3'!AG195,IF($C$2=36.5,'S3'!AI195,IF($C$2=37.5,'S3'!AK195,IF($C$2=38.5,'S3'!AM195,IF($C$2=39.5,'S3'!AO195,IF($C$2=40.5,'S3'!AQ195,IF($C$2=27.5,'S3'!Q195,IF($C$2=28.5,'S3'!S195,IF($C$2=29.5,'S3'!U195,IF($C$2=30.5,'S3'!W195,IF($C$2=31.5,'S3'!Y195,IF($C$2=32.5,'S3'!AA195,IF($C$2=33.5,'S3'!AC195))))))))))))))</f>
        <v>688.7</v>
      </c>
      <c r="E195" s="437">
        <f>IF($E$2=34.5,'S3'!BP195,IF($E$2=35.5,'S3'!BQ195,IF($E$2=36.5,'S3'!BR195,IF($E$2=37.5,'S3'!BS195,IF($E$2=38.5,'S3'!BT195,IF($E$2=39.5,'S3'!BU195,IF($E$2=40.5,'S3'!BV195,IF($E$2=22.5,'S3'!BD195,IF($E$2=23.5,'S3'!BE195,IF($E$2=24.5,'S3'!BF195,IF($E$2=25.5,'S3'!BG195,IF($E$2=26.5,'S3'!BH195,IF($E$2=27.5,'S3'!BI195,IF($E$2=28.5,'S3'!BJ195,IF($E$2=29.5,'S3'!BK195,IF($E$2=30.5,'S3'!BL195,IF($E$2=31.5,'S3'!BM195,IF($E$2=32.5,'S3'!BN195,IF($E$2=33.5,'S3'!BO195)))))))))))))))))))</f>
        <v>307.61</v>
      </c>
      <c r="F195" s="437">
        <f t="shared" si="5"/>
        <v>430.65</v>
      </c>
    </row>
    <row r="196" spans="2:6" x14ac:dyDescent="0.45">
      <c r="B196" s="435">
        <v>192</v>
      </c>
      <c r="C196" s="436">
        <f>IF($C$2=34.5,'S3'!AD196,IF($C$2=35.5,'S3'!AF196,IF($C$2=36.5,'S3'!AH196,IF($C$2=37.5,'S3'!AJ196,IF($C$2=38.5,'S3'!AL196,IF($C$2=39.5,'S3'!AN196,IF($C$2=40.5,'S3'!AP196,IF($C$2=27.5,'S3'!P196,IF($C$2=28.5,'S3'!R196,IF($C$2=29.5,'S3'!T196,IF($C$2=30.5,'S3'!V196,IF($C$2=31.5,'S3'!Z196,IF($C$2=32.5,'S3'!Z196,IF($C$2=33.5,'S3'!AB196))))))))))))))</f>
        <v>494.05</v>
      </c>
      <c r="D196" s="436">
        <f>IF($C$2=34.5,'S3'!AE196,IF($C$2=35.5,'S3'!AG196,IF($C$2=36.5,'S3'!AI196,IF($C$2=37.5,'S3'!AK196,IF($C$2=38.5,'S3'!AM196,IF($C$2=39.5,'S3'!AO196,IF($C$2=40.5,'S3'!AQ196,IF($C$2=27.5,'S3'!Q196,IF($C$2=28.5,'S3'!S196,IF($C$2=29.5,'S3'!U196,IF($C$2=30.5,'S3'!W196,IF($C$2=31.5,'S3'!Y196,IF($C$2=32.5,'S3'!AA196,IF($C$2=33.5,'S3'!AC196))))))))))))))</f>
        <v>691.67</v>
      </c>
      <c r="E196" s="437">
        <f>IF($E$2=34.5,'S3'!BP196,IF($E$2=35.5,'S3'!BQ196,IF($E$2=36.5,'S3'!BR196,IF($E$2=37.5,'S3'!BS196,IF($E$2=38.5,'S3'!BT196,IF($E$2=39.5,'S3'!BU196,IF($E$2=40.5,'S3'!BV196,IF($E$2=22.5,'S3'!BD196,IF($E$2=23.5,'S3'!BE196,IF($E$2=24.5,'S3'!BF196,IF($E$2=25.5,'S3'!BG196,IF($E$2=26.5,'S3'!BH196,IF($E$2=27.5,'S3'!BI196,IF($E$2=28.5,'S3'!BJ196,IF($E$2=29.5,'S3'!BK196,IF($E$2=30.5,'S3'!BL196,IF($E$2=31.5,'S3'!BM196,IF($E$2=32.5,'S3'!BN196,IF($E$2=33.5,'S3'!BO196)))))))))))))))))))</f>
        <v>309.10000000000002</v>
      </c>
      <c r="F196" s="437">
        <f t="shared" si="5"/>
        <v>432.74</v>
      </c>
    </row>
    <row r="197" spans="2:6" x14ac:dyDescent="0.45">
      <c r="B197" s="435">
        <v>193</v>
      </c>
      <c r="C197" s="436">
        <f>IF($C$2=34.5,'S3'!AD197,IF($C$2=35.5,'S3'!AF197,IF($C$2=36.5,'S3'!AH197,IF($C$2=37.5,'S3'!AJ197,IF($C$2=38.5,'S3'!AL197,IF($C$2=39.5,'S3'!AN197,IF($C$2=40.5,'S3'!AP197,IF($C$2=27.5,'S3'!P197,IF($C$2=28.5,'S3'!R197,IF($C$2=29.5,'S3'!T197,IF($C$2=30.5,'S3'!V197,IF($C$2=31.5,'S3'!Z197,IF($C$2=32.5,'S3'!Z197,IF($C$2=33.5,'S3'!AB197))))))))))))))</f>
        <v>496.79</v>
      </c>
      <c r="D197" s="436">
        <f>IF($C$2=34.5,'S3'!AE197,IF($C$2=35.5,'S3'!AG197,IF($C$2=36.5,'S3'!AI197,IF($C$2=37.5,'S3'!AK197,IF($C$2=38.5,'S3'!AM197,IF($C$2=39.5,'S3'!AO197,IF($C$2=40.5,'S3'!AQ197,IF($C$2=27.5,'S3'!Q197,IF($C$2=28.5,'S3'!S197,IF($C$2=29.5,'S3'!U197,IF($C$2=30.5,'S3'!W197,IF($C$2=31.5,'S3'!Y197,IF($C$2=32.5,'S3'!AA197,IF($C$2=33.5,'S3'!AC197))))))))))))))</f>
        <v>695.51</v>
      </c>
      <c r="E197" s="437">
        <f>IF($E$2=34.5,'S3'!BP197,IF($E$2=35.5,'S3'!BQ197,IF($E$2=36.5,'S3'!BR197,IF($E$2=37.5,'S3'!BS197,IF($E$2=38.5,'S3'!BT197,IF($E$2=39.5,'S3'!BU197,IF($E$2=40.5,'S3'!BV197,IF($E$2=22.5,'S3'!BD197,IF($E$2=23.5,'S3'!BE197,IF($E$2=24.5,'S3'!BF197,IF($E$2=25.5,'S3'!BG197,IF($E$2=26.5,'S3'!BH197,IF($E$2=27.5,'S3'!BI197,IF($E$2=28.5,'S3'!BJ197,IF($E$2=29.5,'S3'!BK197,IF($E$2=30.5,'S3'!BL197,IF($E$2=31.5,'S3'!BM197,IF($E$2=32.5,'S3'!BN197,IF($E$2=33.5,'S3'!BO197)))))))))))))))))))</f>
        <v>310.75</v>
      </c>
      <c r="F197" s="437">
        <f t="shared" si="5"/>
        <v>435.05</v>
      </c>
    </row>
    <row r="198" spans="2:6" x14ac:dyDescent="0.45">
      <c r="B198" s="435">
        <v>194</v>
      </c>
      <c r="C198" s="436">
        <f>IF($C$2=34.5,'S3'!AD198,IF($C$2=35.5,'S3'!AF198,IF($C$2=36.5,'S3'!AH198,IF($C$2=37.5,'S3'!AJ198,IF($C$2=38.5,'S3'!AL198,IF($C$2=39.5,'S3'!AN198,IF($C$2=40.5,'S3'!AP198,IF($C$2=27.5,'S3'!P198,IF($C$2=28.5,'S3'!R198,IF($C$2=29.5,'S3'!T198,IF($C$2=30.5,'S3'!V198,IF($C$2=31.5,'S3'!Z198,IF($C$2=32.5,'S3'!Z198,IF($C$2=33.5,'S3'!AB198))))))))))))))</f>
        <v>499.54</v>
      </c>
      <c r="D198" s="436">
        <f>IF($C$2=34.5,'S3'!AE198,IF($C$2=35.5,'S3'!AG198,IF($C$2=36.5,'S3'!AI198,IF($C$2=37.5,'S3'!AK198,IF($C$2=38.5,'S3'!AM198,IF($C$2=39.5,'S3'!AO198,IF($C$2=40.5,'S3'!AQ198,IF($C$2=27.5,'S3'!Q198,IF($C$2=28.5,'S3'!S198,IF($C$2=29.5,'S3'!U198,IF($C$2=30.5,'S3'!W198,IF($C$2=31.5,'S3'!Y198,IF($C$2=32.5,'S3'!AA198,IF($C$2=33.5,'S3'!AC198))))))))))))))</f>
        <v>699.36</v>
      </c>
      <c r="E198" s="437">
        <f>IF($E$2=34.5,'S3'!BP198,IF($E$2=35.5,'S3'!BQ198,IF($E$2=36.5,'S3'!BR198,IF($E$2=37.5,'S3'!BS198,IF($E$2=38.5,'S3'!BT198,IF($E$2=39.5,'S3'!BU198,IF($E$2=40.5,'S3'!BV198,IF($E$2=22.5,'S3'!BD198,IF($E$2=23.5,'S3'!BE198,IF($E$2=24.5,'S3'!BF198,IF($E$2=25.5,'S3'!BG198,IF($E$2=26.5,'S3'!BH198,IF($E$2=27.5,'S3'!BI198,IF($E$2=28.5,'S3'!BJ198,IF($E$2=29.5,'S3'!BK198,IF($E$2=30.5,'S3'!BL198,IF($E$2=31.5,'S3'!BM198,IF($E$2=32.5,'S3'!BN198,IF($E$2=33.5,'S3'!BO198)))))))))))))))))))</f>
        <v>312.41000000000003</v>
      </c>
      <c r="F198" s="437">
        <f t="shared" ref="F198:F204" si="6">ROUND(E198*1.4,2)</f>
        <v>437.37</v>
      </c>
    </row>
    <row r="199" spans="2:6" x14ac:dyDescent="0.45">
      <c r="B199" s="435">
        <v>195</v>
      </c>
      <c r="C199" s="436">
        <f>IF($C$2=34.5,'S3'!AD199,IF($C$2=35.5,'S3'!AF199,IF($C$2=36.5,'S3'!AH199,IF($C$2=37.5,'S3'!AJ199,IF($C$2=38.5,'S3'!AL199,IF($C$2=39.5,'S3'!AN199,IF($C$2=40.5,'S3'!AP199,IF($C$2=27.5,'S3'!P199,IF($C$2=28.5,'S3'!R199,IF($C$2=29.5,'S3'!T199,IF($C$2=30.5,'S3'!V199,IF($C$2=31.5,'S3'!Z199,IF($C$2=32.5,'S3'!Z199,IF($C$2=33.5,'S3'!AB199))))))))))))))</f>
        <v>502.3</v>
      </c>
      <c r="D199" s="436">
        <f>IF($C$2=34.5,'S3'!AE199,IF($C$2=35.5,'S3'!AG199,IF($C$2=36.5,'S3'!AI199,IF($C$2=37.5,'S3'!AK199,IF($C$2=38.5,'S3'!AM199,IF($C$2=39.5,'S3'!AO199,IF($C$2=40.5,'S3'!AQ199,IF($C$2=27.5,'S3'!Q199,IF($C$2=28.5,'S3'!S199,IF($C$2=29.5,'S3'!U199,IF($C$2=30.5,'S3'!W199,IF($C$2=31.5,'S3'!Y199,IF($C$2=32.5,'S3'!AA199,IF($C$2=33.5,'S3'!AC199))))))))))))))</f>
        <v>703.22</v>
      </c>
      <c r="E199" s="437">
        <f>IF($E$2=34.5,'S3'!BP199,IF($E$2=35.5,'S3'!BQ199,IF($E$2=36.5,'S3'!BR199,IF($E$2=37.5,'S3'!BS199,IF($E$2=38.5,'S3'!BT199,IF($E$2=39.5,'S3'!BU199,IF($E$2=40.5,'S3'!BV199,IF($E$2=22.5,'S3'!BD199,IF($E$2=23.5,'S3'!BE199,IF($E$2=24.5,'S3'!BF199,IF($E$2=25.5,'S3'!BG199,IF($E$2=26.5,'S3'!BH199,IF($E$2=27.5,'S3'!BI199,IF($E$2=28.5,'S3'!BJ199,IF($E$2=29.5,'S3'!BK199,IF($E$2=30.5,'S3'!BL199,IF($E$2=31.5,'S3'!BM199,IF($E$2=32.5,'S3'!BN199,IF($E$2=33.5,'S3'!BO199)))))))))))))))))))</f>
        <v>313.91000000000003</v>
      </c>
      <c r="F199" s="437">
        <f t="shared" si="6"/>
        <v>439.47</v>
      </c>
    </row>
    <row r="200" spans="2:6" x14ac:dyDescent="0.45">
      <c r="B200" s="435">
        <v>196</v>
      </c>
      <c r="C200" s="436">
        <f>IF($C$2=34.5,'S3'!AD200,IF($C$2=35.5,'S3'!AF200,IF($C$2=36.5,'S3'!AH200,IF($C$2=37.5,'S3'!AJ200,IF($C$2=38.5,'S3'!AL200,IF($C$2=39.5,'S3'!AN200,IF($C$2=40.5,'S3'!AP200,IF($C$2=27.5,'S3'!P200,IF($C$2=28.5,'S3'!R200,IF($C$2=29.5,'S3'!T200,IF($C$2=30.5,'S3'!V200,IF($C$2=31.5,'S3'!Z200,IF($C$2=32.5,'S3'!Z200,IF($C$2=33.5,'S3'!AB200))))))))))))))</f>
        <v>504.42</v>
      </c>
      <c r="D200" s="436">
        <f>IF($C$2=34.5,'S3'!AE200,IF($C$2=35.5,'S3'!AG200,IF($C$2=36.5,'S3'!AI200,IF($C$2=37.5,'S3'!AK200,IF($C$2=38.5,'S3'!AM200,IF($C$2=39.5,'S3'!AO200,IF($C$2=40.5,'S3'!AQ200,IF($C$2=27.5,'S3'!Q200,IF($C$2=28.5,'S3'!S200,IF($C$2=29.5,'S3'!U200,IF($C$2=30.5,'S3'!W200,IF($C$2=31.5,'S3'!Y200,IF($C$2=32.5,'S3'!AA200,IF($C$2=33.5,'S3'!AC200))))))))))))))</f>
        <v>706.19</v>
      </c>
      <c r="E200" s="437">
        <f>IF($E$2=34.5,'S3'!BP200,IF($E$2=35.5,'S3'!BQ200,IF($E$2=36.5,'S3'!BR200,IF($E$2=37.5,'S3'!BS200,IF($E$2=38.5,'S3'!BT200,IF($E$2=39.5,'S3'!BU200,IF($E$2=40.5,'S3'!BV200,IF($E$2=22.5,'S3'!BD200,IF($E$2=23.5,'S3'!BE200,IF($E$2=24.5,'S3'!BF200,IF($E$2=25.5,'S3'!BG200,IF($E$2=26.5,'S3'!BH200,IF($E$2=27.5,'S3'!BI200,IF($E$2=28.5,'S3'!BJ200,IF($E$2=29.5,'S3'!BK200,IF($E$2=30.5,'S3'!BL200,IF($E$2=31.5,'S3'!BM200,IF($E$2=32.5,'S3'!BN200,IF($E$2=33.5,'S3'!BO200)))))))))))))))))))</f>
        <v>315.57</v>
      </c>
      <c r="F200" s="437">
        <f t="shared" si="6"/>
        <v>441.8</v>
      </c>
    </row>
    <row r="201" spans="2:6" x14ac:dyDescent="0.45">
      <c r="B201" s="435">
        <v>197</v>
      </c>
      <c r="C201" s="436">
        <f>IF($C$2=34.5,'S3'!AD201,IF($C$2=35.5,'S3'!AF201,IF($C$2=36.5,'S3'!AH201,IF($C$2=37.5,'S3'!AJ201,IF($C$2=38.5,'S3'!AL201,IF($C$2=39.5,'S3'!AN201,IF($C$2=40.5,'S3'!AP201,IF($C$2=27.5,'S3'!P201,IF($C$2=28.5,'S3'!R201,IF($C$2=29.5,'S3'!T201,IF($C$2=30.5,'S3'!V201,IF($C$2=31.5,'S3'!Z201,IF($C$2=32.5,'S3'!Z201,IF($C$2=33.5,'S3'!AB201))))))))))))))</f>
        <v>507.19</v>
      </c>
      <c r="D201" s="436">
        <f>IF($C$2=34.5,'S3'!AE201,IF($C$2=35.5,'S3'!AG201,IF($C$2=36.5,'S3'!AI201,IF($C$2=37.5,'S3'!AK201,IF($C$2=38.5,'S3'!AM201,IF($C$2=39.5,'S3'!AO201,IF($C$2=40.5,'S3'!AQ201,IF($C$2=27.5,'S3'!Q201,IF($C$2=28.5,'S3'!S201,IF($C$2=29.5,'S3'!U201,IF($C$2=30.5,'S3'!W201,IF($C$2=31.5,'S3'!Y201,IF($C$2=32.5,'S3'!AA201,IF($C$2=33.5,'S3'!AC201))))))))))))))</f>
        <v>710.07</v>
      </c>
      <c r="E201" s="437">
        <f>IF($E$2=34.5,'S3'!BP201,IF($E$2=35.5,'S3'!BQ201,IF($E$2=36.5,'S3'!BR201,IF($E$2=37.5,'S3'!BS201,IF($E$2=38.5,'S3'!BT201,IF($E$2=39.5,'S3'!BU201,IF($E$2=40.5,'S3'!BV201,IF($E$2=22.5,'S3'!BD201,IF($E$2=23.5,'S3'!BE201,IF($E$2=24.5,'S3'!BF201,IF($E$2=25.5,'S3'!BG201,IF($E$2=26.5,'S3'!BH201,IF($E$2=27.5,'S3'!BI201,IF($E$2=28.5,'S3'!BJ201,IF($E$2=29.5,'S3'!BK201,IF($E$2=30.5,'S3'!BL201,IF($E$2=31.5,'S3'!BM201,IF($E$2=32.5,'S3'!BN201,IF($E$2=33.5,'S3'!BO201)))))))))))))))))))</f>
        <v>317.23</v>
      </c>
      <c r="F201" s="437">
        <f t="shared" si="6"/>
        <v>444.12</v>
      </c>
    </row>
    <row r="202" spans="2:6" x14ac:dyDescent="0.45">
      <c r="B202" s="435">
        <v>198</v>
      </c>
      <c r="C202" s="436">
        <f>IF($C$2=34.5,'S3'!AD202,IF($C$2=35.5,'S3'!AF202,IF($C$2=36.5,'S3'!AH202,IF($C$2=37.5,'S3'!AJ202,IF($C$2=38.5,'S3'!AL202,IF($C$2=39.5,'S3'!AN202,IF($C$2=40.5,'S3'!AP202,IF($C$2=27.5,'S3'!P202,IF($C$2=28.5,'S3'!R202,IF($C$2=29.5,'S3'!T202,IF($C$2=30.5,'S3'!V202,IF($C$2=31.5,'S3'!Z202,IF($C$2=32.5,'S3'!Z202,IF($C$2=33.5,'S3'!AB202))))))))))))))</f>
        <v>509.97</v>
      </c>
      <c r="D202" s="436">
        <f>IF($C$2=34.5,'S3'!AE202,IF($C$2=35.5,'S3'!AG202,IF($C$2=36.5,'S3'!AI202,IF($C$2=37.5,'S3'!AK202,IF($C$2=38.5,'S3'!AM202,IF($C$2=39.5,'S3'!AO202,IF($C$2=40.5,'S3'!AQ202,IF($C$2=27.5,'S3'!Q202,IF($C$2=28.5,'S3'!S202,IF($C$2=29.5,'S3'!U202,IF($C$2=30.5,'S3'!W202,IF($C$2=31.5,'S3'!Y202,IF($C$2=32.5,'S3'!AA202,IF($C$2=33.5,'S3'!AC202))))))))))))))</f>
        <v>713.96</v>
      </c>
      <c r="E202" s="437">
        <f>IF($E$2=34.5,'S3'!BP202,IF($E$2=35.5,'S3'!BQ202,IF($E$2=36.5,'S3'!BR202,IF($E$2=37.5,'S3'!BS202,IF($E$2=38.5,'S3'!BT202,IF($E$2=39.5,'S3'!BU202,IF($E$2=40.5,'S3'!BV202,IF($E$2=22.5,'S3'!BD202,IF($E$2=23.5,'S3'!BE202,IF($E$2=24.5,'S3'!BF202,IF($E$2=25.5,'S3'!BG202,IF($E$2=26.5,'S3'!BH202,IF($E$2=27.5,'S3'!BI202,IF($E$2=28.5,'S3'!BJ202,IF($E$2=29.5,'S3'!BK202,IF($E$2=30.5,'S3'!BL202,IF($E$2=31.5,'S3'!BM202,IF($E$2=32.5,'S3'!BN202,IF($E$2=33.5,'S3'!BO202)))))))))))))))))))</f>
        <v>318.72000000000003</v>
      </c>
      <c r="F202" s="437">
        <f t="shared" si="6"/>
        <v>446.21</v>
      </c>
    </row>
    <row r="203" spans="2:6" x14ac:dyDescent="0.45">
      <c r="B203" s="435">
        <v>199</v>
      </c>
      <c r="C203" s="436">
        <f>IF($C$2=34.5,'S3'!AD203,IF($C$2=35.5,'S3'!AF203,IF($C$2=36.5,'S3'!AH203,IF($C$2=37.5,'S3'!AJ203,IF($C$2=38.5,'S3'!AL203,IF($C$2=39.5,'S3'!AN203,IF($C$2=40.5,'S3'!AP203,IF($C$2=27.5,'S3'!P203,IF($C$2=28.5,'S3'!R203,IF($C$2=29.5,'S3'!T203,IF($C$2=30.5,'S3'!V203,IF($C$2=31.5,'S3'!Z203,IF($C$2=32.5,'S3'!Z203,IF($C$2=33.5,'S3'!AB203))))))))))))))</f>
        <v>512.09</v>
      </c>
      <c r="D203" s="436">
        <f>IF($C$2=34.5,'S3'!AE203,IF($C$2=35.5,'S3'!AG203,IF($C$2=36.5,'S3'!AI203,IF($C$2=37.5,'S3'!AK203,IF($C$2=38.5,'S3'!AM203,IF($C$2=39.5,'S3'!AO203,IF($C$2=40.5,'S3'!AQ203,IF($C$2=27.5,'S3'!Q203,IF($C$2=28.5,'S3'!S203,IF($C$2=29.5,'S3'!U203,IF($C$2=30.5,'S3'!W203,IF($C$2=31.5,'S3'!Y203,IF($C$2=32.5,'S3'!AA203,IF($C$2=33.5,'S3'!AC203))))))))))))))</f>
        <v>716.93</v>
      </c>
      <c r="E203" s="437">
        <f>IF($E$2=34.5,'S3'!BP203,IF($E$2=35.5,'S3'!BQ203,IF($E$2=36.5,'S3'!BR203,IF($E$2=37.5,'S3'!BS203,IF($E$2=38.5,'S3'!BT203,IF($E$2=39.5,'S3'!BU203,IF($E$2=40.5,'S3'!BV203,IF($E$2=22.5,'S3'!BD203,IF($E$2=23.5,'S3'!BE203,IF($E$2=24.5,'S3'!BF203,IF($E$2=25.5,'S3'!BG203,IF($E$2=26.5,'S3'!BH203,IF($E$2=27.5,'S3'!BI203,IF($E$2=28.5,'S3'!BJ203,IF($E$2=29.5,'S3'!BK203,IF($E$2=30.5,'S3'!BL203,IF($E$2=31.5,'S3'!BM203,IF($E$2=32.5,'S3'!BN203,IF($E$2=33.5,'S3'!BO203)))))))))))))))))))</f>
        <v>320.39</v>
      </c>
      <c r="F203" s="437">
        <f t="shared" si="6"/>
        <v>448.55</v>
      </c>
    </row>
    <row r="204" spans="2:6" ht="21.75" thickBot="1" x14ac:dyDescent="0.5">
      <c r="B204" s="435">
        <v>200</v>
      </c>
      <c r="C204" s="436">
        <f>IF($C$2=34.5,'S3'!AD204,IF($C$2=35.5,'S3'!AF204,IF($C$2=36.5,'S3'!AH204,IF($C$2=37.5,'S3'!AJ204,IF($C$2=38.5,'S3'!AL204,IF($C$2=39.5,'S3'!AN204,IF($C$2=40.5,'S3'!AP204,IF($C$2=27.5,'S3'!P204,IF($C$2=28.5,'S3'!R204,IF($C$2=29.5,'S3'!T204,IF($C$2=30.5,'S3'!V204,IF($C$2=31.5,'S3'!Z204,IF($C$2=32.5,'S3'!Z204,IF($C$2=33.5,'S3'!AB204))))))))))))))</f>
        <v>514.88</v>
      </c>
      <c r="D204" s="436">
        <f>IF($C$2=34.5,'S3'!AE204,IF($C$2=35.5,'S3'!AG204,IF($C$2=36.5,'S3'!AI204,IF($C$2=37.5,'S3'!AK204,IF($C$2=38.5,'S3'!AM204,IF($C$2=39.5,'S3'!AO204,IF($C$2=40.5,'S3'!AQ204,IF($C$2=27.5,'S3'!Q204,IF($C$2=28.5,'S3'!S204,IF($C$2=29.5,'S3'!U204,IF($C$2=30.5,'S3'!W204,IF($C$2=31.5,'S3'!Y204,IF($C$2=32.5,'S3'!AA204,IF($C$2=33.5,'S3'!AC204))))))))))))))</f>
        <v>720.83</v>
      </c>
      <c r="E204" s="437">
        <f>IF($E$2=34.5,'S3'!BP204,IF($E$2=35.5,'S3'!BQ204,IF($E$2=36.5,'S3'!BR204,IF($E$2=37.5,'S3'!BS204,IF($E$2=38.5,'S3'!BT204,IF($E$2=39.5,'S3'!BU204,IF($E$2=40.5,'S3'!BV204,IF($E$2=22.5,'S3'!BD204,IF($E$2=23.5,'S3'!BE204,IF($E$2=24.5,'S3'!BF204,IF($E$2=25.5,'S3'!BG204,IF($E$2=26.5,'S3'!BH204,IF($E$2=27.5,'S3'!BI204,IF($E$2=28.5,'S3'!BJ204,IF($E$2=29.5,'S3'!BK204,IF($E$2=30.5,'S3'!BL204,IF($E$2=31.5,'S3'!BM204,IF($E$2=32.5,'S3'!BN204,IF($E$2=33.5,'S3'!BO204)))))))))))))))))))</f>
        <v>322.05</v>
      </c>
      <c r="F204" s="437">
        <f t="shared" si="6"/>
        <v>450.87</v>
      </c>
    </row>
    <row r="205" spans="2:6" ht="21.75" thickBot="1" x14ac:dyDescent="0.5">
      <c r="B205" s="522"/>
      <c r="C205" s="436">
        <f>IF($C$2=34.5,'S3'!AD205,IF($C$2=35.5,'S3'!AF205,IF($C$2=36.5,'S3'!AH205,IF($C$2=37.5,'S3'!AJ205,IF($C$2=38.5,'S3'!AL205,IF($C$2=39.5,'S3'!AN205,IF($C$2=40.5,'S3'!AP205,IF($C$2=27.5,'S3'!P205,IF($C$2=28.5,'S3'!R205,IF($C$2=29.5,'S3'!T205,IF($C$2=30.5,'S3'!V205,IF($C$2=31.5,'S3'!Z205,IF($C$2=32.5,'S3'!Z205,IF($C$2=33.5,'S3'!AB205))))))))))))))</f>
        <v>2.58</v>
      </c>
      <c r="D205" s="436">
        <f>IF($C$2=34.5,'S3'!AE205,IF($C$2=35.5,'S3'!AG205,IF($C$2=36.5,'S3'!AI205,IF($C$2=37.5,'S3'!AK205,IF($C$2=38.5,'S3'!AM205,IF($C$2=39.5,'S3'!AO205,IF($C$2=40.5,'S3'!AQ205,IF($C$2=27.5,'S3'!Q205,IF($C$2=28.5,'S3'!S205,IF($C$2=29.5,'S3'!U205,IF($C$2=30.5,'S3'!W205,IF($C$2=31.5,'S3'!Y205,IF($C$2=32.5,'S3'!AA205,IF($C$2=33.5,'S3'!AC205))))))))))))))</f>
        <v>0</v>
      </c>
      <c r="E205" s="437">
        <f>IF($E$2=34.5,'S3'!BP205,IF($E$2=35.5,'S3'!BQ205,IF($E$2=36.5,'S3'!BR205,IF($E$2=37.5,'S3'!BS205,IF($E$2=38.5,'S3'!BT205,IF($E$2=39.5,'S3'!BU205,IF($E$2=40.5,'S3'!BV205,IF($E$2=22.5,'S3'!BD205,IF($E$2=23.5,'S3'!BE205,IF($E$2=24.5,'S3'!BF205,IF($E$2=25.5,'S3'!BG205,IF($E$2=26.5,'S3'!BH205,IF($E$2=27.5,'S3'!BI205,IF($E$2=28.5,'S3'!BJ205,IF($E$2=29.5,'S3'!BK205,IF($E$2=30.5,'S3'!BL205,IF($E$2=31.5,'S3'!BM205,IF($E$2=32.5,'S3'!BN205,IF($E$2=33.5,'S3'!BO205)))))))))))))))))))</f>
        <v>1.61</v>
      </c>
      <c r="F205" s="523">
        <f>ROUNDDOWN(E205*1.4,2)</f>
        <v>2.25</v>
      </c>
    </row>
    <row r="206" spans="2:6" x14ac:dyDescent="0.45">
      <c r="C206" s="524"/>
    </row>
    <row r="207" spans="2:6" x14ac:dyDescent="0.45">
      <c r="C207" s="524"/>
    </row>
    <row r="208" spans="2:6" x14ac:dyDescent="0.45">
      <c r="C208" s="524"/>
    </row>
  </sheetData>
  <mergeCells count="28">
    <mergeCell ref="AP2:AQ2"/>
    <mergeCell ref="AR2:AS2"/>
    <mergeCell ref="BH2:BI2"/>
    <mergeCell ref="AT2:AU2"/>
    <mergeCell ref="AZ2:BA2"/>
    <mergeCell ref="BB2:BC2"/>
    <mergeCell ref="V2:W2"/>
    <mergeCell ref="BN31:BO31"/>
    <mergeCell ref="X2:Y2"/>
    <mergeCell ref="Z2:AA2"/>
    <mergeCell ref="AB2:AC2"/>
    <mergeCell ref="AD2:AE2"/>
    <mergeCell ref="AJ2:AK2"/>
    <mergeCell ref="AF2:AG2"/>
    <mergeCell ref="AH2:AI2"/>
    <mergeCell ref="AN2:AO2"/>
    <mergeCell ref="BF2:BG2"/>
    <mergeCell ref="AV2:AW2"/>
    <mergeCell ref="AL2:AM2"/>
    <mergeCell ref="BD2:BE2"/>
    <mergeCell ref="AX2:AY2"/>
    <mergeCell ref="BJ2:BK2"/>
    <mergeCell ref="T2:U2"/>
    <mergeCell ref="J2:K2"/>
    <mergeCell ref="L2:M2"/>
    <mergeCell ref="N2:O2"/>
    <mergeCell ref="P2:Q2"/>
    <mergeCell ref="R2:S2"/>
  </mergeCells>
  <phoneticPr fontId="0" type="noConversion"/>
  <pageMargins left="0.38" right="0.26" top="0.51" bottom="0.46" header="0.51181102362204722" footer="0.51181102362204722"/>
  <pageSetup paperSize="9" scale="17"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52"/>
  <sheetViews>
    <sheetView view="pageBreakPreview" zoomScaleNormal="100" zoomScaleSheetLayoutView="100" workbookViewId="0">
      <selection activeCell="L40" sqref="L40"/>
    </sheetView>
  </sheetViews>
  <sheetFormatPr defaultColWidth="9.140625" defaultRowHeight="24.95" customHeight="1" x14ac:dyDescent="0.5"/>
  <cols>
    <col min="1" max="1" width="4.42578125" style="527" customWidth="1"/>
    <col min="2" max="2" width="29.42578125" style="527" customWidth="1"/>
    <col min="3" max="9" width="8.7109375" style="527" customWidth="1"/>
    <col min="10" max="10" width="12.7109375" style="527" customWidth="1"/>
    <col min="11" max="11" width="9.140625" style="527"/>
    <col min="12" max="12" width="8.7109375" style="527" customWidth="1"/>
    <col min="13" max="16384" width="9.140625" style="527"/>
  </cols>
  <sheetData>
    <row r="1" spans="1:13" s="197" customFormat="1" ht="36.75" customHeight="1" x14ac:dyDescent="0.5">
      <c r="A1" s="1139" t="s">
        <v>179</v>
      </c>
      <c r="B1" s="1139"/>
      <c r="C1" s="1139"/>
      <c r="D1" s="1139"/>
      <c r="E1" s="1139"/>
      <c r="F1" s="1139"/>
      <c r="G1" s="1139"/>
      <c r="H1" s="1139"/>
      <c r="I1" s="1139"/>
      <c r="J1" s="1139"/>
    </row>
    <row r="2" spans="1:13" s="199" customFormat="1" ht="23.25" x14ac:dyDescent="0.5">
      <c r="B2" s="198" t="s">
        <v>138</v>
      </c>
      <c r="C2" s="200" t="str">
        <f>ปร.งานทาง!C2</f>
        <v>องค์การบริหารส่วนตำบลป่าตึง</v>
      </c>
      <c r="D2" s="200"/>
      <c r="E2" s="200"/>
      <c r="F2" s="200"/>
      <c r="G2" s="201"/>
      <c r="H2" s="202"/>
      <c r="I2" s="202"/>
      <c r="J2" s="203"/>
    </row>
    <row r="3" spans="1:13" s="199" customFormat="1" ht="42" customHeight="1" x14ac:dyDescent="0.5">
      <c r="B3" s="206" t="s">
        <v>139</v>
      </c>
      <c r="C3" s="1136" t="str">
        <f>ปร.งานทาง!C3</f>
        <v>ซ่อมสร้างถนนลาดยางแอสฟัลต์ติกคอนกรีต  สายทาง 1089  ตำบลป่าตึง อำเภอแม่จัน จังหวัดเชียงราย</v>
      </c>
      <c r="D3" s="1137"/>
      <c r="E3" s="1137"/>
      <c r="F3" s="1137"/>
      <c r="G3" s="1137"/>
      <c r="H3" s="1137"/>
      <c r="I3" s="1137"/>
      <c r="J3" s="1137"/>
    </row>
    <row r="4" spans="1:13" s="199" customFormat="1" ht="42" customHeight="1" x14ac:dyDescent="0.5">
      <c r="B4" s="206" t="s">
        <v>140</v>
      </c>
      <c r="C4" s="1136" t="str">
        <f>ปร.งานทาง!C4</f>
        <v xml:space="preserve">หน้าโรงเรียนศุภปัญญา  หมู่ 4 ตำบลป่าตึง อำเภอแม่จัน จังหวัดเชียงราย </v>
      </c>
      <c r="D4" s="1137"/>
      <c r="E4" s="1137"/>
      <c r="F4" s="1137"/>
      <c r="G4" s="1137"/>
      <c r="H4" s="1137"/>
      <c r="I4" s="1137"/>
      <c r="J4" s="1137"/>
    </row>
    <row r="5" spans="1:13" s="199" customFormat="1" ht="24" thickBot="1" x14ac:dyDescent="0.55000000000000004">
      <c r="A5" s="526"/>
      <c r="B5" s="210" t="str">
        <f>ปร.งานทาง!A7</f>
        <v>ราคาน้ำมันดีเซล ที่ อ.เมือง  32.00 - 32.99 บาท/ลิตร เฉลี่ย  32.50 บาท/ลิตร</v>
      </c>
      <c r="D5" s="211"/>
      <c r="E5" s="212"/>
      <c r="F5" s="212"/>
      <c r="G5" s="213"/>
      <c r="H5" s="214"/>
      <c r="I5" s="215"/>
      <c r="J5" s="216"/>
    </row>
    <row r="6" spans="1:13" ht="24" thickBot="1" x14ac:dyDescent="0.5">
      <c r="A6" s="1140" t="s">
        <v>231</v>
      </c>
      <c r="B6" s="1141"/>
      <c r="C6" s="1141"/>
      <c r="D6" s="1141"/>
      <c r="E6" s="1141"/>
      <c r="F6" s="1141"/>
      <c r="G6" s="1141"/>
      <c r="H6" s="1141"/>
      <c r="I6" s="1141"/>
      <c r="J6" s="1142"/>
      <c r="K6" s="219">
        <v>1</v>
      </c>
      <c r="L6" s="220" t="s">
        <v>84</v>
      </c>
      <c r="M6" s="221" t="s">
        <v>85</v>
      </c>
    </row>
    <row r="7" spans="1:13" s="528" customFormat="1" ht="24" thickBot="1" x14ac:dyDescent="0.55000000000000004">
      <c r="A7" s="1143"/>
      <c r="B7" s="1146"/>
      <c r="C7" s="1149" t="s">
        <v>314</v>
      </c>
      <c r="D7" s="1150"/>
      <c r="E7" s="1150"/>
      <c r="F7" s="1151"/>
      <c r="G7" s="1152" t="s">
        <v>662</v>
      </c>
      <c r="H7" s="1150"/>
      <c r="I7" s="1150"/>
      <c r="J7" s="1153"/>
      <c r="L7" s="220" t="s">
        <v>84</v>
      </c>
      <c r="M7" s="221" t="s">
        <v>94</v>
      </c>
    </row>
    <row r="8" spans="1:13" ht="23.25" x14ac:dyDescent="0.5">
      <c r="A8" s="1144"/>
      <c r="B8" s="1147"/>
      <c r="C8" s="529" t="s">
        <v>178</v>
      </c>
      <c r="D8" s="530" t="s">
        <v>173</v>
      </c>
      <c r="E8" s="530" t="s">
        <v>172</v>
      </c>
      <c r="F8" s="531" t="s">
        <v>177</v>
      </c>
      <c r="G8" s="532" t="s">
        <v>178</v>
      </c>
      <c r="H8" s="530" t="s">
        <v>173</v>
      </c>
      <c r="I8" s="530" t="s">
        <v>172</v>
      </c>
      <c r="J8" s="531" t="s">
        <v>177</v>
      </c>
      <c r="K8" s="528"/>
    </row>
    <row r="9" spans="1:13" ht="24" thickBot="1" x14ac:dyDescent="0.55000000000000004">
      <c r="A9" s="1145"/>
      <c r="B9" s="1148"/>
      <c r="C9" s="533" t="s">
        <v>14</v>
      </c>
      <c r="D9" s="534" t="s">
        <v>21</v>
      </c>
      <c r="E9" s="534" t="s">
        <v>22</v>
      </c>
      <c r="F9" s="535" t="s">
        <v>176</v>
      </c>
      <c r="G9" s="536" t="s">
        <v>14</v>
      </c>
      <c r="H9" s="534" t="s">
        <v>21</v>
      </c>
      <c r="I9" s="534" t="s">
        <v>22</v>
      </c>
      <c r="J9" s="535" t="s">
        <v>176</v>
      </c>
    </row>
    <row r="10" spans="1:13" ht="23.25" x14ac:dyDescent="0.5">
      <c r="A10" s="537">
        <v>1</v>
      </c>
      <c r="B10" s="538" t="s">
        <v>168</v>
      </c>
      <c r="C10" s="539">
        <v>436.45</v>
      </c>
      <c r="D10" s="540">
        <f>คำนวนขนส่งหิน!F21</f>
        <v>40</v>
      </c>
      <c r="E10" s="540">
        <f>คำนวนขนส่งหิน!H22</f>
        <v>145.5</v>
      </c>
      <c r="F10" s="541">
        <f>C10+E10</f>
        <v>581.95000000000005</v>
      </c>
      <c r="G10" s="542">
        <v>436.45</v>
      </c>
      <c r="H10" s="543">
        <f>คำนวนขนส่งหิน!O21</f>
        <v>29</v>
      </c>
      <c r="I10" s="543">
        <f>คำนวนขนส่งหิน!Q22</f>
        <v>105.95</v>
      </c>
      <c r="J10" s="544">
        <f t="shared" ref="J10:J15" si="0">G10+I10</f>
        <v>542.4</v>
      </c>
    </row>
    <row r="11" spans="1:13" ht="23.25" x14ac:dyDescent="0.5">
      <c r="A11" s="545">
        <v>2</v>
      </c>
      <c r="B11" s="546" t="s">
        <v>167</v>
      </c>
      <c r="C11" s="547">
        <v>405</v>
      </c>
      <c r="D11" s="548">
        <f>D10</f>
        <v>40</v>
      </c>
      <c r="E11" s="548">
        <f>E10</f>
        <v>145.5</v>
      </c>
      <c r="F11" s="549">
        <f t="shared" ref="F11:F14" si="1">C11+E11</f>
        <v>550.5</v>
      </c>
      <c r="G11" s="550">
        <v>360</v>
      </c>
      <c r="H11" s="548">
        <f t="shared" ref="H11:I14" si="2">H10</f>
        <v>29</v>
      </c>
      <c r="I11" s="548">
        <f t="shared" si="2"/>
        <v>105.95</v>
      </c>
      <c r="J11" s="549">
        <f t="shared" si="0"/>
        <v>465.95</v>
      </c>
    </row>
    <row r="12" spans="1:13" ht="23.25" x14ac:dyDescent="0.5">
      <c r="A12" s="545">
        <v>3</v>
      </c>
      <c r="B12" s="546" t="s">
        <v>166</v>
      </c>
      <c r="C12" s="547">
        <v>595</v>
      </c>
      <c r="D12" s="548">
        <f t="shared" ref="D12:E14" si="3">D11</f>
        <v>40</v>
      </c>
      <c r="E12" s="548">
        <f t="shared" si="3"/>
        <v>145.5</v>
      </c>
      <c r="F12" s="549">
        <f t="shared" si="1"/>
        <v>740.5</v>
      </c>
      <c r="G12" s="550">
        <v>537.6</v>
      </c>
      <c r="H12" s="548">
        <f t="shared" si="2"/>
        <v>29</v>
      </c>
      <c r="I12" s="548">
        <f t="shared" si="2"/>
        <v>105.95</v>
      </c>
      <c r="J12" s="549">
        <f t="shared" si="0"/>
        <v>643.55000000000007</v>
      </c>
    </row>
    <row r="13" spans="1:13" ht="23.25" x14ac:dyDescent="0.5">
      <c r="A13" s="545">
        <v>4</v>
      </c>
      <c r="B13" s="546" t="s">
        <v>165</v>
      </c>
      <c r="C13" s="547">
        <v>595</v>
      </c>
      <c r="D13" s="548">
        <f t="shared" si="3"/>
        <v>40</v>
      </c>
      <c r="E13" s="548">
        <f t="shared" si="3"/>
        <v>145.5</v>
      </c>
      <c r="F13" s="549">
        <f t="shared" si="1"/>
        <v>740.5</v>
      </c>
      <c r="G13" s="550">
        <v>537.6</v>
      </c>
      <c r="H13" s="548">
        <f t="shared" si="2"/>
        <v>29</v>
      </c>
      <c r="I13" s="548">
        <f t="shared" si="2"/>
        <v>105.95</v>
      </c>
      <c r="J13" s="549">
        <f t="shared" si="0"/>
        <v>643.55000000000007</v>
      </c>
    </row>
    <row r="14" spans="1:13" ht="23.25" x14ac:dyDescent="0.5">
      <c r="A14" s="545">
        <v>5</v>
      </c>
      <c r="B14" s="546" t="s">
        <v>164</v>
      </c>
      <c r="C14" s="547">
        <v>504</v>
      </c>
      <c r="D14" s="548">
        <f t="shared" si="3"/>
        <v>40</v>
      </c>
      <c r="E14" s="548">
        <f t="shared" si="3"/>
        <v>145.5</v>
      </c>
      <c r="F14" s="549">
        <f t="shared" si="1"/>
        <v>649.5</v>
      </c>
      <c r="G14" s="550">
        <v>453.6</v>
      </c>
      <c r="H14" s="548">
        <f t="shared" si="2"/>
        <v>29</v>
      </c>
      <c r="I14" s="548">
        <f t="shared" si="2"/>
        <v>105.95</v>
      </c>
      <c r="J14" s="549">
        <f t="shared" si="0"/>
        <v>559.55000000000007</v>
      </c>
    </row>
    <row r="15" spans="1:13" ht="24" thickBot="1" x14ac:dyDescent="0.55000000000000004">
      <c r="A15" s="551">
        <v>6</v>
      </c>
      <c r="B15" s="552" t="s">
        <v>163</v>
      </c>
      <c r="C15" s="553">
        <f>ROUND(C11*0.45+C14*0.3+C12*0.25,0)</f>
        <v>482</v>
      </c>
      <c r="D15" s="554">
        <f t="shared" ref="D15:E15" si="4">D14</f>
        <v>40</v>
      </c>
      <c r="E15" s="554">
        <f t="shared" si="4"/>
        <v>145.5</v>
      </c>
      <c r="F15" s="555">
        <f>C15+E15</f>
        <v>627.5</v>
      </c>
      <c r="G15" s="556">
        <f>ROUND(G11*0.45+G14*0.3+G12*0.25,0)</f>
        <v>432</v>
      </c>
      <c r="H15" s="557">
        <f t="shared" ref="H15:I15" si="5">H14</f>
        <v>29</v>
      </c>
      <c r="I15" s="557">
        <f t="shared" si="5"/>
        <v>105.95</v>
      </c>
      <c r="J15" s="558">
        <f t="shared" si="0"/>
        <v>537.95000000000005</v>
      </c>
    </row>
    <row r="16" spans="1:13" ht="24" thickBot="1" x14ac:dyDescent="0.55000000000000004">
      <c r="A16" s="1149" t="s">
        <v>231</v>
      </c>
      <c r="B16" s="1150"/>
      <c r="C16" s="1150"/>
      <c r="D16" s="1150"/>
      <c r="E16" s="1150"/>
      <c r="F16" s="1150"/>
      <c r="G16" s="1150"/>
      <c r="H16" s="1150"/>
      <c r="I16" s="1150"/>
      <c r="J16" s="1151"/>
      <c r="K16" s="219">
        <v>1</v>
      </c>
      <c r="L16" s="220" t="s">
        <v>84</v>
      </c>
      <c r="M16" s="221" t="s">
        <v>85</v>
      </c>
    </row>
    <row r="17" spans="1:13" ht="24" thickBot="1" x14ac:dyDescent="0.55000000000000004">
      <c r="A17" s="1157"/>
      <c r="B17" s="1158"/>
      <c r="C17" s="1154" t="s">
        <v>315</v>
      </c>
      <c r="D17" s="1155"/>
      <c r="E17" s="1155"/>
      <c r="F17" s="1156"/>
      <c r="G17" s="559"/>
      <c r="H17" s="559"/>
      <c r="I17" s="559"/>
      <c r="J17" s="559"/>
      <c r="K17" s="560"/>
      <c r="L17" s="220"/>
      <c r="M17" s="221"/>
    </row>
    <row r="18" spans="1:13" ht="23.25" x14ac:dyDescent="0.5">
      <c r="A18" s="1144"/>
      <c r="B18" s="1147"/>
      <c r="C18" s="529" t="s">
        <v>178</v>
      </c>
      <c r="D18" s="530" t="s">
        <v>173</v>
      </c>
      <c r="E18" s="530" t="s">
        <v>172</v>
      </c>
      <c r="F18" s="531" t="s">
        <v>177</v>
      </c>
      <c r="G18" s="559"/>
      <c r="H18" s="559"/>
      <c r="I18" s="559"/>
      <c r="J18" s="559"/>
      <c r="K18" s="560"/>
      <c r="L18" s="220"/>
      <c r="M18" s="221"/>
    </row>
    <row r="19" spans="1:13" ht="24" thickBot="1" x14ac:dyDescent="0.55000000000000004">
      <c r="A19" s="1145"/>
      <c r="B19" s="1148"/>
      <c r="C19" s="533" t="s">
        <v>14</v>
      </c>
      <c r="D19" s="534" t="s">
        <v>21</v>
      </c>
      <c r="E19" s="534" t="s">
        <v>22</v>
      </c>
      <c r="F19" s="535" t="s">
        <v>176</v>
      </c>
      <c r="G19" s="559"/>
      <c r="H19" s="559"/>
      <c r="I19" s="559"/>
      <c r="J19" s="559"/>
      <c r="K19" s="560"/>
      <c r="L19" s="220"/>
      <c r="M19" s="221"/>
    </row>
    <row r="20" spans="1:13" ht="23.25" x14ac:dyDescent="0.5">
      <c r="A20" s="537">
        <v>1</v>
      </c>
      <c r="B20" s="538" t="s">
        <v>168</v>
      </c>
      <c r="C20" s="542">
        <v>436.45</v>
      </c>
      <c r="D20" s="543">
        <f>คำนวนขนส่งหิน!O39</f>
        <v>15</v>
      </c>
      <c r="E20" s="543">
        <f>คำนวนขนส่งหิน!Q40</f>
        <v>55.66</v>
      </c>
      <c r="F20" s="544">
        <f t="shared" ref="F20:F25" si="6">C20+E20</f>
        <v>492.11</v>
      </c>
      <c r="G20" s="559"/>
      <c r="H20" s="559"/>
      <c r="I20" s="559"/>
      <c r="J20" s="559"/>
      <c r="K20" s="560"/>
      <c r="L20" s="220"/>
      <c r="M20" s="221"/>
    </row>
    <row r="21" spans="1:13" ht="23.25" x14ac:dyDescent="0.5">
      <c r="A21" s="545">
        <v>2</v>
      </c>
      <c r="B21" s="546" t="s">
        <v>167</v>
      </c>
      <c r="C21" s="547">
        <v>390</v>
      </c>
      <c r="D21" s="548">
        <f t="shared" ref="D21:E24" si="7">D20</f>
        <v>15</v>
      </c>
      <c r="E21" s="548">
        <f t="shared" si="7"/>
        <v>55.66</v>
      </c>
      <c r="F21" s="549">
        <f t="shared" si="6"/>
        <v>445.65999999999997</v>
      </c>
      <c r="G21" s="559"/>
      <c r="H21" s="559"/>
      <c r="I21" s="559"/>
      <c r="J21" s="559"/>
      <c r="K21" s="560"/>
      <c r="L21" s="220"/>
      <c r="M21" s="221"/>
    </row>
    <row r="22" spans="1:13" ht="23.25" x14ac:dyDescent="0.5">
      <c r="A22" s="545">
        <v>3</v>
      </c>
      <c r="B22" s="546" t="s">
        <v>166</v>
      </c>
      <c r="C22" s="547">
        <v>562.79999999999995</v>
      </c>
      <c r="D22" s="548">
        <f t="shared" si="7"/>
        <v>15</v>
      </c>
      <c r="E22" s="548">
        <f t="shared" si="7"/>
        <v>55.66</v>
      </c>
      <c r="F22" s="549">
        <f t="shared" si="6"/>
        <v>618.45999999999992</v>
      </c>
      <c r="G22" s="559"/>
      <c r="H22" s="559"/>
      <c r="I22" s="559"/>
      <c r="J22" s="559"/>
      <c r="K22" s="560"/>
      <c r="L22" s="220"/>
      <c r="M22" s="221"/>
    </row>
    <row r="23" spans="1:13" ht="23.25" x14ac:dyDescent="0.5">
      <c r="A23" s="545">
        <v>4</v>
      </c>
      <c r="B23" s="546" t="s">
        <v>165</v>
      </c>
      <c r="C23" s="547">
        <v>562.79999999999995</v>
      </c>
      <c r="D23" s="548">
        <f t="shared" si="7"/>
        <v>15</v>
      </c>
      <c r="E23" s="548">
        <f t="shared" si="7"/>
        <v>55.66</v>
      </c>
      <c r="F23" s="549">
        <f t="shared" si="6"/>
        <v>618.45999999999992</v>
      </c>
      <c r="G23" s="559"/>
      <c r="H23" s="559"/>
      <c r="I23" s="559"/>
      <c r="J23" s="559"/>
      <c r="K23" s="560"/>
      <c r="L23" s="220"/>
      <c r="M23" s="221"/>
    </row>
    <row r="24" spans="1:13" ht="23.25" x14ac:dyDescent="0.5">
      <c r="A24" s="545">
        <v>5</v>
      </c>
      <c r="B24" s="546" t="s">
        <v>164</v>
      </c>
      <c r="C24" s="547">
        <v>478.8</v>
      </c>
      <c r="D24" s="548">
        <f t="shared" si="7"/>
        <v>15</v>
      </c>
      <c r="E24" s="548">
        <f t="shared" si="7"/>
        <v>55.66</v>
      </c>
      <c r="F24" s="549">
        <f t="shared" si="6"/>
        <v>534.46</v>
      </c>
      <c r="G24" s="559"/>
      <c r="H24" s="559"/>
      <c r="I24" s="559"/>
      <c r="J24" s="559"/>
      <c r="K24" s="560"/>
      <c r="L24" s="220"/>
      <c r="M24" s="221"/>
    </row>
    <row r="25" spans="1:13" ht="24" thickBot="1" x14ac:dyDescent="0.55000000000000004">
      <c r="A25" s="551">
        <v>6</v>
      </c>
      <c r="B25" s="552" t="s">
        <v>163</v>
      </c>
      <c r="C25" s="553">
        <f>ROUND(C21*0.45+C24*0.3+C22*0.25,0)</f>
        <v>460</v>
      </c>
      <c r="D25" s="554">
        <f t="shared" ref="D25:E25" si="8">D24</f>
        <v>15</v>
      </c>
      <c r="E25" s="554">
        <f t="shared" si="8"/>
        <v>55.66</v>
      </c>
      <c r="F25" s="555">
        <f t="shared" si="6"/>
        <v>515.66</v>
      </c>
      <c r="G25" s="559"/>
      <c r="H25" s="559"/>
      <c r="I25" s="559"/>
      <c r="J25" s="559"/>
      <c r="K25" s="560"/>
      <c r="L25" s="220"/>
      <c r="M25" s="221"/>
    </row>
    <row r="26" spans="1:13" ht="23.25" x14ac:dyDescent="0.5">
      <c r="A26" s="561" t="s">
        <v>233</v>
      </c>
      <c r="B26" s="562" t="s">
        <v>234</v>
      </c>
      <c r="C26" s="563" t="s">
        <v>453</v>
      </c>
      <c r="D26" s="564"/>
      <c r="E26" s="564"/>
      <c r="F26" s="565"/>
      <c r="G26" s="564"/>
      <c r="H26" s="564"/>
      <c r="I26" s="564"/>
      <c r="J26" s="565"/>
    </row>
    <row r="27" spans="1:13" ht="23.25" x14ac:dyDescent="0.5"/>
    <row r="28" spans="1:13" ht="23.25" x14ac:dyDescent="0.5">
      <c r="A28" s="1138" t="s">
        <v>0</v>
      </c>
      <c r="B28" s="1138" t="s">
        <v>175</v>
      </c>
      <c r="C28" s="1138" t="s">
        <v>235</v>
      </c>
      <c r="D28" s="1138"/>
      <c r="E28" s="1138"/>
      <c r="F28" s="1138"/>
      <c r="G28" s="1138"/>
      <c r="H28" s="1138"/>
      <c r="I28" s="1138"/>
      <c r="J28" s="1138"/>
    </row>
    <row r="29" spans="1:13" ht="23.25" x14ac:dyDescent="0.5">
      <c r="A29" s="1138"/>
      <c r="B29" s="1138"/>
      <c r="C29" s="1138" t="s">
        <v>232</v>
      </c>
      <c r="D29" s="1138"/>
      <c r="E29" s="1138"/>
      <c r="F29" s="1138"/>
      <c r="G29" s="1138"/>
      <c r="H29" s="1138"/>
      <c r="I29" s="1138"/>
      <c r="J29" s="1138"/>
    </row>
    <row r="30" spans="1:13" ht="23.25" x14ac:dyDescent="0.5">
      <c r="A30" s="1138"/>
      <c r="B30" s="1138"/>
      <c r="C30" s="566" t="s">
        <v>174</v>
      </c>
      <c r="D30" s="566" t="s">
        <v>173</v>
      </c>
      <c r="E30" s="566" t="s">
        <v>172</v>
      </c>
      <c r="F30" s="567" t="s">
        <v>171</v>
      </c>
      <c r="G30" s="1138" t="str">
        <f>C28</f>
        <v>สรุปเปรียบเทียบราคา</v>
      </c>
      <c r="H30" s="1138"/>
      <c r="I30" s="1138"/>
      <c r="J30" s="1138"/>
    </row>
    <row r="31" spans="1:13" ht="23.25" x14ac:dyDescent="0.5">
      <c r="A31" s="1138"/>
      <c r="B31" s="1138"/>
      <c r="C31" s="566" t="s">
        <v>170</v>
      </c>
      <c r="D31" s="566" t="s">
        <v>21</v>
      </c>
      <c r="E31" s="566" t="s">
        <v>22</v>
      </c>
      <c r="F31" s="567" t="s">
        <v>169</v>
      </c>
      <c r="G31" s="1138"/>
      <c r="H31" s="1138"/>
      <c r="I31" s="1138"/>
      <c r="J31" s="1138"/>
    </row>
    <row r="32" spans="1:13" ht="23.25" x14ac:dyDescent="0.5">
      <c r="A32" s="568">
        <v>1</v>
      </c>
      <c r="B32" s="569" t="s">
        <v>168</v>
      </c>
      <c r="C32" s="570">
        <f t="shared" ref="C32:C37" si="9">IF(F32=J10,G10,IF(F32=F10,C10,IF(F32=F20,C20)))</f>
        <v>436.45</v>
      </c>
      <c r="D32" s="548">
        <f t="shared" ref="D32:E37" si="10">IF(E32=I10,H10,IF(E32=E10,D10,IF(E32=E20,D20)))</f>
        <v>15</v>
      </c>
      <c r="E32" s="548">
        <f t="shared" si="10"/>
        <v>55.66</v>
      </c>
      <c r="F32" s="571">
        <f t="shared" ref="F32:F37" si="11">MIN(J10,F10,F20)</f>
        <v>492.11</v>
      </c>
      <c r="G32" s="1160" t="str">
        <f t="shared" ref="G32:G37" si="12">IF(F32=J10,$G$7,IF(F32=F10,$C$7,IF(F32=F20,$C$17,0)))</f>
        <v>สืบราคาโรงโม่ บจก.เอสโตน อ.แม่จัน</v>
      </c>
      <c r="H32" s="1160"/>
      <c r="I32" s="1160"/>
      <c r="J32" s="1160"/>
    </row>
    <row r="33" spans="1:10" ht="23.25" x14ac:dyDescent="0.5">
      <c r="A33" s="572">
        <v>2</v>
      </c>
      <c r="B33" s="573" t="s">
        <v>167</v>
      </c>
      <c r="C33" s="548">
        <f t="shared" si="9"/>
        <v>390</v>
      </c>
      <c r="D33" s="548">
        <f t="shared" si="10"/>
        <v>15</v>
      </c>
      <c r="E33" s="548">
        <f t="shared" si="10"/>
        <v>55.66</v>
      </c>
      <c r="F33" s="574">
        <f t="shared" si="11"/>
        <v>445.65999999999997</v>
      </c>
      <c r="G33" s="1160" t="str">
        <f t="shared" si="12"/>
        <v>สืบราคาโรงโม่ บจก.เอสโตน อ.แม่จัน</v>
      </c>
      <c r="H33" s="1160"/>
      <c r="I33" s="1160"/>
      <c r="J33" s="1160"/>
    </row>
    <row r="34" spans="1:10" ht="23.25" x14ac:dyDescent="0.5">
      <c r="A34" s="572">
        <v>3</v>
      </c>
      <c r="B34" s="573" t="s">
        <v>166</v>
      </c>
      <c r="C34" s="548">
        <f t="shared" si="9"/>
        <v>562.79999999999995</v>
      </c>
      <c r="D34" s="548">
        <f t="shared" si="10"/>
        <v>15</v>
      </c>
      <c r="E34" s="548">
        <f t="shared" si="10"/>
        <v>55.66</v>
      </c>
      <c r="F34" s="574">
        <f t="shared" si="11"/>
        <v>618.45999999999992</v>
      </c>
      <c r="G34" s="1160" t="str">
        <f t="shared" si="12"/>
        <v>สืบราคาโรงโม่ บจก.เอสโตน อ.แม่จัน</v>
      </c>
      <c r="H34" s="1160"/>
      <c r="I34" s="1160"/>
      <c r="J34" s="1160"/>
    </row>
    <row r="35" spans="1:10" ht="23.25" x14ac:dyDescent="0.5">
      <c r="A35" s="572">
        <v>4</v>
      </c>
      <c r="B35" s="573" t="s">
        <v>165</v>
      </c>
      <c r="C35" s="548">
        <f t="shared" si="9"/>
        <v>562.79999999999995</v>
      </c>
      <c r="D35" s="548">
        <f t="shared" si="10"/>
        <v>15</v>
      </c>
      <c r="E35" s="548">
        <f t="shared" si="10"/>
        <v>55.66</v>
      </c>
      <c r="F35" s="574">
        <f t="shared" si="11"/>
        <v>618.45999999999992</v>
      </c>
      <c r="G35" s="1160" t="str">
        <f t="shared" si="12"/>
        <v>สืบราคาโรงโม่ บจก.เอสโตน อ.แม่จัน</v>
      </c>
      <c r="H35" s="1160"/>
      <c r="I35" s="1160"/>
      <c r="J35" s="1160"/>
    </row>
    <row r="36" spans="1:10" ht="23.25" x14ac:dyDescent="0.5">
      <c r="A36" s="572">
        <v>5</v>
      </c>
      <c r="B36" s="573" t="s">
        <v>164</v>
      </c>
      <c r="C36" s="548">
        <f t="shared" si="9"/>
        <v>478.8</v>
      </c>
      <c r="D36" s="548">
        <f t="shared" si="10"/>
        <v>15</v>
      </c>
      <c r="E36" s="548">
        <f t="shared" si="10"/>
        <v>55.66</v>
      </c>
      <c r="F36" s="574">
        <f t="shared" si="11"/>
        <v>534.46</v>
      </c>
      <c r="G36" s="1160" t="str">
        <f t="shared" si="12"/>
        <v>สืบราคาโรงโม่ บจก.เอสโตน อ.แม่จัน</v>
      </c>
      <c r="H36" s="1160"/>
      <c r="I36" s="1160"/>
      <c r="J36" s="1160"/>
    </row>
    <row r="37" spans="1:10" ht="23.25" x14ac:dyDescent="0.5">
      <c r="A37" s="575">
        <v>6</v>
      </c>
      <c r="B37" s="576" t="s">
        <v>163</v>
      </c>
      <c r="C37" s="577">
        <f t="shared" si="9"/>
        <v>460</v>
      </c>
      <c r="D37" s="577">
        <f t="shared" si="10"/>
        <v>15</v>
      </c>
      <c r="E37" s="577">
        <f t="shared" si="10"/>
        <v>55.66</v>
      </c>
      <c r="F37" s="578">
        <f t="shared" si="11"/>
        <v>515.66</v>
      </c>
      <c r="G37" s="1159" t="str">
        <f t="shared" si="12"/>
        <v>สืบราคาโรงโม่ บจก.เอสโตน อ.แม่จัน</v>
      </c>
      <c r="H37" s="1159"/>
      <c r="I37" s="1159"/>
      <c r="J37" s="1159"/>
    </row>
    <row r="38" spans="1:10" ht="23.25" x14ac:dyDescent="0.5"/>
    <row r="39" spans="1:10" ht="23.25" x14ac:dyDescent="0.5"/>
    <row r="40" spans="1:10" ht="23.25" x14ac:dyDescent="0.5"/>
    <row r="41" spans="1:10" ht="23.25" x14ac:dyDescent="0.5"/>
    <row r="42" spans="1:10" ht="23.25" x14ac:dyDescent="0.5"/>
    <row r="43" spans="1:10" ht="23.25" x14ac:dyDescent="0.5"/>
    <row r="44" spans="1:10" ht="23.25" x14ac:dyDescent="0.5"/>
    <row r="45" spans="1:10" ht="23.25" x14ac:dyDescent="0.5"/>
    <row r="46" spans="1:10" ht="23.25" x14ac:dyDescent="0.5"/>
    <row r="47" spans="1:10" ht="23.25" x14ac:dyDescent="0.5"/>
    <row r="48" spans="1:10" ht="23.25" x14ac:dyDescent="0.5"/>
    <row r="49" ht="23.25" x14ac:dyDescent="0.5"/>
    <row r="50" ht="23.25" x14ac:dyDescent="0.5"/>
    <row r="51" ht="23.25" x14ac:dyDescent="0.5"/>
    <row r="52" ht="23.25" x14ac:dyDescent="0.5"/>
  </sheetData>
  <protectedRanges>
    <protectedRange sqref="C10 C20" name="ช่วง1"/>
    <protectedRange sqref="C11:C14" name="ช่วง2_3"/>
  </protectedRanges>
  <mergeCells count="23">
    <mergeCell ref="C4:J4"/>
    <mergeCell ref="G37:J37"/>
    <mergeCell ref="G32:J32"/>
    <mergeCell ref="G33:J33"/>
    <mergeCell ref="G34:J34"/>
    <mergeCell ref="G35:J35"/>
    <mergeCell ref="G36:J36"/>
    <mergeCell ref="C3:J3"/>
    <mergeCell ref="C28:J28"/>
    <mergeCell ref="C29:J29"/>
    <mergeCell ref="G30:J31"/>
    <mergeCell ref="A1:J1"/>
    <mergeCell ref="A6:J6"/>
    <mergeCell ref="A7:A9"/>
    <mergeCell ref="B7:B9"/>
    <mergeCell ref="C7:F7"/>
    <mergeCell ref="G7:J7"/>
    <mergeCell ref="C17:F17"/>
    <mergeCell ref="A28:A31"/>
    <mergeCell ref="B28:B31"/>
    <mergeCell ref="A16:J16"/>
    <mergeCell ref="A17:A19"/>
    <mergeCell ref="B17:B19"/>
  </mergeCells>
  <dataValidations disablePrompts="1" count="1">
    <dataValidation type="list" allowBlank="1" showInputMessage="1" showErrorMessage="1" promptTitle="พาหนะขนส่ง" prompt="โปรดเลือก_x000a_ชนิดรถบรรทุก" sqref="B36 B14 B24">
      <formula1>$V$15:$V$27</formula1>
    </dataValidation>
  </dataValidations>
  <printOptions horizontalCentered="1"/>
  <pageMargins left="0.19685039370078741" right="0.19685039370078741" top="0.31496062992125984" bottom="0.19685039370078741" header="0.31496062992125984" footer="0.31496062992125984"/>
  <pageSetup paperSize="9" scale="90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U41"/>
  <sheetViews>
    <sheetView topLeftCell="A22" zoomScaleSheetLayoutView="100" workbookViewId="0">
      <selection activeCell="S32" sqref="S32"/>
    </sheetView>
  </sheetViews>
  <sheetFormatPr defaultColWidth="9" defaultRowHeight="21" x14ac:dyDescent="0.45"/>
  <cols>
    <col min="1" max="2" width="5.7109375" style="175" customWidth="1"/>
    <col min="3" max="4" width="8.7109375" style="175" customWidth="1"/>
    <col min="5" max="5" width="5.7109375" style="175" customWidth="1"/>
    <col min="6" max="6" width="8.7109375" style="195" customWidth="1"/>
    <col min="7" max="7" width="5.7109375" style="175" customWidth="1"/>
    <col min="8" max="8" width="8.7109375" style="175" customWidth="1"/>
    <col min="9" max="9" width="10.28515625" style="175" customWidth="1"/>
    <col min="10" max="11" width="5.7109375" style="175" customWidth="1"/>
    <col min="12" max="13" width="8.7109375" style="175" customWidth="1"/>
    <col min="14" max="14" width="5.7109375" style="175" customWidth="1"/>
    <col min="15" max="15" width="8.7109375" style="195" customWidth="1"/>
    <col min="16" max="16" width="5.7109375" style="175" customWidth="1"/>
    <col min="17" max="17" width="8.7109375" style="175" customWidth="1"/>
    <col min="18" max="18" width="10.28515625" style="175" customWidth="1"/>
    <col min="19" max="16384" width="9" style="175"/>
  </cols>
  <sheetData>
    <row r="1" spans="1:21" s="155" customFormat="1" ht="36.75" customHeight="1" x14ac:dyDescent="0.5">
      <c r="A1" s="1161" t="s">
        <v>264</v>
      </c>
      <c r="B1" s="1161"/>
      <c r="C1" s="1161"/>
      <c r="D1" s="1161"/>
      <c r="E1" s="1161"/>
      <c r="F1" s="1161"/>
      <c r="G1" s="1161"/>
      <c r="H1" s="1161"/>
      <c r="I1" s="1161"/>
      <c r="J1" s="1161"/>
      <c r="K1" s="1161"/>
      <c r="L1" s="1161"/>
      <c r="M1" s="1161"/>
      <c r="N1" s="1161"/>
      <c r="O1" s="1161"/>
      <c r="P1" s="1161"/>
      <c r="Q1" s="1161"/>
      <c r="R1" s="1161"/>
    </row>
    <row r="2" spans="1:21" s="155" customFormat="1" x14ac:dyDescent="0.5">
      <c r="A2" s="156" t="s">
        <v>138</v>
      </c>
      <c r="C2" s="157" t="str">
        <f>ปร.งานทาง!C2</f>
        <v>องค์การบริหารส่วนตำบลป่าตึง</v>
      </c>
      <c r="D2" s="157"/>
      <c r="E2" s="157"/>
      <c r="F2" s="157"/>
      <c r="G2" s="158"/>
      <c r="H2" s="159"/>
      <c r="I2" s="159"/>
      <c r="J2" s="160"/>
      <c r="K2" s="160"/>
      <c r="L2" s="161"/>
      <c r="M2" s="162"/>
    </row>
    <row r="3" spans="1:21" s="155" customFormat="1" x14ac:dyDescent="0.5">
      <c r="A3" s="163" t="s">
        <v>139</v>
      </c>
      <c r="C3" s="157" t="str">
        <f>ปร.งานทาง!C3</f>
        <v>ซ่อมสร้างถนนลาดยางแอสฟัลต์ติกคอนกรีต  สายทาง 1089  ตำบลป่าตึง อำเภอแม่จัน จังหวัดเชียงราย</v>
      </c>
      <c r="F3" s="160"/>
      <c r="G3" s="160"/>
      <c r="H3" s="160"/>
      <c r="I3" s="160"/>
      <c r="J3" s="160"/>
      <c r="K3" s="160"/>
      <c r="L3" s="160"/>
      <c r="M3" s="164"/>
    </row>
    <row r="4" spans="1:21" s="155" customFormat="1" x14ac:dyDescent="0.5">
      <c r="A4" s="163" t="s">
        <v>140</v>
      </c>
      <c r="C4" s="157" t="str">
        <f>ปร.งานทาง!C4</f>
        <v xml:space="preserve">หน้าโรงเรียนศุภปัญญา  หมู่ 4 ตำบลป่าตึง อำเภอแม่จัน จังหวัดเชียงราย </v>
      </c>
      <c r="F4" s="165"/>
      <c r="G4" s="165"/>
      <c r="H4" s="160"/>
      <c r="I4" s="160"/>
      <c r="J4" s="160"/>
      <c r="K4" s="160"/>
      <c r="L4" s="160"/>
      <c r="M4" s="164"/>
    </row>
    <row r="5" spans="1:21" s="155" customFormat="1" ht="21.75" thickBot="1" x14ac:dyDescent="0.55000000000000004">
      <c r="A5" s="155" t="str">
        <f>ปร.งานทาง!A7</f>
        <v>ราคาน้ำมันดีเซล ที่ อ.เมือง  32.00 - 32.99 บาท/ลิตร เฉลี่ย  32.50 บาท/ลิตร</v>
      </c>
      <c r="D5" s="166"/>
      <c r="E5" s="167"/>
      <c r="F5" s="167"/>
      <c r="G5" s="168"/>
      <c r="H5" s="169"/>
      <c r="I5" s="170"/>
      <c r="J5" s="171"/>
      <c r="K5" s="169"/>
      <c r="M5" s="172"/>
      <c r="N5" s="173"/>
    </row>
    <row r="6" spans="1:21" s="174" customFormat="1" ht="21.75" thickBot="1" x14ac:dyDescent="0.5">
      <c r="A6" s="1162" t="str">
        <f>ค่าหิน!C7</f>
        <v>สืบราคาโรงโม่ บจก.เชียงรายแลนด์ฯ อ.เวียงชัย</v>
      </c>
      <c r="B6" s="1163"/>
      <c r="C6" s="1163"/>
      <c r="D6" s="1163"/>
      <c r="E6" s="1163"/>
      <c r="F6" s="1163"/>
      <c r="G6" s="1163"/>
      <c r="H6" s="1163"/>
      <c r="I6" s="1164"/>
      <c r="J6" s="1162" t="str">
        <f>ค่าหิน!G7</f>
        <v>สืบราคาโรงโม่หินบัญชากิจ ต.ท่าข้าวเปลือก</v>
      </c>
      <c r="K6" s="1163"/>
      <c r="L6" s="1163"/>
      <c r="M6" s="1163"/>
      <c r="N6" s="1163"/>
      <c r="O6" s="1163"/>
      <c r="P6" s="1163"/>
      <c r="Q6" s="1163"/>
      <c r="R6" s="1164"/>
    </row>
    <row r="7" spans="1:21" x14ac:dyDescent="0.45">
      <c r="A7" s="1171" t="s">
        <v>242</v>
      </c>
      <c r="B7" s="1172"/>
      <c r="C7" s="1172"/>
      <c r="D7" s="1172"/>
      <c r="E7" s="1172"/>
      <c r="F7" s="1172"/>
      <c r="G7" s="1172"/>
      <c r="H7" s="1172"/>
      <c r="I7" s="1173"/>
      <c r="J7" s="1171" t="s">
        <v>242</v>
      </c>
      <c r="K7" s="1172"/>
      <c r="L7" s="1172"/>
      <c r="M7" s="1172"/>
      <c r="N7" s="1172"/>
      <c r="O7" s="1172"/>
      <c r="P7" s="1172"/>
      <c r="Q7" s="1172"/>
      <c r="R7" s="1173"/>
    </row>
    <row r="8" spans="1:21" x14ac:dyDescent="0.45">
      <c r="A8" s="1168" t="s">
        <v>243</v>
      </c>
      <c r="B8" s="1169"/>
      <c r="C8" s="1169"/>
      <c r="D8" s="1169"/>
      <c r="E8" s="1169"/>
      <c r="F8" s="1169"/>
      <c r="G8" s="1169"/>
      <c r="H8" s="1169"/>
      <c r="I8" s="1170"/>
      <c r="J8" s="1168" t="s">
        <v>243</v>
      </c>
      <c r="K8" s="1169"/>
      <c r="L8" s="1169"/>
      <c r="M8" s="1169"/>
      <c r="N8" s="1169"/>
      <c r="O8" s="1169"/>
      <c r="P8" s="1169"/>
      <c r="Q8" s="1169"/>
      <c r="R8" s="1170"/>
    </row>
    <row r="9" spans="1:21" x14ac:dyDescent="0.45">
      <c r="A9" s="176" t="s">
        <v>253</v>
      </c>
      <c r="F9" s="177"/>
      <c r="G9" s="178" t="s">
        <v>254</v>
      </c>
      <c r="H9" s="179">
        <f>กรอกข้อมูล!D12</f>
        <v>40</v>
      </c>
      <c r="I9" s="180" t="s">
        <v>21</v>
      </c>
      <c r="J9" s="176" t="s">
        <v>253</v>
      </c>
      <c r="O9" s="177"/>
      <c r="P9" s="178" t="s">
        <v>254</v>
      </c>
      <c r="Q9" s="179">
        <f>กรอกข้อมูล!D13</f>
        <v>29</v>
      </c>
      <c r="R9" s="180" t="s">
        <v>21</v>
      </c>
    </row>
    <row r="10" spans="1:21" x14ac:dyDescent="0.45">
      <c r="A10" s="176" t="s">
        <v>244</v>
      </c>
      <c r="F10" s="181"/>
      <c r="I10" s="180"/>
      <c r="J10" s="176" t="s">
        <v>244</v>
      </c>
      <c r="O10" s="181"/>
      <c r="R10" s="180"/>
    </row>
    <row r="11" spans="1:21" x14ac:dyDescent="0.45">
      <c r="A11" s="182" t="s">
        <v>255</v>
      </c>
      <c r="D11" s="179">
        <f>H9-D12-D13</f>
        <v>40</v>
      </c>
      <c r="E11" s="175" t="s">
        <v>245</v>
      </c>
      <c r="F11" s="181">
        <v>1</v>
      </c>
      <c r="G11" s="175" t="s">
        <v>8</v>
      </c>
      <c r="H11" s="183">
        <f>D11*F11</f>
        <v>40</v>
      </c>
      <c r="I11" s="180" t="s">
        <v>21</v>
      </c>
      <c r="J11" s="175" t="s">
        <v>255</v>
      </c>
      <c r="M11" s="179">
        <f>Q9-M12-M13</f>
        <v>29</v>
      </c>
      <c r="N11" s="175" t="s">
        <v>245</v>
      </c>
      <c r="O11" s="181">
        <v>1</v>
      </c>
      <c r="P11" s="175" t="s">
        <v>8</v>
      </c>
      <c r="Q11" s="183">
        <f>M11*O11</f>
        <v>29</v>
      </c>
      <c r="R11" s="180" t="s">
        <v>21</v>
      </c>
      <c r="S11" s="184">
        <v>1</v>
      </c>
      <c r="T11" s="185" t="s">
        <v>84</v>
      </c>
      <c r="U11" s="186" t="s">
        <v>85</v>
      </c>
    </row>
    <row r="12" spans="1:21" x14ac:dyDescent="0.45">
      <c r="A12" s="182" t="s">
        <v>257</v>
      </c>
      <c r="D12" s="179">
        <v>0</v>
      </c>
      <c r="E12" s="175" t="s">
        <v>245</v>
      </c>
      <c r="F12" s="181">
        <v>1.95</v>
      </c>
      <c r="G12" s="175" t="s">
        <v>8</v>
      </c>
      <c r="H12" s="183">
        <f>D12*F12</f>
        <v>0</v>
      </c>
      <c r="I12" s="180" t="s">
        <v>21</v>
      </c>
      <c r="J12" s="175" t="s">
        <v>257</v>
      </c>
      <c r="M12" s="179">
        <v>0</v>
      </c>
      <c r="N12" s="175" t="s">
        <v>245</v>
      </c>
      <c r="O12" s="181">
        <v>1.95</v>
      </c>
      <c r="P12" s="175" t="s">
        <v>8</v>
      </c>
      <c r="Q12" s="183">
        <f>M12*O12</f>
        <v>0</v>
      </c>
      <c r="R12" s="180" t="s">
        <v>21</v>
      </c>
      <c r="S12" s="187"/>
      <c r="T12" s="185" t="s">
        <v>84</v>
      </c>
      <c r="U12" s="186" t="s">
        <v>94</v>
      </c>
    </row>
    <row r="13" spans="1:21" x14ac:dyDescent="0.45">
      <c r="A13" s="182" t="s">
        <v>256</v>
      </c>
      <c r="D13" s="179">
        <v>0</v>
      </c>
      <c r="E13" s="175" t="s">
        <v>245</v>
      </c>
      <c r="F13" s="181">
        <v>2.52</v>
      </c>
      <c r="G13" s="175" t="s">
        <v>8</v>
      </c>
      <c r="H13" s="183">
        <f>D13*F13</f>
        <v>0</v>
      </c>
      <c r="I13" s="180" t="s">
        <v>21</v>
      </c>
      <c r="J13" s="175" t="s">
        <v>256</v>
      </c>
      <c r="M13" s="179">
        <v>0</v>
      </c>
      <c r="N13" s="175" t="s">
        <v>245</v>
      </c>
      <c r="O13" s="181">
        <v>2.52</v>
      </c>
      <c r="P13" s="175" t="s">
        <v>8</v>
      </c>
      <c r="Q13" s="183">
        <f>M13*O13</f>
        <v>0</v>
      </c>
      <c r="R13" s="180" t="s">
        <v>21</v>
      </c>
    </row>
    <row r="14" spans="1:21" x14ac:dyDescent="0.45">
      <c r="A14" s="176" t="s">
        <v>246</v>
      </c>
      <c r="D14" s="179"/>
      <c r="F14" s="181"/>
      <c r="H14" s="183"/>
      <c r="I14" s="180"/>
      <c r="J14" s="176" t="s">
        <v>246</v>
      </c>
      <c r="M14" s="179"/>
      <c r="O14" s="181"/>
      <c r="Q14" s="183"/>
      <c r="R14" s="180"/>
    </row>
    <row r="15" spans="1:21" x14ac:dyDescent="0.45">
      <c r="A15" s="182" t="s">
        <v>255</v>
      </c>
      <c r="D15" s="179">
        <v>0</v>
      </c>
      <c r="E15" s="175" t="s">
        <v>245</v>
      </c>
      <c r="F15" s="181">
        <v>1.23</v>
      </c>
      <c r="G15" s="175" t="s">
        <v>8</v>
      </c>
      <c r="H15" s="183">
        <f>D15*F15</f>
        <v>0</v>
      </c>
      <c r="I15" s="180" t="s">
        <v>21</v>
      </c>
      <c r="J15" s="175" t="s">
        <v>255</v>
      </c>
      <c r="M15" s="179">
        <f>D15</f>
        <v>0</v>
      </c>
      <c r="N15" s="175" t="s">
        <v>245</v>
      </c>
      <c r="O15" s="181">
        <v>1.23</v>
      </c>
      <c r="P15" s="175" t="s">
        <v>8</v>
      </c>
      <c r="Q15" s="183">
        <f>M15*O15</f>
        <v>0</v>
      </c>
      <c r="R15" s="180" t="s">
        <v>21</v>
      </c>
    </row>
    <row r="16" spans="1:21" x14ac:dyDescent="0.45">
      <c r="A16" s="182" t="s">
        <v>257</v>
      </c>
      <c r="D16" s="179">
        <v>0</v>
      </c>
      <c r="E16" s="175" t="s">
        <v>245</v>
      </c>
      <c r="F16" s="181">
        <v>2.1800000000000002</v>
      </c>
      <c r="G16" s="175" t="s">
        <v>8</v>
      </c>
      <c r="H16" s="183">
        <f>D16*F16</f>
        <v>0</v>
      </c>
      <c r="I16" s="180" t="s">
        <v>21</v>
      </c>
      <c r="J16" s="175" t="s">
        <v>257</v>
      </c>
      <c r="M16" s="179">
        <f>D16</f>
        <v>0</v>
      </c>
      <c r="N16" s="175" t="s">
        <v>245</v>
      </c>
      <c r="O16" s="181">
        <v>2.1800000000000002</v>
      </c>
      <c r="P16" s="175" t="s">
        <v>8</v>
      </c>
      <c r="Q16" s="183">
        <f>M16*O16</f>
        <v>0</v>
      </c>
      <c r="R16" s="180" t="s">
        <v>21</v>
      </c>
    </row>
    <row r="17" spans="1:18" x14ac:dyDescent="0.45">
      <c r="A17" s="182" t="s">
        <v>256</v>
      </c>
      <c r="D17" s="179">
        <v>0</v>
      </c>
      <c r="E17" s="175" t="s">
        <v>245</v>
      </c>
      <c r="F17" s="181">
        <v>2.75</v>
      </c>
      <c r="G17" s="175" t="s">
        <v>8</v>
      </c>
      <c r="H17" s="183">
        <f>D17*F17</f>
        <v>0</v>
      </c>
      <c r="I17" s="180" t="s">
        <v>21</v>
      </c>
      <c r="J17" s="175" t="s">
        <v>256</v>
      </c>
      <c r="M17" s="179">
        <f>D17</f>
        <v>0</v>
      </c>
      <c r="N17" s="175" t="s">
        <v>245</v>
      </c>
      <c r="O17" s="181">
        <v>2.75</v>
      </c>
      <c r="P17" s="175" t="s">
        <v>8</v>
      </c>
      <c r="Q17" s="183">
        <f>M17*O17</f>
        <v>0</v>
      </c>
      <c r="R17" s="180" t="s">
        <v>21</v>
      </c>
    </row>
    <row r="18" spans="1:18" x14ac:dyDescent="0.45">
      <c r="A18" s="176"/>
      <c r="D18" s="175" t="s">
        <v>247</v>
      </c>
      <c r="F18" s="181"/>
      <c r="G18" s="175" t="s">
        <v>8</v>
      </c>
      <c r="H18" s="183">
        <f>SUM(H11:H17)</f>
        <v>40</v>
      </c>
      <c r="I18" s="180" t="s">
        <v>21</v>
      </c>
      <c r="J18" s="176"/>
      <c r="M18" s="175" t="s">
        <v>247</v>
      </c>
      <c r="O18" s="181"/>
      <c r="P18" s="175" t="s">
        <v>8</v>
      </c>
      <c r="Q18" s="183">
        <f>SUM(Q11:Q17)</f>
        <v>29</v>
      </c>
      <c r="R18" s="180" t="s">
        <v>21</v>
      </c>
    </row>
    <row r="19" spans="1:18" x14ac:dyDescent="0.45">
      <c r="A19" s="176" t="s">
        <v>265</v>
      </c>
      <c r="D19" s="175" t="str">
        <f>"= "&amp;FIXED(H18,2)&amp;"/"&amp;FIXED(H9,2)&amp;""</f>
        <v>= 40.00/40.00</v>
      </c>
      <c r="F19" s="181"/>
      <c r="G19" s="175" t="s">
        <v>8</v>
      </c>
      <c r="H19" s="188">
        <f>H18/H9</f>
        <v>1</v>
      </c>
      <c r="I19" s="180"/>
      <c r="J19" s="176" t="s">
        <v>265</v>
      </c>
      <c r="M19" s="175" t="str">
        <f>"= "&amp;FIXED(Q18,2)&amp;"/"&amp;FIXED(Q9,2)&amp;""</f>
        <v>= 29.00/29.00</v>
      </c>
      <c r="O19" s="181"/>
      <c r="P19" s="175" t="s">
        <v>8</v>
      </c>
      <c r="Q19" s="188">
        <f>Q18/Q9</f>
        <v>1</v>
      </c>
      <c r="R19" s="180"/>
    </row>
    <row r="20" spans="1:18" x14ac:dyDescent="0.45">
      <c r="A20" s="176" t="s">
        <v>248</v>
      </c>
      <c r="F20" s="181"/>
      <c r="I20" s="180"/>
      <c r="J20" s="176" t="s">
        <v>248</v>
      </c>
      <c r="O20" s="181"/>
      <c r="R20" s="180"/>
    </row>
    <row r="21" spans="1:18" x14ac:dyDescent="0.45">
      <c r="A21" s="1174" t="s">
        <v>249</v>
      </c>
      <c r="B21" s="1175"/>
      <c r="C21" s="1175"/>
      <c r="D21" s="1175"/>
      <c r="E21" s="1175"/>
      <c r="F21" s="189">
        <f>H9</f>
        <v>40</v>
      </c>
      <c r="G21" s="175" t="s">
        <v>250</v>
      </c>
      <c r="H21" s="179">
        <f>IF($S$11=1,IF(F21&lt;=200,VLOOKUP(F21,'S2'!B$5:'S2'!F$204,3),IF(F21&gt;200,(F21-200)*'S2'!D$205+'S2'!D$204)),IF($S$11=2,IF(F21&lt;=200,VLOOKUP(F21,'S2'!B$5:'S2'!F$204,5),IF(F21&gt;200,(F21-200)*'S2'!F$205+'S2'!F$204))))</f>
        <v>145.5</v>
      </c>
      <c r="I21" s="180" t="s">
        <v>3</v>
      </c>
      <c r="J21" s="1174" t="s">
        <v>249</v>
      </c>
      <c r="K21" s="1175"/>
      <c r="L21" s="1175"/>
      <c r="M21" s="1175"/>
      <c r="N21" s="1175"/>
      <c r="O21" s="181">
        <f>Q9</f>
        <v>29</v>
      </c>
      <c r="P21" s="175" t="s">
        <v>250</v>
      </c>
      <c r="Q21" s="179">
        <f>IF($S$11=1,IF(O21&lt;=200,VLOOKUP(O21,'S2'!B$5:'S2'!F$204,3),IF(O21&gt;200,(O21-200)*'S2'!D$205+'S2'!D$204)),IF($S$11=2,IF(O21&lt;=200,VLOOKUP(O21,'S2'!B$5:'S2'!F$204,5),IF(O21&gt;200,(O21-200)*'S2'!F$205+'S2'!F$204))))</f>
        <v>105.95</v>
      </c>
      <c r="R21" s="180" t="s">
        <v>3</v>
      </c>
    </row>
    <row r="22" spans="1:18" ht="21.75" thickBot="1" x14ac:dyDescent="0.5">
      <c r="A22" s="1174" t="s">
        <v>251</v>
      </c>
      <c r="B22" s="1175"/>
      <c r="C22" s="1175"/>
      <c r="D22" s="1175"/>
      <c r="E22" s="175" t="str">
        <f>""&amp;FIXED(H19,4)&amp;"x"&amp;FIXED(H21,2)&amp;""</f>
        <v>1.0000x145.50</v>
      </c>
      <c r="F22" s="181"/>
      <c r="G22" s="175" t="s">
        <v>252</v>
      </c>
      <c r="H22" s="190">
        <f>H19*H21</f>
        <v>145.5</v>
      </c>
      <c r="I22" s="180" t="s">
        <v>3</v>
      </c>
      <c r="J22" s="1174" t="s">
        <v>251</v>
      </c>
      <c r="K22" s="1175"/>
      <c r="L22" s="1175"/>
      <c r="M22" s="1175"/>
      <c r="N22" s="175" t="str">
        <f>""&amp;FIXED(Q19,4)&amp;"x"&amp;FIXED(Q21,2)&amp;""</f>
        <v>1.0000x105.95</v>
      </c>
      <c r="O22" s="181"/>
      <c r="P22" s="175" t="s">
        <v>252</v>
      </c>
      <c r="Q22" s="190">
        <f>Q19*Q21</f>
        <v>105.95</v>
      </c>
      <c r="R22" s="180" t="s">
        <v>3</v>
      </c>
    </row>
    <row r="23" spans="1:18" ht="22.5" thickTop="1" thickBot="1" x14ac:dyDescent="0.5">
      <c r="A23" s="191"/>
      <c r="B23" s="192"/>
      <c r="C23" s="192"/>
      <c r="D23" s="192"/>
      <c r="E23" s="192"/>
      <c r="F23" s="193"/>
      <c r="G23" s="192"/>
      <c r="H23" s="192"/>
      <c r="I23" s="194"/>
      <c r="J23" s="191"/>
      <c r="K23" s="192"/>
      <c r="L23" s="192"/>
      <c r="M23" s="192"/>
      <c r="N23" s="192"/>
      <c r="O23" s="193"/>
      <c r="P23" s="192"/>
      <c r="Q23" s="192"/>
      <c r="R23" s="194"/>
    </row>
    <row r="24" spans="1:18" s="174" customFormat="1" ht="21.75" thickBot="1" x14ac:dyDescent="0.5">
      <c r="A24" s="1162"/>
      <c r="B24" s="1163"/>
      <c r="C24" s="1163"/>
      <c r="D24" s="1163"/>
      <c r="E24" s="1163"/>
      <c r="F24" s="1163"/>
      <c r="G24" s="1163"/>
      <c r="H24" s="1163"/>
      <c r="I24" s="1163"/>
      <c r="J24" s="1162" t="str">
        <f>ค่าหิน!C17</f>
        <v>สืบราคาโรงโม่ บจก.เอสโตน อ.แม่จัน</v>
      </c>
      <c r="K24" s="1163"/>
      <c r="L24" s="1163"/>
      <c r="M24" s="1163"/>
      <c r="N24" s="1163"/>
      <c r="O24" s="1163"/>
      <c r="P24" s="1163"/>
      <c r="Q24" s="1163"/>
      <c r="R24" s="1164"/>
    </row>
    <row r="25" spans="1:18" x14ac:dyDescent="0.45">
      <c r="A25" s="1165"/>
      <c r="B25" s="1166"/>
      <c r="C25" s="1166"/>
      <c r="D25" s="1166"/>
      <c r="E25" s="1166"/>
      <c r="F25" s="1166"/>
      <c r="G25" s="1166"/>
      <c r="H25" s="1166"/>
      <c r="I25" s="1167"/>
      <c r="J25" s="1165" t="s">
        <v>242</v>
      </c>
      <c r="K25" s="1166"/>
      <c r="L25" s="1166"/>
      <c r="M25" s="1166"/>
      <c r="N25" s="1166"/>
      <c r="O25" s="1166"/>
      <c r="P25" s="1166"/>
      <c r="Q25" s="1166"/>
      <c r="R25" s="1167"/>
    </row>
    <row r="26" spans="1:18" x14ac:dyDescent="0.45">
      <c r="A26" s="1168"/>
      <c r="B26" s="1169"/>
      <c r="C26" s="1169"/>
      <c r="D26" s="1169"/>
      <c r="E26" s="1169"/>
      <c r="F26" s="1169"/>
      <c r="G26" s="1169"/>
      <c r="H26" s="1169"/>
      <c r="I26" s="1170"/>
      <c r="J26" s="1168" t="s">
        <v>243</v>
      </c>
      <c r="K26" s="1169"/>
      <c r="L26" s="1169"/>
      <c r="M26" s="1169"/>
      <c r="N26" s="1169"/>
      <c r="O26" s="1169"/>
      <c r="P26" s="1169"/>
      <c r="Q26" s="1169"/>
      <c r="R26" s="1170"/>
    </row>
    <row r="27" spans="1:18" x14ac:dyDescent="0.45">
      <c r="A27" s="176"/>
      <c r="F27" s="177"/>
      <c r="G27" s="178"/>
      <c r="H27" s="179"/>
      <c r="I27" s="180"/>
      <c r="J27" s="176" t="s">
        <v>253</v>
      </c>
      <c r="O27" s="177"/>
      <c r="P27" s="178" t="s">
        <v>254</v>
      </c>
      <c r="Q27" s="179">
        <f>กรอกข้อมูล!D14</f>
        <v>15</v>
      </c>
      <c r="R27" s="180" t="s">
        <v>21</v>
      </c>
    </row>
    <row r="28" spans="1:18" x14ac:dyDescent="0.45">
      <c r="A28" s="176"/>
      <c r="F28" s="181"/>
      <c r="I28" s="180"/>
      <c r="J28" s="176" t="s">
        <v>244</v>
      </c>
      <c r="O28" s="181"/>
      <c r="R28" s="180"/>
    </row>
    <row r="29" spans="1:18" x14ac:dyDescent="0.45">
      <c r="A29" s="182"/>
      <c r="D29" s="179"/>
      <c r="F29" s="181"/>
      <c r="H29" s="183"/>
      <c r="I29" s="180"/>
      <c r="J29" s="175" t="s">
        <v>255</v>
      </c>
      <c r="M29" s="179">
        <f>Q27-M30-M31</f>
        <v>15</v>
      </c>
      <c r="N29" s="175" t="s">
        <v>245</v>
      </c>
      <c r="O29" s="181">
        <v>1</v>
      </c>
      <c r="P29" s="175" t="s">
        <v>8</v>
      </c>
      <c r="Q29" s="183">
        <f>M29*O29</f>
        <v>15</v>
      </c>
      <c r="R29" s="180" t="s">
        <v>21</v>
      </c>
    </row>
    <row r="30" spans="1:18" x14ac:dyDescent="0.45">
      <c r="A30" s="182"/>
      <c r="D30" s="179"/>
      <c r="F30" s="181"/>
      <c r="H30" s="183"/>
      <c r="I30" s="180"/>
      <c r="J30" s="175" t="s">
        <v>257</v>
      </c>
      <c r="M30" s="179">
        <v>0</v>
      </c>
      <c r="N30" s="175" t="s">
        <v>245</v>
      </c>
      <c r="O30" s="181">
        <v>1.95</v>
      </c>
      <c r="P30" s="175" t="s">
        <v>8</v>
      </c>
      <c r="Q30" s="183">
        <f>M30*O30</f>
        <v>0</v>
      </c>
      <c r="R30" s="180" t="s">
        <v>21</v>
      </c>
    </row>
    <row r="31" spans="1:18" x14ac:dyDescent="0.45">
      <c r="A31" s="182"/>
      <c r="D31" s="179"/>
      <c r="F31" s="181"/>
      <c r="H31" s="183"/>
      <c r="I31" s="180"/>
      <c r="J31" s="175" t="s">
        <v>256</v>
      </c>
      <c r="M31" s="179">
        <v>0</v>
      </c>
      <c r="N31" s="175" t="s">
        <v>245</v>
      </c>
      <c r="O31" s="181">
        <v>2.52</v>
      </c>
      <c r="P31" s="175" t="s">
        <v>8</v>
      </c>
      <c r="Q31" s="183">
        <f>M31*O31</f>
        <v>0</v>
      </c>
      <c r="R31" s="180" t="s">
        <v>21</v>
      </c>
    </row>
    <row r="32" spans="1:18" x14ac:dyDescent="0.45">
      <c r="A32" s="176"/>
      <c r="F32" s="181"/>
      <c r="H32" s="183"/>
      <c r="I32" s="180"/>
      <c r="J32" s="176" t="s">
        <v>246</v>
      </c>
      <c r="O32" s="181"/>
      <c r="Q32" s="183"/>
      <c r="R32" s="180"/>
    </row>
    <row r="33" spans="1:18" x14ac:dyDescent="0.45">
      <c r="A33" s="182"/>
      <c r="D33" s="179"/>
      <c r="F33" s="181"/>
      <c r="H33" s="183"/>
      <c r="I33" s="180"/>
      <c r="J33" s="175" t="s">
        <v>255</v>
      </c>
      <c r="M33" s="179">
        <f>M15</f>
        <v>0</v>
      </c>
      <c r="N33" s="175" t="s">
        <v>245</v>
      </c>
      <c r="O33" s="181">
        <v>1.23</v>
      </c>
      <c r="P33" s="175" t="s">
        <v>8</v>
      </c>
      <c r="Q33" s="183">
        <f>M33*O33</f>
        <v>0</v>
      </c>
      <c r="R33" s="180" t="s">
        <v>21</v>
      </c>
    </row>
    <row r="34" spans="1:18" x14ac:dyDescent="0.45">
      <c r="A34" s="182"/>
      <c r="D34" s="179"/>
      <c r="F34" s="181"/>
      <c r="H34" s="183"/>
      <c r="I34" s="180"/>
      <c r="J34" s="175" t="s">
        <v>257</v>
      </c>
      <c r="M34" s="179">
        <f>M16</f>
        <v>0</v>
      </c>
      <c r="N34" s="175" t="s">
        <v>245</v>
      </c>
      <c r="O34" s="181">
        <v>2.1800000000000002</v>
      </c>
      <c r="P34" s="175" t="s">
        <v>8</v>
      </c>
      <c r="Q34" s="183">
        <f>M34*O34</f>
        <v>0</v>
      </c>
      <c r="R34" s="180" t="s">
        <v>21</v>
      </c>
    </row>
    <row r="35" spans="1:18" x14ac:dyDescent="0.45">
      <c r="A35" s="182"/>
      <c r="D35" s="179"/>
      <c r="F35" s="181"/>
      <c r="H35" s="183"/>
      <c r="I35" s="180"/>
      <c r="J35" s="175" t="s">
        <v>256</v>
      </c>
      <c r="M35" s="179">
        <f>M17</f>
        <v>0</v>
      </c>
      <c r="N35" s="175" t="s">
        <v>245</v>
      </c>
      <c r="O35" s="181">
        <v>2.75</v>
      </c>
      <c r="P35" s="175" t="s">
        <v>8</v>
      </c>
      <c r="Q35" s="183">
        <f>M35*O35</f>
        <v>0</v>
      </c>
      <c r="R35" s="180" t="s">
        <v>21</v>
      </c>
    </row>
    <row r="36" spans="1:18" x14ac:dyDescent="0.45">
      <c r="A36" s="176"/>
      <c r="F36" s="181"/>
      <c r="H36" s="183"/>
      <c r="I36" s="180"/>
      <c r="J36" s="176"/>
      <c r="M36" s="175" t="s">
        <v>247</v>
      </c>
      <c r="O36" s="181"/>
      <c r="P36" s="175" t="s">
        <v>8</v>
      </c>
      <c r="Q36" s="183">
        <f>SUM(Q29:Q35)</f>
        <v>15</v>
      </c>
      <c r="R36" s="180" t="s">
        <v>21</v>
      </c>
    </row>
    <row r="37" spans="1:18" x14ac:dyDescent="0.45">
      <c r="A37" s="176"/>
      <c r="F37" s="181"/>
      <c r="H37" s="188"/>
      <c r="I37" s="180"/>
      <c r="J37" s="176" t="s">
        <v>265</v>
      </c>
      <c r="M37" s="175" t="str">
        <f>"= "&amp;FIXED(Q36,2)&amp;"/"&amp;FIXED(Q27,2)&amp;""</f>
        <v>= 15.00/15.00</v>
      </c>
      <c r="O37" s="181"/>
      <c r="P37" s="175" t="s">
        <v>8</v>
      </c>
      <c r="Q37" s="188">
        <f>Q36/Q27</f>
        <v>1</v>
      </c>
      <c r="R37" s="180"/>
    </row>
    <row r="38" spans="1:18" x14ac:dyDescent="0.45">
      <c r="A38" s="176"/>
      <c r="F38" s="181"/>
      <c r="I38" s="180"/>
      <c r="J38" s="176" t="s">
        <v>248</v>
      </c>
      <c r="O38" s="181"/>
      <c r="R38" s="180"/>
    </row>
    <row r="39" spans="1:18" x14ac:dyDescent="0.45">
      <c r="A39" s="1174"/>
      <c r="B39" s="1175"/>
      <c r="C39" s="1175"/>
      <c r="D39" s="1175"/>
      <c r="E39" s="1175"/>
      <c r="F39" s="181"/>
      <c r="H39" s="179"/>
      <c r="I39" s="180"/>
      <c r="J39" s="1174" t="s">
        <v>249</v>
      </c>
      <c r="K39" s="1175"/>
      <c r="L39" s="1175"/>
      <c r="M39" s="1175"/>
      <c r="N39" s="1175"/>
      <c r="O39" s="181">
        <f>Q27</f>
        <v>15</v>
      </c>
      <c r="P39" s="175" t="s">
        <v>250</v>
      </c>
      <c r="Q39" s="179">
        <f>IF($S$11=1,IF(O39&lt;=200,VLOOKUP(O39,'S2'!B$5:'S2'!F$204,3),IF(O39&gt;200,(O39-200)*'S2'!D$205+'S2'!D$204)),IF($S$11=2,IF(O39&lt;=200,VLOOKUP(O39,'S2'!B$5:'S2'!F$204,5),IF(O39&gt;200,(O39-200)*'S2'!F$205+'S2'!F$204))))</f>
        <v>55.66</v>
      </c>
      <c r="R39" s="180" t="s">
        <v>3</v>
      </c>
    </row>
    <row r="40" spans="1:18" ht="21.75" thickBot="1" x14ac:dyDescent="0.5">
      <c r="A40" s="1174"/>
      <c r="B40" s="1175"/>
      <c r="C40" s="1175"/>
      <c r="D40" s="1175"/>
      <c r="F40" s="181"/>
      <c r="H40" s="190"/>
      <c r="I40" s="180"/>
      <c r="J40" s="1174" t="s">
        <v>251</v>
      </c>
      <c r="K40" s="1175"/>
      <c r="L40" s="1175"/>
      <c r="M40" s="1175"/>
      <c r="N40" s="175" t="str">
        <f>""&amp;FIXED(Q37,4)&amp;"x"&amp;FIXED(Q39,2)&amp;""</f>
        <v>1.0000x55.66</v>
      </c>
      <c r="O40" s="181"/>
      <c r="P40" s="175" t="s">
        <v>252</v>
      </c>
      <c r="Q40" s="190">
        <f>Q37*Q39</f>
        <v>55.66</v>
      </c>
      <c r="R40" s="180" t="s">
        <v>3</v>
      </c>
    </row>
    <row r="41" spans="1:18" ht="22.5" thickTop="1" thickBot="1" x14ac:dyDescent="0.5">
      <c r="A41" s="191"/>
      <c r="B41" s="192"/>
      <c r="C41" s="192"/>
      <c r="D41" s="192"/>
      <c r="E41" s="192"/>
      <c r="F41" s="193"/>
      <c r="G41" s="192"/>
      <c r="H41" s="192"/>
      <c r="I41" s="194"/>
      <c r="J41" s="191"/>
      <c r="K41" s="192"/>
      <c r="L41" s="192"/>
      <c r="M41" s="192"/>
      <c r="N41" s="192"/>
      <c r="O41" s="193"/>
      <c r="P41" s="192"/>
      <c r="Q41" s="192"/>
      <c r="R41" s="194"/>
    </row>
  </sheetData>
  <mergeCells count="21">
    <mergeCell ref="A39:E39"/>
    <mergeCell ref="A40:D40"/>
    <mergeCell ref="A25:I25"/>
    <mergeCell ref="A26:I26"/>
    <mergeCell ref="J39:N39"/>
    <mergeCell ref="J40:M40"/>
    <mergeCell ref="A1:R1"/>
    <mergeCell ref="J24:R24"/>
    <mergeCell ref="J25:R25"/>
    <mergeCell ref="J26:R26"/>
    <mergeCell ref="A24:I24"/>
    <mergeCell ref="A6:I6"/>
    <mergeCell ref="J6:R6"/>
    <mergeCell ref="J7:R7"/>
    <mergeCell ref="J8:R8"/>
    <mergeCell ref="J21:N21"/>
    <mergeCell ref="J22:M22"/>
    <mergeCell ref="A21:E21"/>
    <mergeCell ref="A22:D22"/>
    <mergeCell ref="A7:I7"/>
    <mergeCell ref="A8:I8"/>
  </mergeCells>
  <printOptions horizontalCentered="1"/>
  <pageMargins left="0.23622047244094491" right="0.19685039370078741" top="0.74803149606299213" bottom="0.74803149606299213" header="0.31496062992125984" footer="0.31496062992125984"/>
  <pageSetup paperSize="9"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2"/>
  <sheetViews>
    <sheetView tabSelected="1" view="pageBreakPreview" topLeftCell="A7" zoomScaleSheetLayoutView="100" workbookViewId="0">
      <selection activeCell="A5" sqref="A5"/>
    </sheetView>
  </sheetViews>
  <sheetFormatPr defaultColWidth="9" defaultRowHeight="23.25" x14ac:dyDescent="0.5"/>
  <cols>
    <col min="1" max="2" width="5.7109375" style="222" customWidth="1"/>
    <col min="3" max="3" width="8.7109375" style="222" customWidth="1"/>
    <col min="4" max="4" width="16.7109375" style="222" customWidth="1"/>
    <col min="5" max="5" width="10.7109375" style="222" customWidth="1"/>
    <col min="6" max="6" width="16.7109375" style="241" customWidth="1"/>
    <col min="7" max="7" width="10.7109375" style="222" customWidth="1"/>
    <col min="8" max="9" width="16.7109375" style="222" customWidth="1"/>
    <col min="10" max="10" width="11.7109375" style="222" customWidth="1"/>
    <col min="11" max="11" width="6.5703125" style="222" customWidth="1"/>
    <col min="12" max="12" width="4.140625" style="222" customWidth="1"/>
    <col min="13" max="13" width="8.7109375" style="222" customWidth="1"/>
    <col min="14" max="14" width="5.7109375" style="222" customWidth="1"/>
    <col min="15" max="15" width="8.7109375" style="241" customWidth="1"/>
    <col min="16" max="16" width="5.7109375" style="222" customWidth="1"/>
    <col min="17" max="17" width="8.7109375" style="222" customWidth="1"/>
    <col min="18" max="18" width="10.28515625" style="222" customWidth="1"/>
    <col min="19" max="16384" width="9" style="222"/>
  </cols>
  <sheetData>
    <row r="1" spans="1:22" s="197" customFormat="1" ht="36.75" customHeight="1" x14ac:dyDescent="0.5">
      <c r="A1" s="1139" t="s">
        <v>263</v>
      </c>
      <c r="B1" s="1139"/>
      <c r="C1" s="1139"/>
      <c r="D1" s="1139"/>
      <c r="E1" s="1139"/>
      <c r="F1" s="1139"/>
      <c r="G1" s="1139"/>
      <c r="H1" s="1139"/>
      <c r="I1" s="1139"/>
      <c r="J1" s="196"/>
      <c r="K1" s="196"/>
      <c r="L1" s="196"/>
      <c r="M1" s="196"/>
      <c r="N1" s="196"/>
      <c r="O1" s="196"/>
      <c r="P1" s="196"/>
      <c r="Q1" s="196"/>
      <c r="R1" s="196"/>
    </row>
    <row r="2" spans="1:22" s="199" customFormat="1" x14ac:dyDescent="0.5">
      <c r="A2" s="198" t="s">
        <v>138</v>
      </c>
      <c r="C2" s="200" t="str">
        <f>ปร.งานทาง!C2</f>
        <v>องค์การบริหารส่วนตำบลป่าตึง</v>
      </c>
      <c r="D2" s="200"/>
      <c r="E2" s="200"/>
      <c r="F2" s="200"/>
      <c r="G2" s="201"/>
      <c r="H2" s="202"/>
      <c r="I2" s="202"/>
      <c r="J2" s="203"/>
      <c r="K2" s="203"/>
      <c r="L2" s="204"/>
      <c r="M2" s="205"/>
    </row>
    <row r="3" spans="1:22" s="199" customFormat="1" x14ac:dyDescent="0.5">
      <c r="A3" s="206" t="s">
        <v>139</v>
      </c>
      <c r="C3" s="200" t="str">
        <f>ปร.งานทาง!C3</f>
        <v>ซ่อมสร้างถนนลาดยางแอสฟัลต์ติกคอนกรีต  สายทาง 1089  ตำบลป่าตึง อำเภอแม่จัน จังหวัดเชียงราย</v>
      </c>
      <c r="D3" s="207"/>
      <c r="E3" s="207"/>
      <c r="F3" s="203"/>
      <c r="G3" s="203"/>
      <c r="H3" s="203"/>
      <c r="I3" s="203"/>
      <c r="J3" s="203"/>
      <c r="K3" s="203"/>
      <c r="L3" s="203"/>
      <c r="M3" s="208"/>
    </row>
    <row r="4" spans="1:22" s="199" customFormat="1" x14ac:dyDescent="0.5">
      <c r="A4" s="206" t="s">
        <v>140</v>
      </c>
      <c r="C4" s="200" t="str">
        <f>ปร.งานทาง!C4</f>
        <v xml:space="preserve">หน้าโรงเรียนศุภปัญญา  หมู่ 4 ตำบลป่าตึง อำเภอแม่จัน จังหวัดเชียงราย </v>
      </c>
      <c r="D4" s="207"/>
      <c r="E4" s="207"/>
      <c r="F4" s="209"/>
      <c r="G4" s="209"/>
      <c r="H4" s="203"/>
      <c r="I4" s="203"/>
      <c r="J4" s="203"/>
      <c r="K4" s="203"/>
      <c r="L4" s="203"/>
      <c r="M4" s="208"/>
    </row>
    <row r="5" spans="1:22" s="199" customFormat="1" ht="24" thickBot="1" x14ac:dyDescent="0.55000000000000004">
      <c r="A5" s="210" t="str">
        <f>ปร.งานทาง!A7</f>
        <v>ราคาน้ำมันดีเซล ที่ อ.เมือง  32.00 - 32.99 บาท/ลิตร เฉลี่ย  32.50 บาท/ลิตร</v>
      </c>
      <c r="D5" s="211"/>
      <c r="E5" s="212"/>
      <c r="F5" s="212"/>
      <c r="G5" s="213"/>
      <c r="H5" s="214"/>
      <c r="I5" s="215"/>
      <c r="J5" s="216"/>
      <c r="K5" s="214"/>
      <c r="M5" s="217"/>
      <c r="N5" s="218"/>
      <c r="T5" s="219"/>
      <c r="U5" s="220"/>
      <c r="V5" s="221"/>
    </row>
    <row r="6" spans="1:22" x14ac:dyDescent="0.5">
      <c r="A6" s="1179" t="s">
        <v>242</v>
      </c>
      <c r="B6" s="1180"/>
      <c r="C6" s="1180"/>
      <c r="D6" s="1180"/>
      <c r="E6" s="1180"/>
      <c r="F6" s="1180"/>
      <c r="G6" s="1180"/>
      <c r="H6" s="1180"/>
      <c r="I6" s="1181"/>
      <c r="O6" s="222"/>
    </row>
    <row r="7" spans="1:22" x14ac:dyDescent="0.5">
      <c r="A7" s="1176" t="s">
        <v>262</v>
      </c>
      <c r="B7" s="1177"/>
      <c r="C7" s="1177"/>
      <c r="D7" s="1177"/>
      <c r="E7" s="1177"/>
      <c r="F7" s="1177"/>
      <c r="G7" s="1177"/>
      <c r="H7" s="1177"/>
      <c r="I7" s="1178"/>
      <c r="O7" s="222"/>
    </row>
    <row r="8" spans="1:22" x14ac:dyDescent="0.5">
      <c r="A8" s="223" t="s">
        <v>253</v>
      </c>
      <c r="F8" s="224"/>
      <c r="G8" s="225" t="s">
        <v>254</v>
      </c>
      <c r="H8" s="226">
        <f>D10+D12</f>
        <v>15</v>
      </c>
      <c r="I8" s="227" t="s">
        <v>21</v>
      </c>
      <c r="J8" s="186" t="s">
        <v>34</v>
      </c>
      <c r="K8" s="228">
        <v>1</v>
      </c>
      <c r="L8" s="185" t="s">
        <v>84</v>
      </c>
      <c r="M8" s="186" t="s">
        <v>85</v>
      </c>
      <c r="N8" s="186"/>
      <c r="O8" s="186"/>
      <c r="P8" s="186"/>
    </row>
    <row r="9" spans="1:22" x14ac:dyDescent="0.5">
      <c r="A9" s="223" t="s">
        <v>244</v>
      </c>
      <c r="F9" s="229"/>
      <c r="I9" s="227"/>
      <c r="J9" s="186" t="s">
        <v>36</v>
      </c>
      <c r="K9" s="228">
        <v>1</v>
      </c>
      <c r="L9" s="185" t="s">
        <v>84</v>
      </c>
      <c r="M9" s="186" t="s">
        <v>94</v>
      </c>
      <c r="N9" s="186"/>
      <c r="O9" s="186"/>
      <c r="P9" s="186"/>
    </row>
    <row r="10" spans="1:22" x14ac:dyDescent="0.5">
      <c r="A10" s="230" t="s">
        <v>255</v>
      </c>
      <c r="D10" s="226">
        <v>15</v>
      </c>
      <c r="E10" s="222" t="s">
        <v>245</v>
      </c>
      <c r="F10" s="229">
        <v>1</v>
      </c>
      <c r="G10" s="222" t="s">
        <v>8</v>
      </c>
      <c r="H10" s="231">
        <f>D10*F10</f>
        <v>15</v>
      </c>
      <c r="I10" s="227" t="s">
        <v>21</v>
      </c>
      <c r="O10" s="222"/>
    </row>
    <row r="11" spans="1:22" x14ac:dyDescent="0.5">
      <c r="A11" s="230" t="s">
        <v>257</v>
      </c>
      <c r="D11" s="226">
        <v>0</v>
      </c>
      <c r="E11" s="222" t="s">
        <v>245</v>
      </c>
      <c r="F11" s="229">
        <v>1.95</v>
      </c>
      <c r="G11" s="222" t="s">
        <v>8</v>
      </c>
      <c r="H11" s="231">
        <f>D11*F11</f>
        <v>0</v>
      </c>
      <c r="I11" s="227" t="s">
        <v>21</v>
      </c>
      <c r="O11" s="222"/>
    </row>
    <row r="12" spans="1:22" x14ac:dyDescent="0.5">
      <c r="A12" s="230" t="s">
        <v>256</v>
      </c>
      <c r="D12" s="226">
        <v>0</v>
      </c>
      <c r="E12" s="222" t="s">
        <v>245</v>
      </c>
      <c r="F12" s="229">
        <v>2.52</v>
      </c>
      <c r="G12" s="222" t="s">
        <v>8</v>
      </c>
      <c r="H12" s="231">
        <f>D12*F12</f>
        <v>0</v>
      </c>
      <c r="I12" s="227" t="s">
        <v>21</v>
      </c>
      <c r="O12" s="222"/>
    </row>
    <row r="13" spans="1:22" x14ac:dyDescent="0.5">
      <c r="A13" s="223" t="s">
        <v>246</v>
      </c>
      <c r="D13" s="232"/>
      <c r="F13" s="229"/>
      <c r="H13" s="231"/>
      <c r="I13" s="227"/>
      <c r="O13" s="222"/>
    </row>
    <row r="14" spans="1:22" x14ac:dyDescent="0.5">
      <c r="A14" s="230" t="s">
        <v>255</v>
      </c>
      <c r="D14" s="226">
        <v>0</v>
      </c>
      <c r="E14" s="222" t="s">
        <v>245</v>
      </c>
      <c r="F14" s="229">
        <v>1.23</v>
      </c>
      <c r="G14" s="222" t="s">
        <v>8</v>
      </c>
      <c r="H14" s="231">
        <f>D14*F14</f>
        <v>0</v>
      </c>
      <c r="I14" s="227" t="s">
        <v>21</v>
      </c>
      <c r="O14" s="222"/>
    </row>
    <row r="15" spans="1:22" x14ac:dyDescent="0.5">
      <c r="A15" s="230" t="s">
        <v>257</v>
      </c>
      <c r="D15" s="226">
        <v>0</v>
      </c>
      <c r="E15" s="222" t="s">
        <v>245</v>
      </c>
      <c r="F15" s="229">
        <v>2.1800000000000002</v>
      </c>
      <c r="G15" s="222" t="s">
        <v>8</v>
      </c>
      <c r="H15" s="231">
        <f>D15*F15</f>
        <v>0</v>
      </c>
      <c r="I15" s="227" t="s">
        <v>21</v>
      </c>
      <c r="O15" s="222"/>
    </row>
    <row r="16" spans="1:22" x14ac:dyDescent="0.5">
      <c r="A16" s="230" t="s">
        <v>256</v>
      </c>
      <c r="D16" s="226">
        <v>0</v>
      </c>
      <c r="E16" s="222" t="s">
        <v>245</v>
      </c>
      <c r="F16" s="229">
        <v>2.75</v>
      </c>
      <c r="G16" s="222" t="s">
        <v>8</v>
      </c>
      <c r="H16" s="231">
        <f>D16*F16</f>
        <v>0</v>
      </c>
      <c r="I16" s="227" t="s">
        <v>21</v>
      </c>
      <c r="O16" s="222"/>
    </row>
    <row r="17" spans="1:15" x14ac:dyDescent="0.5">
      <c r="A17" s="223"/>
      <c r="D17" s="222" t="s">
        <v>247</v>
      </c>
      <c r="F17" s="229"/>
      <c r="G17" s="222" t="s">
        <v>8</v>
      </c>
      <c r="H17" s="231">
        <f>SUM(H10:H16)</f>
        <v>15</v>
      </c>
      <c r="I17" s="227" t="s">
        <v>21</v>
      </c>
      <c r="O17" s="222"/>
    </row>
    <row r="18" spans="1:15" x14ac:dyDescent="0.5">
      <c r="A18" s="223" t="s">
        <v>265</v>
      </c>
      <c r="D18" s="222" t="str">
        <f>"= "&amp;FIXED(H17,2)&amp;"/"&amp;FIXED(H8,2)&amp;""</f>
        <v>= 15.00/15.00</v>
      </c>
      <c r="F18" s="229"/>
      <c r="G18" s="222" t="s">
        <v>8</v>
      </c>
      <c r="H18" s="233">
        <f>H17/H8</f>
        <v>1</v>
      </c>
      <c r="I18" s="227"/>
      <c r="O18" s="222"/>
    </row>
    <row r="19" spans="1:15" x14ac:dyDescent="0.5">
      <c r="A19" s="223" t="s">
        <v>248</v>
      </c>
      <c r="F19" s="229"/>
      <c r="I19" s="227"/>
      <c r="O19" s="222"/>
    </row>
    <row r="20" spans="1:15" x14ac:dyDescent="0.5">
      <c r="A20" s="1182" t="s">
        <v>249</v>
      </c>
      <c r="B20" s="1183"/>
      <c r="C20" s="1183"/>
      <c r="D20" s="1183"/>
      <c r="E20" s="1183"/>
      <c r="F20" s="234">
        <f>H8</f>
        <v>15</v>
      </c>
      <c r="G20" s="222" t="s">
        <v>250</v>
      </c>
      <c r="H20" s="235">
        <f>IF(F20=0,0,IF(K9=1,IF(F20&lt;=200,VLOOKUP(F20,'S2'!$B$5:'S2'!$F$204,2),IF(F20&gt;200,(F20-200)*'S2'!$C$205+'S2'!$C$204)),IF(K9=2,IF(F20&lt;=200,VLOOKUP(F20,'S2'!$B$5:'S2'!$F$204,4),IF(F20&gt;200,(F20-200)*'S2'!$E$205+'S2'!$E$204)))))</f>
        <v>39.76</v>
      </c>
      <c r="I20" s="227" t="s">
        <v>6</v>
      </c>
      <c r="O20" s="222"/>
    </row>
    <row r="21" spans="1:15" ht="24" thickBot="1" x14ac:dyDescent="0.55000000000000004">
      <c r="A21" s="1182" t="s">
        <v>251</v>
      </c>
      <c r="B21" s="1183"/>
      <c r="C21" s="1183"/>
      <c r="D21" s="1183"/>
      <c r="E21" s="222" t="str">
        <f>""&amp;FIXED(H18,4)&amp;"x"&amp;FIXED(H20,2)&amp;""</f>
        <v>1.0000x39.76</v>
      </c>
      <c r="F21" s="229"/>
      <c r="G21" s="222" t="s">
        <v>252</v>
      </c>
      <c r="H21" s="236">
        <f>H18*H20</f>
        <v>39.76</v>
      </c>
      <c r="I21" s="227" t="s">
        <v>6</v>
      </c>
      <c r="O21" s="222"/>
    </row>
    <row r="22" spans="1:15" ht="24.75" thickTop="1" thickBot="1" x14ac:dyDescent="0.55000000000000004">
      <c r="A22" s="237"/>
      <c r="B22" s="238"/>
      <c r="C22" s="238"/>
      <c r="D22" s="238"/>
      <c r="E22" s="238"/>
      <c r="F22" s="239"/>
      <c r="G22" s="238"/>
      <c r="H22" s="238"/>
      <c r="I22" s="240"/>
      <c r="O22" s="222"/>
    </row>
  </sheetData>
  <mergeCells count="5">
    <mergeCell ref="A7:I7"/>
    <mergeCell ref="A6:I6"/>
    <mergeCell ref="A1:I1"/>
    <mergeCell ref="A20:E20"/>
    <mergeCell ref="A21:D21"/>
  </mergeCells>
  <printOptions horizontalCentered="1"/>
  <pageMargins left="0.23622047244094491" right="0.19685039370078741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Z206"/>
  <sheetViews>
    <sheetView workbookViewId="0">
      <pane xSplit="1" topLeftCell="H1" activePane="topRight" state="frozen"/>
      <selection activeCell="A184" sqref="A184"/>
      <selection pane="topRight" activeCell="AA19" sqref="AA19"/>
    </sheetView>
  </sheetViews>
  <sheetFormatPr defaultColWidth="9.140625" defaultRowHeight="21" x14ac:dyDescent="0.45"/>
  <cols>
    <col min="1" max="5" width="9.140625" style="4"/>
    <col min="6" max="24" width="9.140625" style="4" customWidth="1"/>
    <col min="25" max="25" width="9.140625" style="128" customWidth="1"/>
    <col min="26" max="26" width="9.140625" style="4" customWidth="1"/>
    <col min="27" max="27" width="9.140625" style="128" customWidth="1"/>
    <col min="28" max="28" width="9.140625" style="4" customWidth="1"/>
    <col min="29" max="29" width="9.140625" style="136" customWidth="1"/>
    <col min="30" max="30" width="9.140625" style="4" customWidth="1"/>
    <col min="31" max="31" width="9.140625" style="136" customWidth="1"/>
    <col min="32" max="32" width="9.140625" style="4" customWidth="1"/>
    <col min="33" max="41" width="9.140625" style="136" customWidth="1"/>
    <col min="42" max="43" width="9.140625" style="4" customWidth="1"/>
    <col min="44" max="47" width="9.140625" style="4" hidden="1" customWidth="1"/>
    <col min="48" max="64" width="9.140625" style="4"/>
    <col min="65" max="65" width="9.28515625" style="4" bestFit="1" customWidth="1"/>
    <col min="66" max="69" width="9.140625" style="4"/>
    <col min="70" max="74" width="9.140625" style="136"/>
    <col min="75" max="16384" width="9.140625" style="4"/>
  </cols>
  <sheetData>
    <row r="1" spans="1:78" ht="23.25" thickBot="1" x14ac:dyDescent="0.5">
      <c r="B1" s="8" t="s">
        <v>90</v>
      </c>
      <c r="C1" s="75"/>
      <c r="F1" s="8"/>
      <c r="G1" s="8"/>
      <c r="H1" s="8"/>
      <c r="I1" s="8"/>
      <c r="J1" s="8"/>
      <c r="K1" s="8"/>
      <c r="L1" s="8"/>
      <c r="M1" s="75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22"/>
      <c r="Z1" s="3"/>
      <c r="AA1" s="122"/>
      <c r="AB1" s="3"/>
      <c r="AC1" s="130"/>
      <c r="AD1" s="3"/>
      <c r="AE1" s="130"/>
      <c r="AF1" s="3"/>
      <c r="AG1" s="130"/>
      <c r="AH1" s="130"/>
      <c r="AI1" s="130"/>
      <c r="AJ1" s="130"/>
      <c r="AK1" s="130"/>
      <c r="AL1" s="130"/>
      <c r="AM1" s="130"/>
      <c r="AN1" s="130"/>
      <c r="AO1" s="130"/>
      <c r="AP1" s="3"/>
      <c r="AQ1" s="3"/>
      <c r="AU1" s="3"/>
      <c r="AV1" s="3"/>
      <c r="AW1" s="8" t="s">
        <v>91</v>
      </c>
      <c r="AX1" s="3"/>
      <c r="AY1" s="3"/>
      <c r="AZ1" s="3"/>
      <c r="BA1" s="3"/>
      <c r="BB1" s="3"/>
      <c r="BC1" s="3"/>
      <c r="BD1" s="8"/>
      <c r="BE1" s="8"/>
      <c r="BF1" s="8"/>
      <c r="BG1" s="8"/>
      <c r="BH1" s="8"/>
      <c r="BI1" s="3"/>
      <c r="BJ1" s="3"/>
      <c r="BK1" s="3"/>
      <c r="BV1" s="130"/>
      <c r="BW1" s="3"/>
      <c r="BX1" s="3"/>
      <c r="BY1" s="3"/>
    </row>
    <row r="2" spans="1:78" x14ac:dyDescent="0.45">
      <c r="B2" s="9" t="s">
        <v>28</v>
      </c>
      <c r="C2" s="9" t="s">
        <v>28</v>
      </c>
      <c r="D2" s="9" t="s">
        <v>28</v>
      </c>
      <c r="E2" s="9"/>
      <c r="F2" s="9" t="s">
        <v>28</v>
      </c>
      <c r="G2" s="10"/>
      <c r="H2" s="1" t="s">
        <v>28</v>
      </c>
      <c r="I2" s="1"/>
      <c r="J2" s="1" t="s">
        <v>28</v>
      </c>
      <c r="K2" s="10"/>
      <c r="L2" s="10" t="s">
        <v>28</v>
      </c>
      <c r="M2" s="10"/>
      <c r="N2" s="1" t="s">
        <v>28</v>
      </c>
      <c r="O2" s="1"/>
      <c r="P2" s="1" t="s">
        <v>28</v>
      </c>
      <c r="Q2" s="1"/>
      <c r="R2" s="1" t="s">
        <v>28</v>
      </c>
      <c r="S2" s="1"/>
      <c r="T2" s="1" t="s">
        <v>28</v>
      </c>
      <c r="U2" s="1"/>
      <c r="V2" s="1" t="s">
        <v>28</v>
      </c>
      <c r="W2" s="1"/>
      <c r="X2" s="1" t="s">
        <v>28</v>
      </c>
      <c r="Y2" s="123"/>
      <c r="Z2" s="1" t="s">
        <v>28</v>
      </c>
      <c r="AA2" s="123"/>
      <c r="AB2" s="1" t="s">
        <v>28</v>
      </c>
      <c r="AC2" s="131"/>
      <c r="AD2" s="1" t="s">
        <v>28</v>
      </c>
      <c r="AE2" s="131"/>
      <c r="AF2" s="1" t="s">
        <v>28</v>
      </c>
      <c r="AG2" s="131"/>
      <c r="AH2" s="131" t="s">
        <v>28</v>
      </c>
      <c r="AI2" s="131"/>
      <c r="AJ2" s="131" t="s">
        <v>28</v>
      </c>
      <c r="AK2" s="131"/>
      <c r="AL2" s="131" t="s">
        <v>28</v>
      </c>
      <c r="AM2" s="137"/>
      <c r="AN2" s="138" t="s">
        <v>28</v>
      </c>
      <c r="AO2" s="138"/>
      <c r="AP2" s="6" t="s">
        <v>28</v>
      </c>
      <c r="AQ2" s="6"/>
      <c r="AR2" s="6" t="s">
        <v>28</v>
      </c>
      <c r="AS2" s="6" t="s">
        <v>28</v>
      </c>
      <c r="AT2" s="6" t="s">
        <v>28</v>
      </c>
      <c r="AU2" s="6" t="s">
        <v>28</v>
      </c>
      <c r="AV2" s="11" t="s">
        <v>4</v>
      </c>
      <c r="AW2" s="9" t="s">
        <v>28</v>
      </c>
      <c r="AX2" s="9" t="s">
        <v>28</v>
      </c>
      <c r="AY2" s="9" t="s">
        <v>28</v>
      </c>
      <c r="AZ2" s="9" t="s">
        <v>28</v>
      </c>
      <c r="BA2" s="9" t="s">
        <v>28</v>
      </c>
      <c r="BB2" s="9" t="s">
        <v>28</v>
      </c>
      <c r="BC2" s="9" t="s">
        <v>28</v>
      </c>
      <c r="BD2" s="9" t="s">
        <v>28</v>
      </c>
      <c r="BE2" s="1" t="s">
        <v>28</v>
      </c>
      <c r="BF2" s="1" t="s">
        <v>28</v>
      </c>
      <c r="BG2" s="10" t="s">
        <v>28</v>
      </c>
      <c r="BH2" s="72" t="s">
        <v>28</v>
      </c>
      <c r="BI2" s="1" t="s">
        <v>28</v>
      </c>
      <c r="BJ2" s="1" t="s">
        <v>28</v>
      </c>
      <c r="BK2" s="1" t="s">
        <v>28</v>
      </c>
      <c r="BL2" s="1" t="s">
        <v>28</v>
      </c>
      <c r="BM2" s="1" t="s">
        <v>28</v>
      </c>
      <c r="BN2" s="1" t="s">
        <v>28</v>
      </c>
      <c r="BO2" s="1" t="s">
        <v>28</v>
      </c>
      <c r="BP2" s="1" t="s">
        <v>28</v>
      </c>
      <c r="BQ2" s="1" t="s">
        <v>28</v>
      </c>
      <c r="BR2" s="131" t="s">
        <v>28</v>
      </c>
      <c r="BS2" s="131" t="s">
        <v>28</v>
      </c>
      <c r="BT2" s="131" t="s">
        <v>28</v>
      </c>
      <c r="BU2" s="138" t="s">
        <v>28</v>
      </c>
      <c r="BV2" s="138" t="s">
        <v>28</v>
      </c>
      <c r="BW2" s="6" t="s">
        <v>28</v>
      </c>
      <c r="BX2" s="6" t="s">
        <v>28</v>
      </c>
      <c r="BY2" s="6" t="s">
        <v>28</v>
      </c>
      <c r="BZ2" s="6" t="s">
        <v>28</v>
      </c>
    </row>
    <row r="3" spans="1:78" ht="21.75" thickBot="1" x14ac:dyDescent="0.5">
      <c r="B3" s="12" t="s">
        <v>6</v>
      </c>
      <c r="C3" s="12" t="s">
        <v>3</v>
      </c>
      <c r="D3" s="12" t="s">
        <v>6</v>
      </c>
      <c r="E3" s="12"/>
      <c r="F3" s="12" t="s">
        <v>6</v>
      </c>
      <c r="G3" s="13"/>
      <c r="H3" s="2" t="s">
        <v>6</v>
      </c>
      <c r="I3" s="2"/>
      <c r="J3" s="2" t="s">
        <v>6</v>
      </c>
      <c r="K3" s="13"/>
      <c r="L3" s="13" t="s">
        <v>6</v>
      </c>
      <c r="M3" s="13"/>
      <c r="N3" s="2" t="s">
        <v>6</v>
      </c>
      <c r="O3" s="2" t="s">
        <v>3</v>
      </c>
      <c r="P3" s="2" t="s">
        <v>6</v>
      </c>
      <c r="Q3" s="2" t="s">
        <v>3</v>
      </c>
      <c r="R3" s="2" t="s">
        <v>6</v>
      </c>
      <c r="S3" s="2" t="s">
        <v>3</v>
      </c>
      <c r="T3" s="2" t="s">
        <v>6</v>
      </c>
      <c r="U3" s="2" t="s">
        <v>3</v>
      </c>
      <c r="V3" s="2" t="s">
        <v>6</v>
      </c>
      <c r="W3" s="2" t="s">
        <v>3</v>
      </c>
      <c r="X3" s="2" t="s">
        <v>6</v>
      </c>
      <c r="Y3" s="124" t="s">
        <v>3</v>
      </c>
      <c r="Z3" s="2" t="s">
        <v>6</v>
      </c>
      <c r="AA3" s="124" t="s">
        <v>3</v>
      </c>
      <c r="AB3" s="2" t="s">
        <v>6</v>
      </c>
      <c r="AC3" s="132" t="s">
        <v>3</v>
      </c>
      <c r="AD3" s="2" t="s">
        <v>6</v>
      </c>
      <c r="AE3" s="132" t="s">
        <v>3</v>
      </c>
      <c r="AF3" s="2" t="s">
        <v>6</v>
      </c>
      <c r="AG3" s="132" t="s">
        <v>3</v>
      </c>
      <c r="AH3" s="132" t="s">
        <v>6</v>
      </c>
      <c r="AI3" s="132" t="s">
        <v>3</v>
      </c>
      <c r="AJ3" s="132" t="s">
        <v>6</v>
      </c>
      <c r="AK3" s="132" t="s">
        <v>3</v>
      </c>
      <c r="AL3" s="132" t="s">
        <v>6</v>
      </c>
      <c r="AM3" s="132" t="s">
        <v>3</v>
      </c>
      <c r="AN3" s="132" t="s">
        <v>6</v>
      </c>
      <c r="AO3" s="132" t="s">
        <v>3</v>
      </c>
      <c r="AP3" s="2" t="s">
        <v>6</v>
      </c>
      <c r="AQ3" s="2" t="s">
        <v>3</v>
      </c>
      <c r="AR3" s="7" t="s">
        <v>6</v>
      </c>
      <c r="AS3" s="7" t="s">
        <v>6</v>
      </c>
      <c r="AT3" s="7" t="s">
        <v>6</v>
      </c>
      <c r="AU3" s="7" t="s">
        <v>6</v>
      </c>
      <c r="AV3" s="14" t="s">
        <v>21</v>
      </c>
      <c r="AW3" s="12" t="s">
        <v>6</v>
      </c>
      <c r="AX3" s="12" t="s">
        <v>6</v>
      </c>
      <c r="AY3" s="12" t="s">
        <v>6</v>
      </c>
      <c r="AZ3" s="12" t="s">
        <v>6</v>
      </c>
      <c r="BA3" s="12" t="s">
        <v>6</v>
      </c>
      <c r="BB3" s="12" t="s">
        <v>6</v>
      </c>
      <c r="BC3" s="12" t="s">
        <v>6</v>
      </c>
      <c r="BD3" s="12" t="s">
        <v>6</v>
      </c>
      <c r="BE3" s="2" t="s">
        <v>6</v>
      </c>
      <c r="BF3" s="2" t="s">
        <v>6</v>
      </c>
      <c r="BG3" s="13" t="s">
        <v>6</v>
      </c>
      <c r="BH3" s="73" t="s">
        <v>6</v>
      </c>
      <c r="BI3" s="2" t="s">
        <v>6</v>
      </c>
      <c r="BJ3" s="2" t="s">
        <v>6</v>
      </c>
      <c r="BK3" s="2" t="s">
        <v>6</v>
      </c>
      <c r="BL3" s="2" t="s">
        <v>6</v>
      </c>
      <c r="BM3" s="2" t="s">
        <v>6</v>
      </c>
      <c r="BN3" s="2" t="s">
        <v>6</v>
      </c>
      <c r="BO3" s="2" t="s">
        <v>6</v>
      </c>
      <c r="BP3" s="2" t="s">
        <v>6</v>
      </c>
      <c r="BQ3" s="2" t="s">
        <v>6</v>
      </c>
      <c r="BR3" s="132" t="s">
        <v>6</v>
      </c>
      <c r="BS3" s="132" t="s">
        <v>6</v>
      </c>
      <c r="BT3" s="132" t="s">
        <v>6</v>
      </c>
      <c r="BU3" s="149" t="s">
        <v>6</v>
      </c>
      <c r="BV3" s="149" t="s">
        <v>6</v>
      </c>
      <c r="BW3" s="7" t="s">
        <v>6</v>
      </c>
      <c r="BX3" s="7" t="s">
        <v>6</v>
      </c>
      <c r="BY3" s="7" t="s">
        <v>6</v>
      </c>
      <c r="BZ3" s="7" t="s">
        <v>6</v>
      </c>
    </row>
    <row r="4" spans="1:78" ht="21.75" thickBot="1" x14ac:dyDescent="0.5">
      <c r="B4" s="15">
        <v>20.5</v>
      </c>
      <c r="C4" s="15"/>
      <c r="D4" s="15">
        <v>21.5</v>
      </c>
      <c r="E4" s="15"/>
      <c r="F4" s="16">
        <v>22.5</v>
      </c>
      <c r="G4" s="17"/>
      <c r="H4" s="17">
        <v>23.5</v>
      </c>
      <c r="I4" s="17"/>
      <c r="J4" s="18">
        <v>24.5</v>
      </c>
      <c r="K4" s="18"/>
      <c r="L4" s="18">
        <v>25.5</v>
      </c>
      <c r="M4" s="18"/>
      <c r="N4" s="64">
        <v>26.5</v>
      </c>
      <c r="O4" s="64"/>
      <c r="P4" s="18">
        <v>27.5</v>
      </c>
      <c r="Q4" s="18"/>
      <c r="R4" s="18">
        <v>28.5</v>
      </c>
      <c r="S4" s="76"/>
      <c r="T4" s="19">
        <v>29.5</v>
      </c>
      <c r="U4" s="77"/>
      <c r="V4" s="16">
        <v>30.5</v>
      </c>
      <c r="W4" s="17"/>
      <c r="X4" s="17">
        <v>31.5</v>
      </c>
      <c r="Y4" s="125"/>
      <c r="Z4" s="18">
        <v>32.5</v>
      </c>
      <c r="AA4" s="129"/>
      <c r="AB4" s="18">
        <v>33.5</v>
      </c>
      <c r="AC4" s="133"/>
      <c r="AD4" s="18">
        <v>34.5</v>
      </c>
      <c r="AE4" s="133"/>
      <c r="AF4" s="18">
        <v>35.5</v>
      </c>
      <c r="AG4" s="133"/>
      <c r="AH4" s="133">
        <v>36.5</v>
      </c>
      <c r="AI4" s="133"/>
      <c r="AJ4" s="133">
        <v>37.5</v>
      </c>
      <c r="AK4" s="133"/>
      <c r="AL4" s="133">
        <v>38.5</v>
      </c>
      <c r="AM4" s="133"/>
      <c r="AN4" s="133">
        <v>39.5</v>
      </c>
      <c r="AO4" s="133"/>
      <c r="AP4" s="18">
        <v>40.5</v>
      </c>
      <c r="AQ4" s="18"/>
      <c r="AR4" s="18">
        <v>20.5</v>
      </c>
      <c r="AS4" s="18">
        <v>19.5</v>
      </c>
      <c r="AT4" s="18">
        <v>18.5</v>
      </c>
      <c r="AU4" s="18">
        <v>17.5</v>
      </c>
      <c r="AV4" s="20"/>
      <c r="AW4" s="16">
        <v>15.5</v>
      </c>
      <c r="AX4" s="16">
        <v>16.5</v>
      </c>
      <c r="AY4" s="16">
        <v>17.5</v>
      </c>
      <c r="AZ4" s="16">
        <v>18.5</v>
      </c>
      <c r="BA4" s="16">
        <v>19.5</v>
      </c>
      <c r="BB4" s="16">
        <v>20.5</v>
      </c>
      <c r="BC4" s="16">
        <v>21.5</v>
      </c>
      <c r="BD4" s="16">
        <v>22.5</v>
      </c>
      <c r="BE4" s="17">
        <v>23.5</v>
      </c>
      <c r="BF4" s="18">
        <v>24.5</v>
      </c>
      <c r="BG4" s="17">
        <v>25.5</v>
      </c>
      <c r="BH4" s="64">
        <v>26.5</v>
      </c>
      <c r="BI4" s="18">
        <v>27.5</v>
      </c>
      <c r="BJ4" s="18">
        <v>28.5</v>
      </c>
      <c r="BK4" s="19">
        <v>29.5</v>
      </c>
      <c r="BL4" s="16">
        <v>30.5</v>
      </c>
      <c r="BM4" s="17">
        <v>31.5</v>
      </c>
      <c r="BN4" s="17">
        <v>32.5</v>
      </c>
      <c r="BO4" s="17">
        <v>33.5</v>
      </c>
      <c r="BP4" s="17">
        <v>34.5</v>
      </c>
      <c r="BQ4" s="17">
        <v>35.5</v>
      </c>
      <c r="BR4" s="150">
        <v>36.5</v>
      </c>
      <c r="BS4" s="150">
        <v>37.5</v>
      </c>
      <c r="BT4" s="150">
        <v>38.5</v>
      </c>
      <c r="BU4" s="150">
        <v>39.5</v>
      </c>
      <c r="BV4" s="150">
        <v>40.5</v>
      </c>
      <c r="BW4" s="17">
        <v>20.5</v>
      </c>
      <c r="BX4" s="17">
        <v>19.5</v>
      </c>
      <c r="BY4" s="17">
        <v>18.5</v>
      </c>
      <c r="BZ4" s="17">
        <v>17.5</v>
      </c>
    </row>
    <row r="5" spans="1:78" x14ac:dyDescent="0.45">
      <c r="A5" s="119" t="s">
        <v>475</v>
      </c>
      <c r="B5" s="21">
        <v>7.78</v>
      </c>
      <c r="C5" s="78">
        <v>10.89</v>
      </c>
      <c r="D5" s="21">
        <v>7.81</v>
      </c>
      <c r="E5" s="78">
        <v>10.94</v>
      </c>
      <c r="F5" s="21">
        <v>7.85</v>
      </c>
      <c r="G5" s="85">
        <v>10.99</v>
      </c>
      <c r="H5" s="22">
        <v>7.89</v>
      </c>
      <c r="I5" s="91">
        <v>11.04</v>
      </c>
      <c r="J5" s="59">
        <v>7.92</v>
      </c>
      <c r="K5" s="97">
        <v>11.09</v>
      </c>
      <c r="L5" s="59">
        <v>7.96</v>
      </c>
      <c r="M5" s="97">
        <v>11.14</v>
      </c>
      <c r="N5" s="65">
        <v>7.99</v>
      </c>
      <c r="O5" s="103">
        <v>11.19</v>
      </c>
      <c r="P5" s="22">
        <v>8.0299999999999994</v>
      </c>
      <c r="Q5" s="91">
        <v>11.24</v>
      </c>
      <c r="R5" s="22">
        <v>8.07</v>
      </c>
      <c r="S5" s="109">
        <v>11.29</v>
      </c>
      <c r="T5" s="23">
        <v>8.1</v>
      </c>
      <c r="U5" s="115">
        <v>11.35</v>
      </c>
      <c r="V5" s="24">
        <v>8.14</v>
      </c>
      <c r="W5" s="115">
        <v>11.4</v>
      </c>
      <c r="X5" s="24">
        <v>8.18</v>
      </c>
      <c r="Y5" s="126">
        <v>11.45</v>
      </c>
      <c r="Z5" s="24">
        <v>8.2100000000000009</v>
      </c>
      <c r="AA5" s="126">
        <v>11.49</v>
      </c>
      <c r="AB5" s="24">
        <v>8.25</v>
      </c>
      <c r="AC5" s="134">
        <v>11.55</v>
      </c>
      <c r="AD5" s="24">
        <v>8.2899999999999991</v>
      </c>
      <c r="AE5" s="134">
        <v>11.6</v>
      </c>
      <c r="AF5" s="24">
        <v>8.32</v>
      </c>
      <c r="AG5" s="134">
        <v>11.65</v>
      </c>
      <c r="AH5" s="139">
        <v>8.36</v>
      </c>
      <c r="AI5" s="134">
        <v>11.7</v>
      </c>
      <c r="AJ5" s="139">
        <v>8.39</v>
      </c>
      <c r="AK5" s="134">
        <v>11.75</v>
      </c>
      <c r="AL5" s="139">
        <v>8.43</v>
      </c>
      <c r="AM5" s="134">
        <v>11.8</v>
      </c>
      <c r="AN5" s="139">
        <v>8.4700000000000006</v>
      </c>
      <c r="AO5" s="139">
        <v>11.85</v>
      </c>
      <c r="AP5" s="24">
        <v>8.5</v>
      </c>
      <c r="AQ5" s="120">
        <v>11.91</v>
      </c>
      <c r="AR5" s="24">
        <v>4.92</v>
      </c>
      <c r="AS5" s="24">
        <v>4.8899999999999997</v>
      </c>
      <c r="AT5" s="24">
        <v>4.8499999999999996</v>
      </c>
      <c r="AU5" s="24">
        <v>4.8099999999999996</v>
      </c>
      <c r="AV5" s="25">
        <v>1</v>
      </c>
      <c r="AW5" s="26">
        <v>4.12</v>
      </c>
      <c r="AX5" s="26">
        <v>4.1399999999999997</v>
      </c>
      <c r="AY5" s="26">
        <v>4.17</v>
      </c>
      <c r="AZ5" s="26">
        <v>4.1900000000000004</v>
      </c>
      <c r="BA5" s="26">
        <v>4.22</v>
      </c>
      <c r="BB5" s="26">
        <v>4.24</v>
      </c>
      <c r="BC5" s="26">
        <v>4.2699999999999996</v>
      </c>
      <c r="BD5" s="26">
        <v>4.3</v>
      </c>
      <c r="BE5" s="27">
        <v>4.32</v>
      </c>
      <c r="BF5" s="71">
        <v>4.3499999999999996</v>
      </c>
      <c r="BG5" s="71">
        <v>4.37</v>
      </c>
      <c r="BH5" s="74">
        <v>4.4000000000000004</v>
      </c>
      <c r="BI5" s="27">
        <v>4.42</v>
      </c>
      <c r="BJ5" s="28">
        <v>4.45</v>
      </c>
      <c r="BK5" s="29">
        <v>4.4800000000000004</v>
      </c>
      <c r="BL5" s="24">
        <v>4.5</v>
      </c>
      <c r="BM5" s="24">
        <v>4.53</v>
      </c>
      <c r="BN5" s="24">
        <v>4.55</v>
      </c>
      <c r="BO5" s="24">
        <v>4.58</v>
      </c>
      <c r="BP5" s="24">
        <v>4.5999999999999996</v>
      </c>
      <c r="BQ5" s="24">
        <v>4.63</v>
      </c>
      <c r="BR5" s="139">
        <v>4.6500000000000004</v>
      </c>
      <c r="BS5" s="139">
        <v>4.68</v>
      </c>
      <c r="BT5" s="139">
        <v>4.71</v>
      </c>
      <c r="BU5" s="139">
        <v>4.7300000000000004</v>
      </c>
      <c r="BV5" s="139">
        <v>4.76</v>
      </c>
      <c r="BW5" s="24">
        <v>2.88</v>
      </c>
      <c r="BX5" s="24">
        <v>2.86</v>
      </c>
      <c r="BY5" s="24">
        <v>2.83</v>
      </c>
      <c r="BZ5" s="24">
        <v>2.81</v>
      </c>
    </row>
    <row r="6" spans="1:78" x14ac:dyDescent="0.45">
      <c r="A6" s="119" t="s">
        <v>476</v>
      </c>
      <c r="B6" s="30">
        <v>9.24</v>
      </c>
      <c r="C6" s="79">
        <v>12.94</v>
      </c>
      <c r="D6" s="30">
        <v>9.32</v>
      </c>
      <c r="E6" s="79">
        <v>13.04</v>
      </c>
      <c r="F6" s="30">
        <v>9.39</v>
      </c>
      <c r="G6" s="86">
        <v>13.15</v>
      </c>
      <c r="H6" s="31">
        <v>9.4600000000000009</v>
      </c>
      <c r="I6" s="92">
        <v>13.25</v>
      </c>
      <c r="J6" s="60">
        <v>9.5399999999999991</v>
      </c>
      <c r="K6" s="98">
        <v>13.35</v>
      </c>
      <c r="L6" s="60">
        <v>9.61</v>
      </c>
      <c r="M6" s="98">
        <v>13.45</v>
      </c>
      <c r="N6" s="66">
        <v>9.68</v>
      </c>
      <c r="O6" s="104">
        <v>13.55</v>
      </c>
      <c r="P6" s="31">
        <v>9.75</v>
      </c>
      <c r="Q6" s="92">
        <v>13.66</v>
      </c>
      <c r="R6" s="31">
        <v>9.83</v>
      </c>
      <c r="S6" s="110">
        <v>13.76</v>
      </c>
      <c r="T6" s="32">
        <v>9.9</v>
      </c>
      <c r="U6" s="116">
        <v>13.86</v>
      </c>
      <c r="V6" s="33">
        <v>9.9700000000000006</v>
      </c>
      <c r="W6" s="116">
        <v>13.96</v>
      </c>
      <c r="X6" s="33">
        <v>10.039999999999999</v>
      </c>
      <c r="Y6" s="126">
        <v>14.06</v>
      </c>
      <c r="Z6" s="33">
        <v>10.119999999999999</v>
      </c>
      <c r="AA6" s="126">
        <v>14.17</v>
      </c>
      <c r="AB6" s="33">
        <v>10.19</v>
      </c>
      <c r="AC6" s="134">
        <v>14.27</v>
      </c>
      <c r="AD6" s="33">
        <v>10.26</v>
      </c>
      <c r="AE6" s="134">
        <v>14.37</v>
      </c>
      <c r="AF6" s="33">
        <v>10.34</v>
      </c>
      <c r="AG6" s="134">
        <v>14.47</v>
      </c>
      <c r="AH6" s="140">
        <v>10.41</v>
      </c>
      <c r="AI6" s="134">
        <v>14.57</v>
      </c>
      <c r="AJ6" s="140">
        <v>10.48</v>
      </c>
      <c r="AK6" s="134">
        <v>14.67</v>
      </c>
      <c r="AL6" s="140">
        <v>10.55</v>
      </c>
      <c r="AM6" s="134">
        <v>14.78</v>
      </c>
      <c r="AN6" s="140">
        <v>10.63</v>
      </c>
      <c r="AO6" s="141">
        <v>14.88</v>
      </c>
      <c r="AP6" s="33">
        <v>10.7</v>
      </c>
      <c r="AQ6" s="120">
        <v>14.98</v>
      </c>
      <c r="AR6" s="33">
        <v>6.16</v>
      </c>
      <c r="AS6" s="33">
        <v>6.09</v>
      </c>
      <c r="AT6" s="33">
        <v>6.02</v>
      </c>
      <c r="AU6" s="33">
        <v>5.94</v>
      </c>
      <c r="AV6" s="25">
        <v>2</v>
      </c>
      <c r="AW6" s="30">
        <v>5.12</v>
      </c>
      <c r="AX6" s="30">
        <v>5.17</v>
      </c>
      <c r="AY6" s="30">
        <v>5.22</v>
      </c>
      <c r="AZ6" s="30">
        <v>5.27</v>
      </c>
      <c r="BA6" s="30">
        <v>5.32</v>
      </c>
      <c r="BB6" s="30">
        <v>5.37</v>
      </c>
      <c r="BC6" s="30">
        <v>5.42</v>
      </c>
      <c r="BD6" s="30">
        <v>5.48</v>
      </c>
      <c r="BE6" s="31">
        <v>5.53</v>
      </c>
      <c r="BF6" s="60">
        <v>5.58</v>
      </c>
      <c r="BG6" s="60">
        <v>5.63</v>
      </c>
      <c r="BH6" s="66">
        <v>5.68</v>
      </c>
      <c r="BI6" s="31">
        <v>5.73</v>
      </c>
      <c r="BJ6" s="34">
        <v>5.78</v>
      </c>
      <c r="BK6" s="32">
        <v>5.84</v>
      </c>
      <c r="BL6" s="33">
        <v>5.89</v>
      </c>
      <c r="BM6" s="33">
        <v>5.94</v>
      </c>
      <c r="BN6" s="33">
        <v>5.99</v>
      </c>
      <c r="BO6" s="33">
        <v>6.04</v>
      </c>
      <c r="BP6" s="33">
        <v>6.09</v>
      </c>
      <c r="BQ6" s="33">
        <v>6.14</v>
      </c>
      <c r="BR6" s="140">
        <v>6.19</v>
      </c>
      <c r="BS6" s="140">
        <v>6.25</v>
      </c>
      <c r="BT6" s="140">
        <v>6.3</v>
      </c>
      <c r="BU6" s="140">
        <v>6.35</v>
      </c>
      <c r="BV6" s="140">
        <v>6.4</v>
      </c>
      <c r="BW6" s="33">
        <v>3.82</v>
      </c>
      <c r="BX6" s="33">
        <v>3.77</v>
      </c>
      <c r="BY6" s="33">
        <v>3.72</v>
      </c>
      <c r="BZ6" s="33">
        <v>3.67</v>
      </c>
    </row>
    <row r="7" spans="1:78" x14ac:dyDescent="0.45">
      <c r="A7" s="119" t="s">
        <v>404</v>
      </c>
      <c r="B7" s="30">
        <v>10.71</v>
      </c>
      <c r="C7" s="79">
        <v>15</v>
      </c>
      <c r="D7" s="30">
        <v>10.82</v>
      </c>
      <c r="E7" s="79">
        <v>15.15</v>
      </c>
      <c r="F7" s="30">
        <v>10.93</v>
      </c>
      <c r="G7" s="86">
        <v>15.31</v>
      </c>
      <c r="H7" s="31">
        <v>11.04</v>
      </c>
      <c r="I7" s="92">
        <v>15.46</v>
      </c>
      <c r="J7" s="60">
        <v>11.15</v>
      </c>
      <c r="K7" s="98">
        <v>15.61</v>
      </c>
      <c r="L7" s="60">
        <v>11.26</v>
      </c>
      <c r="M7" s="98">
        <v>15.76</v>
      </c>
      <c r="N7" s="66">
        <v>11.37</v>
      </c>
      <c r="O7" s="104">
        <v>15.92</v>
      </c>
      <c r="P7" s="31">
        <v>11.48</v>
      </c>
      <c r="Q7" s="92">
        <v>16.07</v>
      </c>
      <c r="R7" s="31">
        <v>11.59</v>
      </c>
      <c r="S7" s="110">
        <v>16.22</v>
      </c>
      <c r="T7" s="32">
        <v>11.7</v>
      </c>
      <c r="U7" s="117">
        <v>16.38</v>
      </c>
      <c r="V7" s="35">
        <v>11.81</v>
      </c>
      <c r="W7" s="117">
        <v>16.53</v>
      </c>
      <c r="X7" s="35">
        <v>11.92</v>
      </c>
      <c r="Y7" s="126">
        <v>16.68</v>
      </c>
      <c r="Z7" s="35">
        <v>12.02</v>
      </c>
      <c r="AA7" s="126">
        <v>16.829999999999998</v>
      </c>
      <c r="AB7" s="35">
        <v>12.13</v>
      </c>
      <c r="AC7" s="134">
        <v>16.989999999999998</v>
      </c>
      <c r="AD7" s="35">
        <v>12.24</v>
      </c>
      <c r="AE7" s="134">
        <v>17.14</v>
      </c>
      <c r="AF7" s="35">
        <v>12.35</v>
      </c>
      <c r="AG7" s="134">
        <v>17.29</v>
      </c>
      <c r="AH7" s="142">
        <v>12.46</v>
      </c>
      <c r="AI7" s="134">
        <v>17.45</v>
      </c>
      <c r="AJ7" s="142">
        <v>12.57</v>
      </c>
      <c r="AK7" s="134">
        <v>17.600000000000001</v>
      </c>
      <c r="AL7" s="142">
        <v>12.68</v>
      </c>
      <c r="AM7" s="134">
        <v>17.75</v>
      </c>
      <c r="AN7" s="142">
        <v>12.79</v>
      </c>
      <c r="AO7" s="143">
        <v>17.899999999999999</v>
      </c>
      <c r="AP7" s="35">
        <v>12.9</v>
      </c>
      <c r="AQ7" s="120">
        <v>18.059999999999999</v>
      </c>
      <c r="AR7" s="35">
        <v>7.4</v>
      </c>
      <c r="AS7" s="35">
        <v>7.29</v>
      </c>
      <c r="AT7" s="35">
        <v>7.19</v>
      </c>
      <c r="AU7" s="35">
        <v>7.08</v>
      </c>
      <c r="AV7" s="36">
        <v>3</v>
      </c>
      <c r="AW7" s="30">
        <v>6.11</v>
      </c>
      <c r="AX7" s="30">
        <v>6.19</v>
      </c>
      <c r="AY7" s="30">
        <v>6.27</v>
      </c>
      <c r="AZ7" s="30">
        <v>6.35</v>
      </c>
      <c r="BA7" s="30">
        <v>6.42</v>
      </c>
      <c r="BB7" s="30">
        <v>6.5</v>
      </c>
      <c r="BC7" s="30">
        <v>6.58</v>
      </c>
      <c r="BD7" s="30">
        <v>6.65</v>
      </c>
      <c r="BE7" s="31">
        <v>6.73</v>
      </c>
      <c r="BF7" s="60">
        <v>6.81</v>
      </c>
      <c r="BG7" s="60">
        <v>6.89</v>
      </c>
      <c r="BH7" s="66">
        <v>6.96</v>
      </c>
      <c r="BI7" s="31">
        <v>7.04</v>
      </c>
      <c r="BJ7" s="34">
        <v>7.12</v>
      </c>
      <c r="BK7" s="32">
        <v>7.19</v>
      </c>
      <c r="BL7" s="35">
        <v>7.27</v>
      </c>
      <c r="BM7" s="35">
        <v>7.35</v>
      </c>
      <c r="BN7" s="35">
        <v>7.43</v>
      </c>
      <c r="BO7" s="35">
        <v>7.05</v>
      </c>
      <c r="BP7" s="35">
        <v>7.58</v>
      </c>
      <c r="BQ7" s="35">
        <v>7.66</v>
      </c>
      <c r="BR7" s="142">
        <v>7.73</v>
      </c>
      <c r="BS7" s="142">
        <v>7.81</v>
      </c>
      <c r="BT7" s="142">
        <v>7.89</v>
      </c>
      <c r="BU7" s="142">
        <v>7.97</v>
      </c>
      <c r="BV7" s="142">
        <v>8.0399999999999991</v>
      </c>
      <c r="BW7" s="35">
        <v>4.76</v>
      </c>
      <c r="BX7" s="35">
        <v>4.6900000000000004</v>
      </c>
      <c r="BY7" s="35">
        <v>4.6100000000000003</v>
      </c>
      <c r="BZ7" s="35">
        <v>4.53</v>
      </c>
    </row>
    <row r="8" spans="1:78" x14ac:dyDescent="0.45">
      <c r="A8" s="119" t="s">
        <v>299</v>
      </c>
      <c r="B8" s="30">
        <v>12.18</v>
      </c>
      <c r="C8" s="79">
        <v>17.059999999999999</v>
      </c>
      <c r="D8" s="30">
        <v>12.33</v>
      </c>
      <c r="E8" s="79">
        <v>17.260000000000002</v>
      </c>
      <c r="F8" s="30">
        <v>12.47</v>
      </c>
      <c r="G8" s="86">
        <v>17.46</v>
      </c>
      <c r="H8" s="31">
        <v>12.62</v>
      </c>
      <c r="I8" s="92">
        <v>17.670000000000002</v>
      </c>
      <c r="J8" s="60">
        <v>12.77</v>
      </c>
      <c r="K8" s="98">
        <v>17.87</v>
      </c>
      <c r="L8" s="60">
        <v>12.91</v>
      </c>
      <c r="M8" s="98">
        <v>18.079999999999998</v>
      </c>
      <c r="N8" s="66">
        <v>13.06</v>
      </c>
      <c r="O8" s="104">
        <v>18.28</v>
      </c>
      <c r="P8" s="31">
        <v>13.2</v>
      </c>
      <c r="Q8" s="92">
        <v>18.48</v>
      </c>
      <c r="R8" s="31">
        <v>13.35</v>
      </c>
      <c r="S8" s="110">
        <v>18.690000000000001</v>
      </c>
      <c r="T8" s="32">
        <v>13.49</v>
      </c>
      <c r="U8" s="45">
        <v>18.89</v>
      </c>
      <c r="V8" s="5">
        <v>13.64</v>
      </c>
      <c r="W8" s="45">
        <v>19.100000000000001</v>
      </c>
      <c r="X8" s="5">
        <v>13.78</v>
      </c>
      <c r="Y8" s="126">
        <v>19.3</v>
      </c>
      <c r="Z8" s="5">
        <v>13.93</v>
      </c>
      <c r="AA8" s="126">
        <v>19.5</v>
      </c>
      <c r="AB8" s="5">
        <v>14.08</v>
      </c>
      <c r="AC8" s="134">
        <v>19.71</v>
      </c>
      <c r="AD8" s="5">
        <v>14.22</v>
      </c>
      <c r="AE8" s="134">
        <v>19.91</v>
      </c>
      <c r="AF8" s="5">
        <v>14.37</v>
      </c>
      <c r="AG8" s="134">
        <v>20.11</v>
      </c>
      <c r="AH8" s="144">
        <v>14.51</v>
      </c>
      <c r="AI8" s="134">
        <v>20.32</v>
      </c>
      <c r="AJ8" s="144">
        <v>14.66</v>
      </c>
      <c r="AK8" s="134">
        <v>20.52</v>
      </c>
      <c r="AL8" s="144">
        <v>14.8</v>
      </c>
      <c r="AM8" s="134">
        <v>20.73</v>
      </c>
      <c r="AN8" s="144">
        <v>14.95</v>
      </c>
      <c r="AO8" s="144">
        <v>20.93</v>
      </c>
      <c r="AP8" s="5">
        <v>15.1</v>
      </c>
      <c r="AQ8" s="120">
        <v>21.13</v>
      </c>
      <c r="AR8" s="5">
        <v>8.64</v>
      </c>
      <c r="AS8" s="5">
        <v>8.5</v>
      </c>
      <c r="AT8" s="5">
        <v>8.35</v>
      </c>
      <c r="AU8" s="5">
        <v>8.2100000000000009</v>
      </c>
      <c r="AV8" s="37">
        <v>4</v>
      </c>
      <c r="AW8" s="30">
        <v>7.11</v>
      </c>
      <c r="AX8" s="30">
        <v>7.22</v>
      </c>
      <c r="AY8" s="30">
        <v>7.32</v>
      </c>
      <c r="AZ8" s="30">
        <v>7.42</v>
      </c>
      <c r="BA8" s="30">
        <v>7.53</v>
      </c>
      <c r="BB8" s="30">
        <v>7.63</v>
      </c>
      <c r="BC8" s="30">
        <v>7.73</v>
      </c>
      <c r="BD8" s="30">
        <v>7.83</v>
      </c>
      <c r="BE8" s="31">
        <v>7.94</v>
      </c>
      <c r="BF8" s="60">
        <v>8.0399999999999991</v>
      </c>
      <c r="BG8" s="60">
        <v>8.14</v>
      </c>
      <c r="BH8" s="66">
        <v>8.24</v>
      </c>
      <c r="BI8" s="31">
        <v>8.35</v>
      </c>
      <c r="BJ8" s="34">
        <v>8.4499999999999993</v>
      </c>
      <c r="BK8" s="32">
        <v>8.5500000000000007</v>
      </c>
      <c r="BL8" s="5">
        <v>8.66</v>
      </c>
      <c r="BM8" s="5">
        <v>8.76</v>
      </c>
      <c r="BN8" s="5">
        <v>8.86</v>
      </c>
      <c r="BO8" s="5">
        <v>8.9600000000000009</v>
      </c>
      <c r="BP8" s="5">
        <v>9.07</v>
      </c>
      <c r="BQ8" s="5">
        <v>9.17</v>
      </c>
      <c r="BR8" s="144">
        <v>9.27</v>
      </c>
      <c r="BS8" s="144">
        <v>9.3800000000000008</v>
      </c>
      <c r="BT8" s="144">
        <v>9.48</v>
      </c>
      <c r="BU8" s="144">
        <v>9.58</v>
      </c>
      <c r="BV8" s="144">
        <v>9.68</v>
      </c>
      <c r="BW8" s="5">
        <v>5.7</v>
      </c>
      <c r="BX8" s="5">
        <v>5.6</v>
      </c>
      <c r="BY8" s="5">
        <v>5.5</v>
      </c>
      <c r="BZ8" s="35">
        <v>5.39</v>
      </c>
    </row>
    <row r="9" spans="1:78" x14ac:dyDescent="0.45">
      <c r="A9" s="119" t="s">
        <v>300</v>
      </c>
      <c r="B9" s="30">
        <v>13.65</v>
      </c>
      <c r="C9" s="79">
        <v>19.11</v>
      </c>
      <c r="D9" s="30">
        <v>13.84</v>
      </c>
      <c r="E9" s="79">
        <v>19.37</v>
      </c>
      <c r="F9" s="30">
        <v>14.02</v>
      </c>
      <c r="G9" s="86">
        <v>19.62</v>
      </c>
      <c r="H9" s="31">
        <v>14.2</v>
      </c>
      <c r="I9" s="92">
        <v>19.88</v>
      </c>
      <c r="J9" s="60">
        <v>14.38</v>
      </c>
      <c r="K9" s="98">
        <v>20.13</v>
      </c>
      <c r="L9" s="60">
        <v>14.56</v>
      </c>
      <c r="M9" s="98">
        <v>20.39</v>
      </c>
      <c r="N9" s="66">
        <v>14.75</v>
      </c>
      <c r="O9" s="104">
        <v>20.64</v>
      </c>
      <c r="P9" s="31">
        <v>14.93</v>
      </c>
      <c r="Q9" s="92">
        <v>20.9</v>
      </c>
      <c r="R9" s="31">
        <v>15.11</v>
      </c>
      <c r="S9" s="110">
        <v>21.15</v>
      </c>
      <c r="T9" s="32">
        <v>15.29</v>
      </c>
      <c r="U9" s="45">
        <v>21.41</v>
      </c>
      <c r="V9" s="5">
        <v>15.47</v>
      </c>
      <c r="W9" s="45">
        <v>21.66</v>
      </c>
      <c r="X9" s="5">
        <v>15.66</v>
      </c>
      <c r="Y9" s="126">
        <v>21.92</v>
      </c>
      <c r="Z9" s="5">
        <v>15.84</v>
      </c>
      <c r="AA9" s="126">
        <v>22.18</v>
      </c>
      <c r="AB9" s="5">
        <v>16.02</v>
      </c>
      <c r="AC9" s="134">
        <v>22.43</v>
      </c>
      <c r="AD9" s="5">
        <v>16.2</v>
      </c>
      <c r="AE9" s="134">
        <v>22.68</v>
      </c>
      <c r="AF9" s="5">
        <v>16.38</v>
      </c>
      <c r="AG9" s="134">
        <v>22.94</v>
      </c>
      <c r="AH9" s="144">
        <v>16.57</v>
      </c>
      <c r="AI9" s="134">
        <v>23.19</v>
      </c>
      <c r="AJ9" s="144">
        <v>16.75</v>
      </c>
      <c r="AK9" s="134">
        <v>23.45</v>
      </c>
      <c r="AL9" s="144">
        <v>16.93</v>
      </c>
      <c r="AM9" s="134">
        <v>23.7</v>
      </c>
      <c r="AN9" s="144">
        <v>17.11</v>
      </c>
      <c r="AO9" s="144">
        <v>23.96</v>
      </c>
      <c r="AP9" s="5">
        <v>17.29</v>
      </c>
      <c r="AQ9" s="120">
        <v>24.21</v>
      </c>
      <c r="AR9" s="5">
        <v>9.89</v>
      </c>
      <c r="AS9" s="5">
        <v>9.6999999999999993</v>
      </c>
      <c r="AT9" s="5">
        <v>9.52</v>
      </c>
      <c r="AU9" s="5">
        <v>9.34</v>
      </c>
      <c r="AV9" s="37">
        <v>5</v>
      </c>
      <c r="AW9" s="30">
        <v>8.11</v>
      </c>
      <c r="AX9" s="30">
        <v>8.24</v>
      </c>
      <c r="AY9" s="30">
        <v>8.3699999999999992</v>
      </c>
      <c r="AZ9" s="30">
        <v>8.5</v>
      </c>
      <c r="BA9" s="30">
        <v>8.6300000000000008</v>
      </c>
      <c r="BB9" s="30">
        <v>8.75</v>
      </c>
      <c r="BC9" s="30">
        <v>8.8800000000000008</v>
      </c>
      <c r="BD9" s="30">
        <v>9.01</v>
      </c>
      <c r="BE9" s="31">
        <v>9.14</v>
      </c>
      <c r="BF9" s="60">
        <v>9.27</v>
      </c>
      <c r="BG9" s="60">
        <v>9.4</v>
      </c>
      <c r="BH9" s="66">
        <v>9.5299999999999994</v>
      </c>
      <c r="BI9" s="31">
        <v>9.65</v>
      </c>
      <c r="BJ9" s="34">
        <v>9.7799999999999994</v>
      </c>
      <c r="BK9" s="32">
        <v>9.91</v>
      </c>
      <c r="BL9" s="5">
        <v>10.039999999999999</v>
      </c>
      <c r="BM9" s="5">
        <v>10.17</v>
      </c>
      <c r="BN9" s="5">
        <v>10.3</v>
      </c>
      <c r="BO9" s="5">
        <v>10.43</v>
      </c>
      <c r="BP9" s="5">
        <v>10.55</v>
      </c>
      <c r="BQ9" s="5">
        <v>10.68</v>
      </c>
      <c r="BR9" s="144">
        <v>10.81</v>
      </c>
      <c r="BS9" s="144">
        <v>10.94</v>
      </c>
      <c r="BT9" s="144">
        <v>11.07</v>
      </c>
      <c r="BU9" s="144">
        <v>11.2</v>
      </c>
      <c r="BV9" s="144">
        <v>11.32</v>
      </c>
      <c r="BW9" s="5">
        <v>6.64</v>
      </c>
      <c r="BX9" s="5">
        <v>6.51</v>
      </c>
      <c r="BY9" s="5">
        <v>6.38</v>
      </c>
      <c r="BZ9" s="35">
        <v>6.26</v>
      </c>
    </row>
    <row r="10" spans="1:78" x14ac:dyDescent="0.45">
      <c r="A10" s="119" t="s">
        <v>301</v>
      </c>
      <c r="B10" s="30">
        <v>15.12</v>
      </c>
      <c r="C10" s="79">
        <v>21.17</v>
      </c>
      <c r="D10" s="30">
        <v>15.34</v>
      </c>
      <c r="E10" s="79">
        <v>21.48</v>
      </c>
      <c r="F10" s="30">
        <v>15.56</v>
      </c>
      <c r="G10" s="86">
        <v>21.78</v>
      </c>
      <c r="H10" s="31">
        <v>15.78</v>
      </c>
      <c r="I10" s="92">
        <v>22.09</v>
      </c>
      <c r="J10" s="60">
        <v>16</v>
      </c>
      <c r="K10" s="98">
        <v>22.39</v>
      </c>
      <c r="L10" s="60">
        <v>16.21</v>
      </c>
      <c r="M10" s="98">
        <v>22.7</v>
      </c>
      <c r="N10" s="66">
        <v>16.43</v>
      </c>
      <c r="O10" s="104">
        <v>23</v>
      </c>
      <c r="P10" s="31">
        <v>16.649999999999999</v>
      </c>
      <c r="Q10" s="92">
        <v>23.31</v>
      </c>
      <c r="R10" s="31">
        <v>16.87</v>
      </c>
      <c r="S10" s="110">
        <v>23.62</v>
      </c>
      <c r="T10" s="32">
        <v>17.09</v>
      </c>
      <c r="U10" s="45">
        <v>23.92</v>
      </c>
      <c r="V10" s="5">
        <v>17.309999999999999</v>
      </c>
      <c r="W10" s="45">
        <v>24.23</v>
      </c>
      <c r="X10" s="5">
        <v>17.52</v>
      </c>
      <c r="Y10" s="126">
        <v>24.53</v>
      </c>
      <c r="Z10" s="5">
        <v>17.739999999999998</v>
      </c>
      <c r="AA10" s="126">
        <v>24.84</v>
      </c>
      <c r="AB10" s="5">
        <v>17.96</v>
      </c>
      <c r="AC10" s="134">
        <v>25.14</v>
      </c>
      <c r="AD10" s="5">
        <v>18.18</v>
      </c>
      <c r="AE10" s="134">
        <v>25.45</v>
      </c>
      <c r="AF10" s="5">
        <v>18.399999999999999</v>
      </c>
      <c r="AG10" s="134">
        <v>25.76</v>
      </c>
      <c r="AH10" s="144">
        <v>18.62</v>
      </c>
      <c r="AI10" s="134">
        <v>26.06</v>
      </c>
      <c r="AJ10" s="144">
        <v>18.829999999999998</v>
      </c>
      <c r="AK10" s="134">
        <v>26.37</v>
      </c>
      <c r="AL10" s="144">
        <v>19.05</v>
      </c>
      <c r="AM10" s="134">
        <v>26.67</v>
      </c>
      <c r="AN10" s="144">
        <v>19.27</v>
      </c>
      <c r="AO10" s="144">
        <v>26.98</v>
      </c>
      <c r="AP10" s="5">
        <v>19.489999999999998</v>
      </c>
      <c r="AQ10" s="120">
        <v>27.29</v>
      </c>
      <c r="AR10" s="5">
        <v>11.13</v>
      </c>
      <c r="AS10" s="5">
        <v>10.91</v>
      </c>
      <c r="AT10" s="5">
        <v>10.69</v>
      </c>
      <c r="AU10" s="5">
        <v>10.47</v>
      </c>
      <c r="AV10" s="37">
        <v>6</v>
      </c>
      <c r="AW10" s="30">
        <v>9.11</v>
      </c>
      <c r="AX10" s="30">
        <v>9.27</v>
      </c>
      <c r="AY10" s="30">
        <v>9.42</v>
      </c>
      <c r="AZ10" s="30">
        <v>9.58</v>
      </c>
      <c r="BA10" s="30">
        <v>9.73</v>
      </c>
      <c r="BB10" s="30">
        <v>9.8800000000000008</v>
      </c>
      <c r="BC10" s="30">
        <v>10.039999999999999</v>
      </c>
      <c r="BD10" s="30">
        <v>10.19</v>
      </c>
      <c r="BE10" s="31">
        <v>10.35</v>
      </c>
      <c r="BF10" s="60">
        <v>10.5</v>
      </c>
      <c r="BG10" s="60">
        <v>10.66</v>
      </c>
      <c r="BH10" s="66">
        <v>10.81</v>
      </c>
      <c r="BI10" s="31">
        <v>10.96</v>
      </c>
      <c r="BJ10" s="34">
        <v>11.12</v>
      </c>
      <c r="BK10" s="32">
        <v>11.27</v>
      </c>
      <c r="BL10" s="5">
        <v>11.43</v>
      </c>
      <c r="BM10" s="5">
        <v>11.58</v>
      </c>
      <c r="BN10" s="5">
        <v>11.73</v>
      </c>
      <c r="BO10" s="5">
        <v>11.89</v>
      </c>
      <c r="BP10" s="5">
        <v>12.04</v>
      </c>
      <c r="BQ10" s="5">
        <v>12.2</v>
      </c>
      <c r="BR10" s="144">
        <v>12.35</v>
      </c>
      <c r="BS10" s="144">
        <v>12.51</v>
      </c>
      <c r="BT10" s="144">
        <v>12.66</v>
      </c>
      <c r="BU10" s="144">
        <v>12.81</v>
      </c>
      <c r="BV10" s="144">
        <v>12.97</v>
      </c>
      <c r="BW10" s="5">
        <v>7.58</v>
      </c>
      <c r="BX10" s="5">
        <v>7.43</v>
      </c>
      <c r="BY10" s="5">
        <v>7.27</v>
      </c>
      <c r="BZ10" s="35">
        <v>7.12</v>
      </c>
    </row>
    <row r="11" spans="1:78" x14ac:dyDescent="0.45">
      <c r="A11" s="119" t="s">
        <v>302</v>
      </c>
      <c r="B11" s="30">
        <v>16.59</v>
      </c>
      <c r="C11" s="79">
        <v>23.23</v>
      </c>
      <c r="D11" s="30">
        <v>16.850000000000001</v>
      </c>
      <c r="E11" s="79">
        <v>23.58</v>
      </c>
      <c r="F11" s="30">
        <v>17.100000000000001</v>
      </c>
      <c r="G11" s="86">
        <v>23.94</v>
      </c>
      <c r="H11" s="31">
        <v>17.36</v>
      </c>
      <c r="I11" s="92">
        <v>24.3</v>
      </c>
      <c r="J11" s="60">
        <v>17.61</v>
      </c>
      <c r="K11" s="98">
        <v>24.65</v>
      </c>
      <c r="L11" s="60">
        <v>17.86</v>
      </c>
      <c r="M11" s="98">
        <v>25.01</v>
      </c>
      <c r="N11" s="66">
        <v>18.12</v>
      </c>
      <c r="O11" s="104">
        <v>25.37</v>
      </c>
      <c r="P11" s="31">
        <v>18.37</v>
      </c>
      <c r="Q11" s="92">
        <v>25.72</v>
      </c>
      <c r="R11" s="31">
        <v>18.63</v>
      </c>
      <c r="S11" s="110">
        <v>26.08</v>
      </c>
      <c r="T11" s="32">
        <v>18.88</v>
      </c>
      <c r="U11" s="45">
        <v>26.44</v>
      </c>
      <c r="V11" s="5">
        <v>19.14</v>
      </c>
      <c r="W11" s="45">
        <v>26.79</v>
      </c>
      <c r="X11" s="5">
        <v>19.39</v>
      </c>
      <c r="Y11" s="126">
        <v>27.15</v>
      </c>
      <c r="Z11" s="5">
        <v>19.649999999999999</v>
      </c>
      <c r="AA11" s="126">
        <v>27.51</v>
      </c>
      <c r="AB11" s="5">
        <v>19.899999999999999</v>
      </c>
      <c r="AC11" s="134">
        <v>27.86</v>
      </c>
      <c r="AD11" s="5">
        <v>20.16</v>
      </c>
      <c r="AE11" s="134">
        <v>28.22</v>
      </c>
      <c r="AF11" s="5">
        <v>20.41</v>
      </c>
      <c r="AG11" s="134">
        <v>28.58</v>
      </c>
      <c r="AH11" s="144">
        <v>20.67</v>
      </c>
      <c r="AI11" s="134">
        <v>28.93</v>
      </c>
      <c r="AJ11" s="144">
        <v>20.92</v>
      </c>
      <c r="AK11" s="134">
        <v>29.29</v>
      </c>
      <c r="AL11" s="144">
        <v>21.18</v>
      </c>
      <c r="AM11" s="134">
        <v>29.65</v>
      </c>
      <c r="AN11" s="144">
        <v>21.43</v>
      </c>
      <c r="AO11" s="144">
        <v>30</v>
      </c>
      <c r="AP11" s="5">
        <v>21.69</v>
      </c>
      <c r="AQ11" s="120">
        <v>30.36</v>
      </c>
      <c r="AR11" s="5">
        <v>12.37</v>
      </c>
      <c r="AS11" s="5">
        <v>12.11</v>
      </c>
      <c r="AT11" s="5">
        <v>11.86</v>
      </c>
      <c r="AU11" s="5">
        <v>11.6</v>
      </c>
      <c r="AV11" s="37">
        <v>7</v>
      </c>
      <c r="AW11" s="30">
        <v>10.11</v>
      </c>
      <c r="AX11" s="30">
        <v>10.29</v>
      </c>
      <c r="AY11" s="30">
        <v>0.47</v>
      </c>
      <c r="AZ11" s="30"/>
      <c r="BA11" s="30">
        <v>10.83</v>
      </c>
      <c r="BB11" s="30">
        <v>11.01</v>
      </c>
      <c r="BC11" s="30">
        <v>11.19</v>
      </c>
      <c r="BD11" s="30">
        <v>11.37</v>
      </c>
      <c r="BE11" s="31">
        <v>11.55</v>
      </c>
      <c r="BF11" s="60">
        <v>11.73</v>
      </c>
      <c r="BG11" s="60">
        <v>11.91</v>
      </c>
      <c r="BH11" s="66">
        <v>12.09</v>
      </c>
      <c r="BI11" s="31">
        <v>12.27</v>
      </c>
      <c r="BJ11" s="34">
        <v>12.45</v>
      </c>
      <c r="BK11" s="32">
        <v>12.63</v>
      </c>
      <c r="BL11" s="5">
        <v>12.81</v>
      </c>
      <c r="BM11" s="5">
        <v>12.99</v>
      </c>
      <c r="BN11" s="5">
        <v>13.17</v>
      </c>
      <c r="BO11" s="5">
        <v>13.35</v>
      </c>
      <c r="BP11" s="5">
        <v>13.53</v>
      </c>
      <c r="BQ11" s="5">
        <v>13.71</v>
      </c>
      <c r="BR11" s="144">
        <v>13.89</v>
      </c>
      <c r="BS11" s="144">
        <v>14.07</v>
      </c>
      <c r="BT11" s="144">
        <v>14.25</v>
      </c>
      <c r="BU11" s="144">
        <v>14.43</v>
      </c>
      <c r="BV11" s="144">
        <v>14.61</v>
      </c>
      <c r="BW11" s="5">
        <v>8.52</v>
      </c>
      <c r="BX11" s="5">
        <v>8.34</v>
      </c>
      <c r="BY11" s="5">
        <v>8.16</v>
      </c>
      <c r="BZ11" s="35">
        <v>7.98</v>
      </c>
    </row>
    <row r="12" spans="1:78" x14ac:dyDescent="0.45">
      <c r="A12" s="119" t="s">
        <v>303</v>
      </c>
      <c r="B12" s="30">
        <v>18.3</v>
      </c>
      <c r="C12" s="79">
        <v>25.62</v>
      </c>
      <c r="D12" s="30">
        <v>18.59</v>
      </c>
      <c r="E12" s="79">
        <v>26.02</v>
      </c>
      <c r="F12" s="30">
        <v>18.88</v>
      </c>
      <c r="G12" s="86">
        <v>26.43</v>
      </c>
      <c r="H12" s="31">
        <v>19.170000000000002</v>
      </c>
      <c r="I12" s="92">
        <v>26.84</v>
      </c>
      <c r="J12" s="60">
        <v>19.46</v>
      </c>
      <c r="K12" s="98">
        <v>27.25</v>
      </c>
      <c r="L12" s="60">
        <v>19.75</v>
      </c>
      <c r="M12" s="98">
        <v>27.65</v>
      </c>
      <c r="N12" s="66">
        <v>20.04</v>
      </c>
      <c r="O12" s="104">
        <v>28.06</v>
      </c>
      <c r="P12" s="31">
        <v>20.34</v>
      </c>
      <c r="Q12" s="92">
        <v>28.47</v>
      </c>
      <c r="R12" s="31">
        <v>20.63</v>
      </c>
      <c r="S12" s="110">
        <v>28.88</v>
      </c>
      <c r="T12" s="32">
        <v>20.92</v>
      </c>
      <c r="U12" s="45">
        <v>29.28</v>
      </c>
      <c r="V12" s="5">
        <v>21.21</v>
      </c>
      <c r="W12" s="45">
        <v>29.69</v>
      </c>
      <c r="X12" s="5">
        <v>21.5</v>
      </c>
      <c r="Y12" s="126">
        <v>30.1</v>
      </c>
      <c r="Z12" s="5">
        <v>21.79</v>
      </c>
      <c r="AA12" s="126">
        <v>30.51</v>
      </c>
      <c r="AB12" s="5">
        <v>22.08</v>
      </c>
      <c r="AC12" s="134">
        <v>30.92</v>
      </c>
      <c r="AD12" s="5">
        <v>22.37</v>
      </c>
      <c r="AE12" s="134">
        <v>31.32</v>
      </c>
      <c r="AF12" s="5">
        <v>22.66</v>
      </c>
      <c r="AG12" s="134">
        <v>31.73</v>
      </c>
      <c r="AH12" s="144">
        <v>22.96</v>
      </c>
      <c r="AI12" s="134">
        <v>32.14</v>
      </c>
      <c r="AJ12" s="144">
        <v>23.25</v>
      </c>
      <c r="AK12" s="134">
        <v>32.549999999999997</v>
      </c>
      <c r="AL12" s="144">
        <v>23.54</v>
      </c>
      <c r="AM12" s="134">
        <v>32.950000000000003</v>
      </c>
      <c r="AN12" s="144">
        <v>23.83</v>
      </c>
      <c r="AO12" s="144">
        <v>33.36</v>
      </c>
      <c r="AP12" s="5">
        <v>24.12</v>
      </c>
      <c r="AQ12" s="120">
        <v>33.770000000000003</v>
      </c>
      <c r="AR12" s="5">
        <v>13.75</v>
      </c>
      <c r="AS12" s="5">
        <v>13.46</v>
      </c>
      <c r="AT12" s="5">
        <v>13.16</v>
      </c>
      <c r="AU12" s="5">
        <v>12.87</v>
      </c>
      <c r="AV12" s="37">
        <v>8</v>
      </c>
      <c r="AW12" s="30">
        <v>11.11</v>
      </c>
      <c r="AX12" s="30">
        <v>11.32</v>
      </c>
      <c r="AY12" s="30">
        <v>11.52</v>
      </c>
      <c r="AZ12" s="30">
        <v>10.65</v>
      </c>
      <c r="BA12" s="30">
        <v>11.93</v>
      </c>
      <c r="BB12" s="30">
        <v>12.14</v>
      </c>
      <c r="BC12" s="30">
        <v>12.35</v>
      </c>
      <c r="BD12" s="30">
        <v>12.55</v>
      </c>
      <c r="BE12" s="31">
        <v>12.76</v>
      </c>
      <c r="BF12" s="60">
        <v>12.96</v>
      </c>
      <c r="BG12" s="60">
        <v>13.17</v>
      </c>
      <c r="BH12" s="66">
        <v>13.37</v>
      </c>
      <c r="BI12" s="31">
        <v>13.58</v>
      </c>
      <c r="BJ12" s="34">
        <v>13.78</v>
      </c>
      <c r="BK12" s="32">
        <v>13.99</v>
      </c>
      <c r="BL12" s="5">
        <v>14.2</v>
      </c>
      <c r="BM12" s="5">
        <v>14.4</v>
      </c>
      <c r="BN12" s="5">
        <v>14.61</v>
      </c>
      <c r="BO12" s="5">
        <v>14.81</v>
      </c>
      <c r="BP12" s="5">
        <v>15.02</v>
      </c>
      <c r="BQ12" s="5">
        <v>15.22</v>
      </c>
      <c r="BR12" s="144">
        <v>15.43</v>
      </c>
      <c r="BS12" s="144">
        <v>15.64</v>
      </c>
      <c r="BT12" s="144">
        <v>15.84</v>
      </c>
      <c r="BU12" s="144">
        <v>16.05</v>
      </c>
      <c r="BV12" s="144">
        <v>16.25</v>
      </c>
      <c r="BW12" s="5">
        <v>9.4600000000000009</v>
      </c>
      <c r="BX12" s="5">
        <v>9.26</v>
      </c>
      <c r="BY12" s="5">
        <v>9.0500000000000007</v>
      </c>
      <c r="BZ12" s="35">
        <v>8.84</v>
      </c>
    </row>
    <row r="13" spans="1:78" x14ac:dyDescent="0.45">
      <c r="A13" s="119" t="s">
        <v>304</v>
      </c>
      <c r="B13" s="30">
        <v>20.43</v>
      </c>
      <c r="C13" s="79">
        <v>28.6</v>
      </c>
      <c r="D13" s="30">
        <v>20.76</v>
      </c>
      <c r="E13" s="79">
        <v>29.06</v>
      </c>
      <c r="F13" s="30">
        <v>21.08</v>
      </c>
      <c r="G13" s="86">
        <v>29.52</v>
      </c>
      <c r="H13" s="31">
        <v>21.41</v>
      </c>
      <c r="I13" s="92">
        <v>29.97</v>
      </c>
      <c r="J13" s="60">
        <v>21.74</v>
      </c>
      <c r="K13" s="98">
        <v>30.43</v>
      </c>
      <c r="L13" s="60">
        <v>22.07</v>
      </c>
      <c r="M13" s="98">
        <v>30.89</v>
      </c>
      <c r="N13" s="66">
        <v>22.39</v>
      </c>
      <c r="O13" s="104">
        <v>31.35</v>
      </c>
      <c r="P13" s="31">
        <v>22.72</v>
      </c>
      <c r="Q13" s="92">
        <v>31.81</v>
      </c>
      <c r="R13" s="31">
        <v>23.05</v>
      </c>
      <c r="S13" s="110">
        <v>32.270000000000003</v>
      </c>
      <c r="T13" s="32">
        <v>23.38</v>
      </c>
      <c r="U13" s="45">
        <v>32.729999999999997</v>
      </c>
      <c r="V13" s="5">
        <v>23.7</v>
      </c>
      <c r="W13" s="45">
        <v>33.19</v>
      </c>
      <c r="X13" s="5">
        <v>24.03</v>
      </c>
      <c r="Y13" s="126">
        <v>33.64</v>
      </c>
      <c r="Z13" s="5">
        <v>24.36</v>
      </c>
      <c r="AA13" s="126">
        <v>34.1</v>
      </c>
      <c r="AB13" s="5">
        <v>24.69</v>
      </c>
      <c r="AC13" s="134">
        <v>34.56</v>
      </c>
      <c r="AD13" s="5">
        <v>25.01</v>
      </c>
      <c r="AE13" s="134">
        <v>35.020000000000003</v>
      </c>
      <c r="AF13" s="5">
        <v>25.34</v>
      </c>
      <c r="AG13" s="134">
        <v>35.479999999999997</v>
      </c>
      <c r="AH13" s="144">
        <v>25.67</v>
      </c>
      <c r="AI13" s="134">
        <v>35.94</v>
      </c>
      <c r="AJ13" s="144">
        <v>26</v>
      </c>
      <c r="AK13" s="134">
        <v>36.4</v>
      </c>
      <c r="AL13" s="144">
        <v>26.32</v>
      </c>
      <c r="AM13" s="134">
        <v>36.85</v>
      </c>
      <c r="AN13" s="144">
        <v>26.65</v>
      </c>
      <c r="AO13" s="144">
        <v>37.31</v>
      </c>
      <c r="AP13" s="5">
        <v>26.98</v>
      </c>
      <c r="AQ13" s="120">
        <v>37.770000000000003</v>
      </c>
      <c r="AR13" s="5">
        <v>15.37</v>
      </c>
      <c r="AS13" s="5">
        <v>15.05</v>
      </c>
      <c r="AT13" s="5">
        <v>14.72</v>
      </c>
      <c r="AU13" s="5">
        <v>14.39</v>
      </c>
      <c r="AV13" s="37">
        <v>9</v>
      </c>
      <c r="AW13" s="30">
        <v>12.11</v>
      </c>
      <c r="AX13" s="30">
        <v>12.34</v>
      </c>
      <c r="AY13" s="30">
        <v>12.58</v>
      </c>
      <c r="AZ13" s="30">
        <v>11.73</v>
      </c>
      <c r="BA13" s="30">
        <v>13.04</v>
      </c>
      <c r="BB13" s="30">
        <v>13.27</v>
      </c>
      <c r="BC13" s="30">
        <v>13.5</v>
      </c>
      <c r="BD13" s="30">
        <v>13.73</v>
      </c>
      <c r="BE13" s="31">
        <v>13.96</v>
      </c>
      <c r="BF13" s="60">
        <v>14.19</v>
      </c>
      <c r="BG13" s="60">
        <v>14.43</v>
      </c>
      <c r="BH13" s="66">
        <v>14.66</v>
      </c>
      <c r="BI13" s="31">
        <v>14.89</v>
      </c>
      <c r="BJ13" s="34">
        <v>15.12</v>
      </c>
      <c r="BK13" s="32">
        <v>15.35</v>
      </c>
      <c r="BL13" s="5">
        <v>15.58</v>
      </c>
      <c r="BM13" s="5">
        <v>15.81</v>
      </c>
      <c r="BN13" s="5">
        <v>16.04</v>
      </c>
      <c r="BO13" s="5">
        <v>16.28</v>
      </c>
      <c r="BP13" s="5">
        <v>16.510000000000002</v>
      </c>
      <c r="BQ13" s="5">
        <v>16.739999999999998</v>
      </c>
      <c r="BR13" s="144">
        <v>16.97</v>
      </c>
      <c r="BS13" s="144">
        <v>17.2</v>
      </c>
      <c r="BT13" s="144">
        <v>17.43</v>
      </c>
      <c r="BU13" s="144">
        <v>17.66</v>
      </c>
      <c r="BV13" s="144">
        <v>17.899999999999999</v>
      </c>
      <c r="BW13" s="5">
        <v>10.4</v>
      </c>
      <c r="BX13" s="5">
        <v>10.17</v>
      </c>
      <c r="BY13" s="5">
        <v>9.94</v>
      </c>
      <c r="BZ13" s="35">
        <v>9.7100000000000009</v>
      </c>
    </row>
    <row r="14" spans="1:78" x14ac:dyDescent="0.45">
      <c r="A14" s="119" t="s">
        <v>305</v>
      </c>
      <c r="B14" s="30">
        <v>22.56</v>
      </c>
      <c r="C14" s="79">
        <v>31.58</v>
      </c>
      <c r="D14" s="30">
        <v>22.92</v>
      </c>
      <c r="E14" s="79">
        <v>32.090000000000003</v>
      </c>
      <c r="F14" s="30">
        <v>23.29</v>
      </c>
      <c r="G14" s="86">
        <v>32.6</v>
      </c>
      <c r="H14" s="31">
        <v>23.65</v>
      </c>
      <c r="I14" s="92">
        <v>33.11</v>
      </c>
      <c r="J14" s="60">
        <v>24.01</v>
      </c>
      <c r="K14" s="98">
        <v>33.619999999999997</v>
      </c>
      <c r="L14" s="60">
        <v>24.38</v>
      </c>
      <c r="M14" s="98">
        <v>34.130000000000003</v>
      </c>
      <c r="N14" s="66">
        <v>24.74</v>
      </c>
      <c r="O14" s="104">
        <v>34.64</v>
      </c>
      <c r="P14" s="31">
        <v>25.11</v>
      </c>
      <c r="Q14" s="92">
        <v>35.15</v>
      </c>
      <c r="R14" s="31">
        <v>25.47</v>
      </c>
      <c r="S14" s="110">
        <v>35.659999999999997</v>
      </c>
      <c r="T14" s="32">
        <v>25.83</v>
      </c>
      <c r="U14" s="45">
        <v>36.17</v>
      </c>
      <c r="V14" s="5">
        <v>26.2</v>
      </c>
      <c r="W14" s="45">
        <v>36.68</v>
      </c>
      <c r="X14" s="5">
        <v>26.56</v>
      </c>
      <c r="Y14" s="126">
        <v>37.19</v>
      </c>
      <c r="Z14" s="5">
        <v>26.93</v>
      </c>
      <c r="AA14" s="126">
        <v>37.700000000000003</v>
      </c>
      <c r="AB14" s="5">
        <v>27.29</v>
      </c>
      <c r="AC14" s="134">
        <v>38.200000000000003</v>
      </c>
      <c r="AD14" s="5">
        <v>27.65</v>
      </c>
      <c r="AE14" s="134">
        <v>38.71</v>
      </c>
      <c r="AF14" s="5">
        <v>28.02</v>
      </c>
      <c r="AG14" s="134">
        <v>39.22</v>
      </c>
      <c r="AH14" s="144">
        <v>28.38</v>
      </c>
      <c r="AI14" s="134">
        <v>39.729999999999997</v>
      </c>
      <c r="AJ14" s="144">
        <v>28.75</v>
      </c>
      <c r="AK14" s="134">
        <v>40.24</v>
      </c>
      <c r="AL14" s="144">
        <v>29.11</v>
      </c>
      <c r="AM14" s="134">
        <v>40.75</v>
      </c>
      <c r="AN14" s="144">
        <v>29.47</v>
      </c>
      <c r="AO14" s="144">
        <v>41.26</v>
      </c>
      <c r="AP14" s="5">
        <v>29.84</v>
      </c>
      <c r="AQ14" s="120">
        <v>41.77</v>
      </c>
      <c r="AR14" s="5">
        <v>17</v>
      </c>
      <c r="AS14" s="5">
        <v>16.64</v>
      </c>
      <c r="AT14" s="5">
        <v>16.27</v>
      </c>
      <c r="AU14" s="5">
        <v>15.91</v>
      </c>
      <c r="AV14" s="37">
        <v>10</v>
      </c>
      <c r="AW14" s="30">
        <v>13.11</v>
      </c>
      <c r="AX14" s="30">
        <v>13.37</v>
      </c>
      <c r="AY14" s="30">
        <v>13.63</v>
      </c>
      <c r="AZ14" s="30">
        <v>12.81</v>
      </c>
      <c r="BA14" s="30">
        <v>14.14</v>
      </c>
      <c r="BB14" s="30">
        <v>14.4</v>
      </c>
      <c r="BC14" s="30">
        <v>14.65</v>
      </c>
      <c r="BD14" s="30">
        <v>14.91</v>
      </c>
      <c r="BE14" s="31">
        <v>15.17</v>
      </c>
      <c r="BF14" s="60">
        <v>15.42</v>
      </c>
      <c r="BG14" s="60">
        <v>15.68</v>
      </c>
      <c r="BH14" s="66">
        <v>15.94</v>
      </c>
      <c r="BI14" s="31">
        <v>16.2</v>
      </c>
      <c r="BJ14" s="34">
        <v>16.45</v>
      </c>
      <c r="BK14" s="32">
        <v>16.71</v>
      </c>
      <c r="BL14" s="5">
        <v>16.97</v>
      </c>
      <c r="BM14" s="5">
        <v>17.22</v>
      </c>
      <c r="BN14" s="5">
        <v>17.48</v>
      </c>
      <c r="BO14" s="5">
        <v>17.739999999999998</v>
      </c>
      <c r="BP14" s="5">
        <v>17.989999999999998</v>
      </c>
      <c r="BQ14" s="5">
        <v>18.25</v>
      </c>
      <c r="BR14" s="144">
        <v>18.510000000000002</v>
      </c>
      <c r="BS14" s="144">
        <v>18.77</v>
      </c>
      <c r="BT14" s="144">
        <v>19.02</v>
      </c>
      <c r="BU14" s="144">
        <v>19.28</v>
      </c>
      <c r="BV14" s="144">
        <v>19.54</v>
      </c>
      <c r="BW14" s="5">
        <v>11.34</v>
      </c>
      <c r="BX14" s="5">
        <v>11.08</v>
      </c>
      <c r="BY14" s="5">
        <v>10.83</v>
      </c>
      <c r="BZ14" s="35">
        <v>10.57</v>
      </c>
    </row>
    <row r="15" spans="1:78" x14ac:dyDescent="0.45">
      <c r="A15" s="119" t="s">
        <v>306</v>
      </c>
      <c r="B15" s="30">
        <v>24.69</v>
      </c>
      <c r="C15" s="79">
        <v>34.56</v>
      </c>
      <c r="D15" s="30">
        <v>25.09</v>
      </c>
      <c r="E15" s="79">
        <v>35.119999999999997</v>
      </c>
      <c r="F15" s="30">
        <v>25.49</v>
      </c>
      <c r="G15" s="86">
        <v>35.68</v>
      </c>
      <c r="H15" s="31">
        <v>25.89</v>
      </c>
      <c r="I15" s="92">
        <v>36.24</v>
      </c>
      <c r="J15" s="60">
        <v>26.29</v>
      </c>
      <c r="K15" s="98">
        <v>36.799999999999997</v>
      </c>
      <c r="L15" s="60">
        <v>26.69</v>
      </c>
      <c r="M15" s="98">
        <v>37.36</v>
      </c>
      <c r="N15" s="66">
        <v>27.09</v>
      </c>
      <c r="O15" s="104">
        <v>37.92</v>
      </c>
      <c r="P15" s="31">
        <v>27.49</v>
      </c>
      <c r="Q15" s="92">
        <v>38.479999999999997</v>
      </c>
      <c r="R15" s="31">
        <v>27.89</v>
      </c>
      <c r="S15" s="110">
        <v>39.049999999999997</v>
      </c>
      <c r="T15" s="32">
        <v>28.29</v>
      </c>
      <c r="U15" s="45">
        <v>39.61</v>
      </c>
      <c r="V15" s="5">
        <v>28.69</v>
      </c>
      <c r="W15" s="45">
        <v>40.17</v>
      </c>
      <c r="X15" s="5">
        <v>29.09</v>
      </c>
      <c r="Y15" s="126">
        <v>40.729999999999997</v>
      </c>
      <c r="Z15" s="5">
        <v>29.49</v>
      </c>
      <c r="AA15" s="126">
        <v>41.29</v>
      </c>
      <c r="AB15" s="5">
        <v>29.89</v>
      </c>
      <c r="AC15" s="134">
        <v>41.85</v>
      </c>
      <c r="AD15" s="5">
        <v>30.29</v>
      </c>
      <c r="AE15" s="134">
        <v>42.41</v>
      </c>
      <c r="AF15" s="5">
        <v>30.69</v>
      </c>
      <c r="AG15" s="134">
        <v>42.97</v>
      </c>
      <c r="AH15" s="144">
        <v>31.09</v>
      </c>
      <c r="AI15" s="134">
        <v>43.53</v>
      </c>
      <c r="AJ15" s="144">
        <v>31.49</v>
      </c>
      <c r="AK15" s="134">
        <v>44.09</v>
      </c>
      <c r="AL15" s="144">
        <v>31.89</v>
      </c>
      <c r="AM15" s="134">
        <v>44.65</v>
      </c>
      <c r="AN15" s="144">
        <v>32.29</v>
      </c>
      <c r="AO15" s="144">
        <v>45.21</v>
      </c>
      <c r="AP15" s="5">
        <v>32.69</v>
      </c>
      <c r="AQ15" s="120">
        <v>45.77</v>
      </c>
      <c r="AR15" s="5">
        <v>18.63</v>
      </c>
      <c r="AS15" s="5">
        <v>18.23</v>
      </c>
      <c r="AT15" s="5">
        <v>17.829999999999998</v>
      </c>
      <c r="AU15" s="5">
        <v>17.43</v>
      </c>
      <c r="AV15" s="37">
        <v>11</v>
      </c>
      <c r="AW15" s="30">
        <v>14.11</v>
      </c>
      <c r="AX15" s="30">
        <v>14.39</v>
      </c>
      <c r="AY15" s="30">
        <v>14.68</v>
      </c>
      <c r="AZ15" s="30">
        <v>14.96</v>
      </c>
      <c r="BA15" s="30">
        <v>15.24</v>
      </c>
      <c r="BB15" s="30">
        <v>15.52</v>
      </c>
      <c r="BC15" s="30">
        <v>15.81</v>
      </c>
      <c r="BD15" s="30">
        <v>16.09</v>
      </c>
      <c r="BE15" s="31">
        <v>16.37</v>
      </c>
      <c r="BF15" s="60">
        <v>16.649999999999999</v>
      </c>
      <c r="BG15" s="60">
        <v>16.940000000000001</v>
      </c>
      <c r="BH15" s="66">
        <v>17.22</v>
      </c>
      <c r="BI15" s="31">
        <v>17.5</v>
      </c>
      <c r="BJ15" s="34">
        <v>17.79</v>
      </c>
      <c r="BK15" s="32">
        <v>18.07</v>
      </c>
      <c r="BL15" s="5">
        <v>18.350000000000001</v>
      </c>
      <c r="BM15" s="5">
        <v>18.63</v>
      </c>
      <c r="BN15" s="5">
        <v>18.920000000000002</v>
      </c>
      <c r="BO15" s="5">
        <v>19.2</v>
      </c>
      <c r="BP15" s="5">
        <v>19.48</v>
      </c>
      <c r="BQ15" s="5">
        <v>19.760000000000002</v>
      </c>
      <c r="BR15" s="144">
        <v>20.05</v>
      </c>
      <c r="BS15" s="144">
        <v>20.329999999999998</v>
      </c>
      <c r="BT15" s="144">
        <v>20.61</v>
      </c>
      <c r="BU15" s="144">
        <v>20.9</v>
      </c>
      <c r="BV15" s="144">
        <v>21.18</v>
      </c>
      <c r="BW15" s="5">
        <v>12.28</v>
      </c>
      <c r="BX15" s="5">
        <v>12</v>
      </c>
      <c r="BY15" s="5">
        <v>11.71</v>
      </c>
      <c r="BZ15" s="35">
        <v>11.43</v>
      </c>
    </row>
    <row r="16" spans="1:78" x14ac:dyDescent="0.45">
      <c r="A16" s="119" t="s">
        <v>307</v>
      </c>
      <c r="B16" s="30">
        <v>26.81</v>
      </c>
      <c r="C16" s="79">
        <v>37.54</v>
      </c>
      <c r="D16" s="30">
        <v>27.25</v>
      </c>
      <c r="E16" s="79">
        <v>38.15</v>
      </c>
      <c r="F16" s="30">
        <v>27.69</v>
      </c>
      <c r="G16" s="86">
        <v>38.76</v>
      </c>
      <c r="H16" s="31">
        <v>28.12</v>
      </c>
      <c r="I16" s="92">
        <v>39.369999999999997</v>
      </c>
      <c r="J16" s="60">
        <v>28.56</v>
      </c>
      <c r="K16" s="98">
        <v>39.99</v>
      </c>
      <c r="L16" s="60">
        <v>29</v>
      </c>
      <c r="M16" s="98">
        <v>40.6</v>
      </c>
      <c r="N16" s="66">
        <v>29.44</v>
      </c>
      <c r="O16" s="104">
        <v>41.21</v>
      </c>
      <c r="P16" s="31">
        <v>29.87</v>
      </c>
      <c r="Q16" s="92">
        <v>41.82</v>
      </c>
      <c r="R16" s="31">
        <v>30.31</v>
      </c>
      <c r="S16" s="110">
        <v>42.43</v>
      </c>
      <c r="T16" s="32">
        <v>30.75</v>
      </c>
      <c r="U16" s="45">
        <v>43.04</v>
      </c>
      <c r="V16" s="5">
        <v>31.18</v>
      </c>
      <c r="W16" s="45">
        <v>43.66</v>
      </c>
      <c r="X16" s="5">
        <v>31.62</v>
      </c>
      <c r="Y16" s="126">
        <v>44.27</v>
      </c>
      <c r="Z16" s="5">
        <v>32.06</v>
      </c>
      <c r="AA16" s="126">
        <v>44.88</v>
      </c>
      <c r="AB16" s="5">
        <v>32.49</v>
      </c>
      <c r="AC16" s="134">
        <v>45.49</v>
      </c>
      <c r="AD16" s="5">
        <v>32.93</v>
      </c>
      <c r="AE16" s="134">
        <v>46.1</v>
      </c>
      <c r="AF16" s="5">
        <v>33.369999999999997</v>
      </c>
      <c r="AG16" s="134">
        <v>46.71</v>
      </c>
      <c r="AH16" s="144">
        <v>33.799999999999997</v>
      </c>
      <c r="AI16" s="134">
        <v>47.32</v>
      </c>
      <c r="AJ16" s="144">
        <v>34.24</v>
      </c>
      <c r="AK16" s="134">
        <v>47.94</v>
      </c>
      <c r="AL16" s="144">
        <v>34.68</v>
      </c>
      <c r="AM16" s="134">
        <v>48.55</v>
      </c>
      <c r="AN16" s="144">
        <v>35.11</v>
      </c>
      <c r="AO16" s="144">
        <v>49.16</v>
      </c>
      <c r="AP16" s="5">
        <v>35.549999999999997</v>
      </c>
      <c r="AQ16" s="120">
        <v>49.77</v>
      </c>
      <c r="AR16" s="5">
        <v>20.25</v>
      </c>
      <c r="AS16" s="5">
        <v>19.82</v>
      </c>
      <c r="AT16" s="5">
        <v>19.38</v>
      </c>
      <c r="AU16" s="5">
        <v>18.940000000000001</v>
      </c>
      <c r="AV16" s="37">
        <v>12</v>
      </c>
      <c r="AW16" s="30">
        <v>15.11</v>
      </c>
      <c r="AX16" s="30">
        <v>15.42</v>
      </c>
      <c r="AY16" s="30">
        <v>15.73</v>
      </c>
      <c r="AZ16" s="30">
        <v>16.04</v>
      </c>
      <c r="BA16" s="30">
        <v>16.34</v>
      </c>
      <c r="BB16" s="30">
        <v>16.649999999999999</v>
      </c>
      <c r="BC16" s="30">
        <v>16.96</v>
      </c>
      <c r="BD16" s="30">
        <v>17.27</v>
      </c>
      <c r="BE16" s="31">
        <v>17.579999999999998</v>
      </c>
      <c r="BF16" s="60">
        <v>17.89</v>
      </c>
      <c r="BG16" s="60">
        <v>18.190000000000001</v>
      </c>
      <c r="BH16" s="66">
        <v>18.5</v>
      </c>
      <c r="BI16" s="31">
        <v>18.809999999999999</v>
      </c>
      <c r="BJ16" s="34">
        <v>19.12</v>
      </c>
      <c r="BK16" s="32">
        <v>19.43</v>
      </c>
      <c r="BL16" s="5">
        <v>19.739999999999998</v>
      </c>
      <c r="BM16" s="5">
        <v>20.04</v>
      </c>
      <c r="BN16" s="5">
        <v>20.350000000000001</v>
      </c>
      <c r="BO16" s="5">
        <v>20.66</v>
      </c>
      <c r="BP16" s="5">
        <v>20.97</v>
      </c>
      <c r="BQ16" s="5">
        <v>21.28</v>
      </c>
      <c r="BR16" s="144">
        <v>21.59</v>
      </c>
      <c r="BS16" s="144">
        <v>21.9</v>
      </c>
      <c r="BT16" s="144">
        <v>22.2</v>
      </c>
      <c r="BU16" s="144">
        <v>22.51</v>
      </c>
      <c r="BV16" s="144">
        <v>22.82</v>
      </c>
      <c r="BW16" s="5">
        <v>13.22</v>
      </c>
      <c r="BX16" s="5">
        <v>12.91</v>
      </c>
      <c r="BY16" s="5">
        <v>12.6</v>
      </c>
      <c r="BZ16" s="35">
        <v>12.29</v>
      </c>
    </row>
    <row r="17" spans="1:78" x14ac:dyDescent="0.45">
      <c r="A17" s="119" t="s">
        <v>308</v>
      </c>
      <c r="B17" s="30">
        <v>28.95</v>
      </c>
      <c r="C17" s="79">
        <v>40.520000000000003</v>
      </c>
      <c r="D17" s="30">
        <v>29.42</v>
      </c>
      <c r="E17" s="79">
        <v>41.19</v>
      </c>
      <c r="F17" s="30">
        <v>29.89</v>
      </c>
      <c r="G17" s="86">
        <v>41.85</v>
      </c>
      <c r="H17" s="31">
        <v>30.37</v>
      </c>
      <c r="I17" s="92">
        <v>42.51</v>
      </c>
      <c r="J17" s="60">
        <v>30.84</v>
      </c>
      <c r="K17" s="98">
        <v>43.17</v>
      </c>
      <c r="L17" s="60">
        <v>31.31</v>
      </c>
      <c r="M17" s="98">
        <v>43.84</v>
      </c>
      <c r="N17" s="66">
        <v>31.78</v>
      </c>
      <c r="O17" s="104">
        <v>44.5</v>
      </c>
      <c r="P17" s="31">
        <v>32.26</v>
      </c>
      <c r="Q17" s="92">
        <v>45.16</v>
      </c>
      <c r="R17" s="31">
        <v>32.729999999999997</v>
      </c>
      <c r="S17" s="110">
        <v>45.82</v>
      </c>
      <c r="T17" s="32">
        <v>33.200000000000003</v>
      </c>
      <c r="U17" s="45">
        <v>46.49</v>
      </c>
      <c r="V17" s="5">
        <v>33.68</v>
      </c>
      <c r="W17" s="45">
        <v>47.15</v>
      </c>
      <c r="X17" s="5">
        <v>34.15</v>
      </c>
      <c r="Y17" s="126">
        <v>47.81</v>
      </c>
      <c r="Z17" s="5">
        <v>34.619999999999997</v>
      </c>
      <c r="AA17" s="126">
        <v>48.47</v>
      </c>
      <c r="AB17" s="5">
        <v>35.1</v>
      </c>
      <c r="AC17" s="134">
        <v>49.14</v>
      </c>
      <c r="AD17" s="5">
        <v>35.57</v>
      </c>
      <c r="AE17" s="134">
        <v>49.8</v>
      </c>
      <c r="AF17" s="5">
        <v>36.04</v>
      </c>
      <c r="AG17" s="134">
        <v>50.46</v>
      </c>
      <c r="AH17" s="144">
        <v>36.520000000000003</v>
      </c>
      <c r="AI17" s="134">
        <v>51.12</v>
      </c>
      <c r="AJ17" s="144">
        <v>36.99</v>
      </c>
      <c r="AK17" s="134">
        <v>51.79</v>
      </c>
      <c r="AL17" s="144">
        <v>37.46</v>
      </c>
      <c r="AM17" s="134">
        <v>52.45</v>
      </c>
      <c r="AN17" s="144">
        <v>37.94</v>
      </c>
      <c r="AO17" s="144">
        <v>53.11</v>
      </c>
      <c r="AP17" s="5">
        <v>38.409999999999997</v>
      </c>
      <c r="AQ17" s="120">
        <v>53.77</v>
      </c>
      <c r="AR17" s="5">
        <v>21.88</v>
      </c>
      <c r="AS17" s="5">
        <v>21.41</v>
      </c>
      <c r="AT17" s="5">
        <v>20.93</v>
      </c>
      <c r="AU17" s="5">
        <v>20.46</v>
      </c>
      <c r="AV17" s="37">
        <v>13</v>
      </c>
      <c r="AW17" s="30">
        <v>16.11</v>
      </c>
      <c r="AX17" s="30">
        <v>16.440000000000001</v>
      </c>
      <c r="AY17" s="30">
        <v>16.78</v>
      </c>
      <c r="AZ17" s="30">
        <v>17.11</v>
      </c>
      <c r="BA17" s="30">
        <v>17.45</v>
      </c>
      <c r="BB17" s="30">
        <v>17.78</v>
      </c>
      <c r="BC17" s="30">
        <v>18.12</v>
      </c>
      <c r="BD17" s="30">
        <v>18.45</v>
      </c>
      <c r="BE17" s="31">
        <v>18.78</v>
      </c>
      <c r="BF17" s="60">
        <v>19.12</v>
      </c>
      <c r="BG17" s="60">
        <v>19.45</v>
      </c>
      <c r="BH17" s="66">
        <v>19.79</v>
      </c>
      <c r="BI17" s="31">
        <v>20.12</v>
      </c>
      <c r="BJ17" s="34">
        <v>20.45</v>
      </c>
      <c r="BK17" s="32">
        <v>20.79</v>
      </c>
      <c r="BL17" s="5">
        <v>21.12</v>
      </c>
      <c r="BM17" s="5">
        <v>21.46</v>
      </c>
      <c r="BN17" s="5">
        <v>21.79</v>
      </c>
      <c r="BO17" s="5">
        <v>22.12</v>
      </c>
      <c r="BP17" s="5">
        <v>22.46</v>
      </c>
      <c r="BQ17" s="5">
        <v>22.79</v>
      </c>
      <c r="BR17" s="144">
        <v>23.13</v>
      </c>
      <c r="BS17" s="144">
        <v>23.46</v>
      </c>
      <c r="BT17" s="144">
        <v>23.8</v>
      </c>
      <c r="BU17" s="144">
        <v>24.13</v>
      </c>
      <c r="BV17" s="144">
        <v>24.46</v>
      </c>
      <c r="BW17" s="5">
        <v>14.16</v>
      </c>
      <c r="BX17" s="5">
        <v>13.83</v>
      </c>
      <c r="BY17" s="5">
        <v>13.49</v>
      </c>
      <c r="BZ17" s="35">
        <v>13.16</v>
      </c>
    </row>
    <row r="18" spans="1:78" x14ac:dyDescent="0.45">
      <c r="A18" s="119" t="s">
        <v>309</v>
      </c>
      <c r="B18" s="30">
        <v>31.08</v>
      </c>
      <c r="C18" s="79">
        <v>43.51</v>
      </c>
      <c r="D18" s="30">
        <v>31.59</v>
      </c>
      <c r="E18" s="79">
        <v>44.22</v>
      </c>
      <c r="F18" s="30">
        <v>32.1</v>
      </c>
      <c r="G18" s="86">
        <v>44.93</v>
      </c>
      <c r="H18" s="31">
        <v>32.6</v>
      </c>
      <c r="I18" s="92">
        <v>45.65</v>
      </c>
      <c r="J18" s="60">
        <v>33.11</v>
      </c>
      <c r="K18" s="98">
        <v>46.36</v>
      </c>
      <c r="L18" s="60">
        <v>33.619999999999997</v>
      </c>
      <c r="M18" s="98">
        <v>47.07</v>
      </c>
      <c r="N18" s="66">
        <v>34.130000000000003</v>
      </c>
      <c r="O18" s="104">
        <v>47.79</v>
      </c>
      <c r="P18" s="31">
        <v>34.64</v>
      </c>
      <c r="Q18" s="92">
        <v>48.5</v>
      </c>
      <c r="R18" s="31">
        <v>35.15</v>
      </c>
      <c r="S18" s="110">
        <v>49.21</v>
      </c>
      <c r="T18" s="32">
        <v>35.659999999999997</v>
      </c>
      <c r="U18" s="45">
        <v>49.93</v>
      </c>
      <c r="V18" s="5">
        <v>36.17</v>
      </c>
      <c r="W18" s="45">
        <v>50.64</v>
      </c>
      <c r="X18" s="5">
        <v>36.68</v>
      </c>
      <c r="Y18" s="126">
        <v>51.35</v>
      </c>
      <c r="Z18" s="5">
        <v>37.19</v>
      </c>
      <c r="AA18" s="126">
        <v>52.07</v>
      </c>
      <c r="AB18" s="5">
        <v>37.700000000000003</v>
      </c>
      <c r="AC18" s="134">
        <v>52.78</v>
      </c>
      <c r="AD18" s="5">
        <v>38.21</v>
      </c>
      <c r="AE18" s="134">
        <v>53.49</v>
      </c>
      <c r="AF18" s="5">
        <v>38.72</v>
      </c>
      <c r="AG18" s="134">
        <v>54.21</v>
      </c>
      <c r="AH18" s="144">
        <v>39.229999999999997</v>
      </c>
      <c r="AI18" s="134">
        <v>54.92</v>
      </c>
      <c r="AJ18" s="144">
        <v>39.74</v>
      </c>
      <c r="AK18" s="134">
        <v>55.64</v>
      </c>
      <c r="AL18" s="144">
        <v>40.25</v>
      </c>
      <c r="AM18" s="134">
        <v>56.35</v>
      </c>
      <c r="AN18" s="144">
        <v>40.76</v>
      </c>
      <c r="AO18" s="144">
        <v>57.06</v>
      </c>
      <c r="AP18" s="5">
        <v>41.27</v>
      </c>
      <c r="AQ18" s="120">
        <v>57.78</v>
      </c>
      <c r="AR18" s="5">
        <v>23.51</v>
      </c>
      <c r="AS18" s="5">
        <v>23</v>
      </c>
      <c r="AT18" s="5">
        <v>22.49</v>
      </c>
      <c r="AU18" s="5">
        <v>21.98</v>
      </c>
      <c r="AV18" s="37">
        <v>14</v>
      </c>
      <c r="AW18" s="30">
        <v>17.11</v>
      </c>
      <c r="AX18" s="30">
        <v>17.47</v>
      </c>
      <c r="AY18" s="30">
        <v>17.829999999999998</v>
      </c>
      <c r="AZ18" s="30">
        <v>18.190000000000001</v>
      </c>
      <c r="BA18" s="30">
        <v>18.55</v>
      </c>
      <c r="BB18" s="30">
        <v>18.91</v>
      </c>
      <c r="BC18" s="30">
        <v>19.27</v>
      </c>
      <c r="BD18" s="30">
        <v>19.63</v>
      </c>
      <c r="BE18" s="31">
        <v>19.989999999999998</v>
      </c>
      <c r="BF18" s="60">
        <v>20.350000000000001</v>
      </c>
      <c r="BG18" s="60">
        <v>20.71</v>
      </c>
      <c r="BH18" s="66">
        <v>21.07</v>
      </c>
      <c r="BI18" s="31">
        <v>21.43</v>
      </c>
      <c r="BJ18" s="34">
        <v>21.79</v>
      </c>
      <c r="BK18" s="32">
        <v>22.15</v>
      </c>
      <c r="BL18" s="5">
        <v>22.51</v>
      </c>
      <c r="BM18" s="5">
        <v>22.87</v>
      </c>
      <c r="BN18" s="5">
        <v>23.23</v>
      </c>
      <c r="BO18" s="5">
        <v>23.59</v>
      </c>
      <c r="BP18" s="5">
        <v>23.95</v>
      </c>
      <c r="BQ18" s="5">
        <v>24.31</v>
      </c>
      <c r="BR18" s="144">
        <v>24.26</v>
      </c>
      <c r="BS18" s="144">
        <v>25.03</v>
      </c>
      <c r="BT18" s="144">
        <v>25.39</v>
      </c>
      <c r="BU18" s="144">
        <v>25.75</v>
      </c>
      <c r="BV18" s="144">
        <v>26.11</v>
      </c>
      <c r="BW18" s="5">
        <v>15.1</v>
      </c>
      <c r="BX18" s="5">
        <v>14.74</v>
      </c>
      <c r="BY18" s="5">
        <v>14.38</v>
      </c>
      <c r="BZ18" s="35">
        <v>14.02</v>
      </c>
    </row>
    <row r="19" spans="1:78" x14ac:dyDescent="0.45">
      <c r="A19" s="119" t="s">
        <v>310</v>
      </c>
      <c r="B19" s="30">
        <v>33.200000000000003</v>
      </c>
      <c r="C19" s="79">
        <v>46.49</v>
      </c>
      <c r="D19" s="30">
        <v>33.75</v>
      </c>
      <c r="E19" s="79">
        <v>47.25</v>
      </c>
      <c r="F19" s="30">
        <v>34.299999999999997</v>
      </c>
      <c r="G19" s="86">
        <v>48.02</v>
      </c>
      <c r="H19" s="31">
        <v>34.840000000000003</v>
      </c>
      <c r="I19" s="92">
        <v>48.78</v>
      </c>
      <c r="J19" s="60">
        <v>35.39</v>
      </c>
      <c r="K19" s="98">
        <v>49.54</v>
      </c>
      <c r="L19" s="60">
        <v>35.93</v>
      </c>
      <c r="M19" s="98">
        <v>50.31</v>
      </c>
      <c r="N19" s="66">
        <v>36.479999999999997</v>
      </c>
      <c r="O19" s="104">
        <v>51.07</v>
      </c>
      <c r="P19" s="31">
        <v>37.03</v>
      </c>
      <c r="Q19" s="92">
        <v>51.84</v>
      </c>
      <c r="R19" s="31">
        <v>37.57</v>
      </c>
      <c r="S19" s="110">
        <v>52.6</v>
      </c>
      <c r="T19" s="32">
        <v>38.119999999999997</v>
      </c>
      <c r="U19" s="45">
        <v>53.37</v>
      </c>
      <c r="V19" s="5">
        <v>38.659999999999997</v>
      </c>
      <c r="W19" s="45">
        <v>54.13</v>
      </c>
      <c r="X19" s="5">
        <v>39.21</v>
      </c>
      <c r="Y19" s="126">
        <v>54.89</v>
      </c>
      <c r="Z19" s="5">
        <v>39.76</v>
      </c>
      <c r="AA19" s="126">
        <v>55.66</v>
      </c>
      <c r="AB19" s="5">
        <v>40.299999999999997</v>
      </c>
      <c r="AC19" s="134">
        <v>56.42</v>
      </c>
      <c r="AD19" s="5">
        <v>40.85</v>
      </c>
      <c r="AE19" s="134">
        <v>57.19</v>
      </c>
      <c r="AF19" s="5">
        <v>41.39</v>
      </c>
      <c r="AG19" s="134">
        <v>57.95</v>
      </c>
      <c r="AH19" s="144">
        <v>41.94</v>
      </c>
      <c r="AI19" s="134">
        <v>58.72</v>
      </c>
      <c r="AJ19" s="144">
        <v>42.49</v>
      </c>
      <c r="AK19" s="134">
        <v>59.48</v>
      </c>
      <c r="AL19" s="144">
        <v>43.03</v>
      </c>
      <c r="AM19" s="134">
        <v>60.25</v>
      </c>
      <c r="AN19" s="144">
        <v>43.58</v>
      </c>
      <c r="AO19" s="144">
        <v>61.01</v>
      </c>
      <c r="AP19" s="5">
        <v>44.12</v>
      </c>
      <c r="AQ19" s="120">
        <v>61.77</v>
      </c>
      <c r="AR19" s="5">
        <v>25.13</v>
      </c>
      <c r="AS19" s="5">
        <v>24.59</v>
      </c>
      <c r="AT19" s="5">
        <v>24.04</v>
      </c>
      <c r="AU19" s="5">
        <v>23.49</v>
      </c>
      <c r="AV19" s="37">
        <v>15</v>
      </c>
      <c r="AW19" s="30">
        <v>18.170000000000002</v>
      </c>
      <c r="AX19" s="30">
        <v>18.55</v>
      </c>
      <c r="AY19" s="30">
        <v>18.940000000000001</v>
      </c>
      <c r="AZ19" s="30">
        <v>19.32</v>
      </c>
      <c r="BA19" s="30">
        <v>19.71</v>
      </c>
      <c r="BB19" s="30">
        <v>20.09</v>
      </c>
      <c r="BC19" s="30">
        <v>20.48</v>
      </c>
      <c r="BD19" s="30">
        <v>20.87</v>
      </c>
      <c r="BE19" s="31">
        <v>21.25</v>
      </c>
      <c r="BF19" s="60">
        <v>21.64</v>
      </c>
      <c r="BG19" s="60">
        <v>22.02</v>
      </c>
      <c r="BH19" s="66">
        <v>22.41</v>
      </c>
      <c r="BI19" s="31">
        <v>22.79</v>
      </c>
      <c r="BJ19" s="34">
        <v>23.18</v>
      </c>
      <c r="BK19" s="32">
        <v>23.56</v>
      </c>
      <c r="BL19" s="5">
        <v>23.95</v>
      </c>
      <c r="BM19" s="5">
        <v>24.33</v>
      </c>
      <c r="BN19" s="5">
        <v>24.72</v>
      </c>
      <c r="BO19" s="5">
        <v>25.11</v>
      </c>
      <c r="BP19" s="5">
        <v>25.49</v>
      </c>
      <c r="BQ19" s="5">
        <v>25.88</v>
      </c>
      <c r="BR19" s="144">
        <v>26.26</v>
      </c>
      <c r="BS19" s="144">
        <v>26.65</v>
      </c>
      <c r="BT19" s="144">
        <v>27.03</v>
      </c>
      <c r="BU19" s="144">
        <v>27.42</v>
      </c>
      <c r="BV19" s="144">
        <v>27.8</v>
      </c>
      <c r="BW19" s="5">
        <v>16.07</v>
      </c>
      <c r="BX19" s="5">
        <v>15.69</v>
      </c>
      <c r="BY19" s="5">
        <v>15.3</v>
      </c>
      <c r="BZ19" s="35">
        <v>14.92</v>
      </c>
    </row>
    <row r="20" spans="1:78" x14ac:dyDescent="0.45">
      <c r="A20" s="119" t="s">
        <v>477</v>
      </c>
      <c r="B20" s="30">
        <v>35.340000000000003</v>
      </c>
      <c r="C20" s="79">
        <v>49.47</v>
      </c>
      <c r="D20" s="30">
        <v>35.92</v>
      </c>
      <c r="E20" s="79">
        <v>50.29</v>
      </c>
      <c r="F20" s="30">
        <v>36.5</v>
      </c>
      <c r="G20" s="86">
        <v>51.1</v>
      </c>
      <c r="H20" s="31">
        <v>37.08</v>
      </c>
      <c r="I20" s="92">
        <v>51.92</v>
      </c>
      <c r="J20" s="60">
        <v>37.67</v>
      </c>
      <c r="K20" s="98">
        <v>52.73</v>
      </c>
      <c r="L20" s="60">
        <v>38.25</v>
      </c>
      <c r="M20" s="98">
        <v>53.55</v>
      </c>
      <c r="N20" s="66">
        <v>38.83</v>
      </c>
      <c r="O20" s="104">
        <v>54.36</v>
      </c>
      <c r="P20" s="31">
        <v>39.409999999999997</v>
      </c>
      <c r="Q20" s="92">
        <v>55.18</v>
      </c>
      <c r="R20" s="31">
        <v>40</v>
      </c>
      <c r="S20" s="110">
        <v>55.99</v>
      </c>
      <c r="T20" s="32">
        <v>40.58</v>
      </c>
      <c r="U20" s="45">
        <v>56.81</v>
      </c>
      <c r="V20" s="5">
        <v>41.16</v>
      </c>
      <c r="W20" s="45">
        <v>57.62</v>
      </c>
      <c r="X20" s="5">
        <v>41.74</v>
      </c>
      <c r="Y20" s="126">
        <v>58.44</v>
      </c>
      <c r="Z20" s="5">
        <v>42.33</v>
      </c>
      <c r="AA20" s="126">
        <v>59.26</v>
      </c>
      <c r="AB20" s="5">
        <v>42.91</v>
      </c>
      <c r="AC20" s="134">
        <v>60.07</v>
      </c>
      <c r="AD20" s="5">
        <v>43.49</v>
      </c>
      <c r="AE20" s="134">
        <v>60.89</v>
      </c>
      <c r="AF20" s="5">
        <v>44.07</v>
      </c>
      <c r="AG20" s="134">
        <v>61.7</v>
      </c>
      <c r="AH20" s="144">
        <v>44.65</v>
      </c>
      <c r="AI20" s="134">
        <v>62.52</v>
      </c>
      <c r="AJ20" s="144">
        <v>45.24</v>
      </c>
      <c r="AK20" s="134">
        <v>63.33</v>
      </c>
      <c r="AL20" s="144">
        <v>45.82</v>
      </c>
      <c r="AM20" s="134">
        <v>64.150000000000006</v>
      </c>
      <c r="AN20" s="144">
        <v>46.4</v>
      </c>
      <c r="AO20" s="144">
        <v>64.959999999999994</v>
      </c>
      <c r="AP20" s="5">
        <v>46.98</v>
      </c>
      <c r="AQ20" s="120">
        <v>65.78</v>
      </c>
      <c r="AR20" s="5">
        <v>26.76</v>
      </c>
      <c r="AS20" s="5">
        <v>26.18</v>
      </c>
      <c r="AT20" s="5">
        <v>25.6</v>
      </c>
      <c r="AU20" s="5">
        <v>25.01</v>
      </c>
      <c r="AV20" s="37">
        <v>16</v>
      </c>
      <c r="AW20" s="30">
        <v>19.34</v>
      </c>
      <c r="AX20" s="30">
        <v>19.75</v>
      </c>
      <c r="AY20" s="30">
        <v>20.16</v>
      </c>
      <c r="AZ20" s="30">
        <v>20.57</v>
      </c>
      <c r="BA20" s="30">
        <v>20.98</v>
      </c>
      <c r="BB20" s="30">
        <v>21.39</v>
      </c>
      <c r="BC20" s="30">
        <v>21.8</v>
      </c>
      <c r="BD20" s="30">
        <v>22.21</v>
      </c>
      <c r="BE20" s="31">
        <v>22.63</v>
      </c>
      <c r="BF20" s="60">
        <v>23.04</v>
      </c>
      <c r="BG20" s="60">
        <v>23.45</v>
      </c>
      <c r="BH20" s="66">
        <v>23.86</v>
      </c>
      <c r="BI20" s="31">
        <v>24.27</v>
      </c>
      <c r="BJ20" s="34">
        <v>24.68</v>
      </c>
      <c r="BK20" s="32">
        <v>25.09</v>
      </c>
      <c r="BL20" s="5">
        <v>25.5</v>
      </c>
      <c r="BM20" s="5">
        <v>25.91</v>
      </c>
      <c r="BN20" s="5">
        <v>26.33</v>
      </c>
      <c r="BO20" s="5">
        <v>26.74</v>
      </c>
      <c r="BP20" s="5">
        <v>27.15</v>
      </c>
      <c r="BQ20" s="5">
        <v>27.56</v>
      </c>
      <c r="BR20" s="144">
        <v>27.97</v>
      </c>
      <c r="BS20" s="144">
        <v>28.38</v>
      </c>
      <c r="BT20" s="144">
        <v>28.79</v>
      </c>
      <c r="BU20" s="144">
        <v>29.2</v>
      </c>
      <c r="BV20" s="144">
        <v>29.62</v>
      </c>
      <c r="BW20" s="5">
        <v>17.12</v>
      </c>
      <c r="BX20" s="5">
        <v>16.71</v>
      </c>
      <c r="BY20" s="5">
        <v>16.3</v>
      </c>
      <c r="BZ20" s="35">
        <v>15.89</v>
      </c>
    </row>
    <row r="21" spans="1:78" x14ac:dyDescent="0.45">
      <c r="A21" s="119" t="s">
        <v>478</v>
      </c>
      <c r="B21" s="30">
        <v>37.46</v>
      </c>
      <c r="C21" s="79">
        <v>52.45</v>
      </c>
      <c r="D21" s="30">
        <v>38.08</v>
      </c>
      <c r="E21" s="79">
        <v>53.32</v>
      </c>
      <c r="F21" s="30">
        <v>38.700000000000003</v>
      </c>
      <c r="G21" s="86">
        <v>54.18</v>
      </c>
      <c r="H21" s="31">
        <v>39.32</v>
      </c>
      <c r="I21" s="92">
        <v>55.05</v>
      </c>
      <c r="J21" s="60">
        <v>39.94</v>
      </c>
      <c r="K21" s="98">
        <v>55.91</v>
      </c>
      <c r="L21" s="60">
        <v>40.56</v>
      </c>
      <c r="M21" s="98">
        <v>56.78</v>
      </c>
      <c r="N21" s="66">
        <v>41.18</v>
      </c>
      <c r="O21" s="104">
        <v>57.65</v>
      </c>
      <c r="P21" s="31">
        <v>41.8</v>
      </c>
      <c r="Q21" s="92">
        <v>58.51</v>
      </c>
      <c r="R21" s="31">
        <v>42.41</v>
      </c>
      <c r="S21" s="110">
        <v>59.38</v>
      </c>
      <c r="T21" s="32">
        <v>43.03</v>
      </c>
      <c r="U21" s="45">
        <v>60.25</v>
      </c>
      <c r="V21" s="5">
        <v>43.65</v>
      </c>
      <c r="W21" s="45">
        <v>61.11</v>
      </c>
      <c r="X21" s="5">
        <v>44.27</v>
      </c>
      <c r="Y21" s="126">
        <v>61.98</v>
      </c>
      <c r="Z21" s="5">
        <v>44.89</v>
      </c>
      <c r="AA21" s="126">
        <v>62.85</v>
      </c>
      <c r="AB21" s="5">
        <v>45.51</v>
      </c>
      <c r="AC21" s="134">
        <v>63.71</v>
      </c>
      <c r="AD21" s="5">
        <v>46.13</v>
      </c>
      <c r="AE21" s="134">
        <v>64.58</v>
      </c>
      <c r="AF21" s="5">
        <v>46.75</v>
      </c>
      <c r="AG21" s="134">
        <v>65.44</v>
      </c>
      <c r="AH21" s="144">
        <v>47.36</v>
      </c>
      <c r="AI21" s="134">
        <v>66.31</v>
      </c>
      <c r="AJ21" s="144">
        <v>47.98</v>
      </c>
      <c r="AK21" s="134">
        <v>67.180000000000007</v>
      </c>
      <c r="AL21" s="144">
        <v>48.6</v>
      </c>
      <c r="AM21" s="134">
        <v>68.040000000000006</v>
      </c>
      <c r="AN21" s="144">
        <v>29.22</v>
      </c>
      <c r="AO21" s="144">
        <v>68.91</v>
      </c>
      <c r="AP21" s="5">
        <v>49.84</v>
      </c>
      <c r="AQ21" s="120">
        <v>69.78</v>
      </c>
      <c r="AR21" s="5">
        <v>28.39</v>
      </c>
      <c r="AS21" s="5">
        <v>27.77</v>
      </c>
      <c r="AT21" s="5">
        <v>27.15</v>
      </c>
      <c r="AU21" s="5">
        <v>26.53</v>
      </c>
      <c r="AV21" s="37">
        <v>17</v>
      </c>
      <c r="AW21" s="30">
        <v>20.51</v>
      </c>
      <c r="AX21" s="30">
        <v>20.94</v>
      </c>
      <c r="AY21" s="30">
        <v>21.38</v>
      </c>
      <c r="AZ21" s="30">
        <v>21.82</v>
      </c>
      <c r="BA21" s="30">
        <v>22.25</v>
      </c>
      <c r="BB21" s="30">
        <v>22.69</v>
      </c>
      <c r="BC21" s="30">
        <v>23.13</v>
      </c>
      <c r="BD21" s="30">
        <v>23.56</v>
      </c>
      <c r="BE21" s="31">
        <v>24</v>
      </c>
      <c r="BF21" s="60">
        <v>24.44</v>
      </c>
      <c r="BG21" s="60">
        <v>24.87</v>
      </c>
      <c r="BH21" s="66">
        <v>25.31</v>
      </c>
      <c r="BI21" s="31">
        <v>25.75</v>
      </c>
      <c r="BJ21" s="34">
        <v>26.19</v>
      </c>
      <c r="BK21" s="32">
        <v>26.62</v>
      </c>
      <c r="BL21" s="5">
        <v>27.06</v>
      </c>
      <c r="BM21" s="5">
        <v>27.5</v>
      </c>
      <c r="BN21" s="5">
        <v>27.93</v>
      </c>
      <c r="BO21" s="5">
        <v>28.37</v>
      </c>
      <c r="BP21" s="5">
        <v>28.81</v>
      </c>
      <c r="BQ21" s="5">
        <v>29.24</v>
      </c>
      <c r="BR21" s="144">
        <v>29.68</v>
      </c>
      <c r="BS21" s="144">
        <v>30.12</v>
      </c>
      <c r="BT21" s="144">
        <v>30.55</v>
      </c>
      <c r="BU21" s="144">
        <v>30.99</v>
      </c>
      <c r="BV21" s="144">
        <v>31.43</v>
      </c>
      <c r="BW21" s="5">
        <v>18.170000000000002</v>
      </c>
      <c r="BX21" s="5">
        <v>17.73</v>
      </c>
      <c r="BY21" s="5">
        <v>17.29</v>
      </c>
      <c r="BZ21" s="5">
        <v>16.850000000000001</v>
      </c>
    </row>
    <row r="22" spans="1:78" x14ac:dyDescent="0.45">
      <c r="A22" s="119" t="s">
        <v>479</v>
      </c>
      <c r="B22" s="30">
        <v>32.96</v>
      </c>
      <c r="C22" s="79">
        <v>55.43</v>
      </c>
      <c r="D22" s="30">
        <v>40.25</v>
      </c>
      <c r="E22" s="79">
        <v>56.34</v>
      </c>
      <c r="F22" s="30">
        <v>40.9</v>
      </c>
      <c r="G22" s="86">
        <v>57.26</v>
      </c>
      <c r="H22" s="31">
        <v>41.56</v>
      </c>
      <c r="I22" s="92">
        <v>58.18</v>
      </c>
      <c r="J22" s="60">
        <v>42.21</v>
      </c>
      <c r="K22" s="98">
        <v>59.1</v>
      </c>
      <c r="L22" s="60">
        <v>42.87</v>
      </c>
      <c r="M22" s="98">
        <v>60.01</v>
      </c>
      <c r="N22" s="66">
        <v>43.52</v>
      </c>
      <c r="O22" s="104">
        <v>60.93</v>
      </c>
      <c r="P22" s="31">
        <v>44.18</v>
      </c>
      <c r="Q22" s="92">
        <v>61.85</v>
      </c>
      <c r="R22" s="31">
        <v>44.83</v>
      </c>
      <c r="S22" s="110">
        <v>62.77</v>
      </c>
      <c r="T22" s="32">
        <v>45.49</v>
      </c>
      <c r="U22" s="45">
        <v>63.68</v>
      </c>
      <c r="V22" s="5">
        <v>46.14</v>
      </c>
      <c r="W22" s="45">
        <v>64.599999999999994</v>
      </c>
      <c r="X22" s="5">
        <v>46.8</v>
      </c>
      <c r="Y22" s="126">
        <v>65.52</v>
      </c>
      <c r="Z22" s="5">
        <v>47.45</v>
      </c>
      <c r="AA22" s="126">
        <v>66.430000000000007</v>
      </c>
      <c r="AB22" s="5">
        <v>48.11</v>
      </c>
      <c r="AC22" s="134">
        <v>67.349999999999994</v>
      </c>
      <c r="AD22" s="5">
        <v>48.76</v>
      </c>
      <c r="AE22" s="134">
        <v>68.27</v>
      </c>
      <c r="AF22" s="5">
        <v>49.42</v>
      </c>
      <c r="AG22" s="134">
        <v>69.19</v>
      </c>
      <c r="AH22" s="144">
        <v>50.07</v>
      </c>
      <c r="AI22" s="134">
        <v>70.099999999999994</v>
      </c>
      <c r="AJ22" s="144">
        <v>50.73</v>
      </c>
      <c r="AK22" s="134">
        <v>71.02</v>
      </c>
      <c r="AL22" s="144">
        <v>51.38</v>
      </c>
      <c r="AM22" s="134">
        <v>71.94</v>
      </c>
      <c r="AN22" s="144">
        <v>52.04</v>
      </c>
      <c r="AO22" s="144">
        <v>72.86</v>
      </c>
      <c r="AP22" s="5">
        <v>52.7</v>
      </c>
      <c r="AQ22" s="120">
        <v>73.77</v>
      </c>
      <c r="AR22" s="5">
        <v>30.01</v>
      </c>
      <c r="AS22" s="5">
        <v>29.36</v>
      </c>
      <c r="AT22" s="5">
        <v>28.7</v>
      </c>
      <c r="AU22" s="5">
        <v>28.05</v>
      </c>
      <c r="AV22" s="37">
        <v>18</v>
      </c>
      <c r="AW22" s="30">
        <v>21.68</v>
      </c>
      <c r="AX22" s="30">
        <v>22.14</v>
      </c>
      <c r="AY22" s="30">
        <v>22.6</v>
      </c>
      <c r="AZ22" s="30">
        <v>23.06</v>
      </c>
      <c r="BA22" s="30">
        <v>23.53</v>
      </c>
      <c r="BB22" s="30">
        <v>23.99</v>
      </c>
      <c r="BC22" s="30">
        <v>24.45</v>
      </c>
      <c r="BD22" s="30">
        <v>24.91</v>
      </c>
      <c r="BE22" s="31">
        <v>25.38</v>
      </c>
      <c r="BF22" s="60">
        <v>25.84</v>
      </c>
      <c r="BG22" s="60">
        <v>26.3</v>
      </c>
      <c r="BH22" s="66">
        <v>26.76</v>
      </c>
      <c r="BI22" s="31">
        <v>27.23</v>
      </c>
      <c r="BJ22" s="34">
        <v>27.69</v>
      </c>
      <c r="BK22" s="32">
        <v>28.15</v>
      </c>
      <c r="BL22" s="5">
        <v>28.61</v>
      </c>
      <c r="BM22" s="5">
        <v>29.08</v>
      </c>
      <c r="BN22" s="5">
        <v>29.54</v>
      </c>
      <c r="BO22" s="5">
        <v>30</v>
      </c>
      <c r="BP22" s="5">
        <v>30.46</v>
      </c>
      <c r="BQ22" s="5">
        <v>30.93</v>
      </c>
      <c r="BR22" s="144">
        <v>31.39</v>
      </c>
      <c r="BS22" s="144">
        <v>31.85</v>
      </c>
      <c r="BT22" s="144">
        <v>32.31</v>
      </c>
      <c r="BU22" s="144">
        <v>32.78</v>
      </c>
      <c r="BV22" s="144">
        <v>33.24</v>
      </c>
      <c r="BW22" s="5">
        <v>19.21</v>
      </c>
      <c r="BX22" s="5">
        <v>18.75</v>
      </c>
      <c r="BY22" s="5">
        <v>18.29</v>
      </c>
      <c r="BZ22" s="5">
        <v>17.82</v>
      </c>
    </row>
    <row r="23" spans="1:78" x14ac:dyDescent="0.45">
      <c r="A23" s="119" t="s">
        <v>480</v>
      </c>
      <c r="B23" s="30">
        <v>41.73</v>
      </c>
      <c r="C23" s="79">
        <v>58.42</v>
      </c>
      <c r="D23" s="30">
        <v>42.42</v>
      </c>
      <c r="E23" s="79">
        <v>59.38</v>
      </c>
      <c r="F23" s="30">
        <v>43.11</v>
      </c>
      <c r="G23" s="86">
        <v>60.35</v>
      </c>
      <c r="H23" s="31">
        <v>43.8</v>
      </c>
      <c r="I23" s="92">
        <v>61.32</v>
      </c>
      <c r="J23" s="60">
        <v>44.49</v>
      </c>
      <c r="K23" s="98">
        <v>62.29</v>
      </c>
      <c r="L23" s="60">
        <v>45.18</v>
      </c>
      <c r="M23" s="98">
        <v>63.26</v>
      </c>
      <c r="N23" s="66">
        <v>45.88</v>
      </c>
      <c r="O23" s="104">
        <v>64.23</v>
      </c>
      <c r="P23" s="31">
        <v>46.57</v>
      </c>
      <c r="Q23" s="92">
        <v>65.19</v>
      </c>
      <c r="R23" s="31">
        <v>47.26</v>
      </c>
      <c r="S23" s="110">
        <v>66.16</v>
      </c>
      <c r="T23" s="32">
        <v>47.95</v>
      </c>
      <c r="U23" s="45">
        <v>67.13</v>
      </c>
      <c r="V23" s="5">
        <v>48.64</v>
      </c>
      <c r="W23" s="45">
        <v>68.099999999999994</v>
      </c>
      <c r="X23" s="5">
        <v>49.33</v>
      </c>
      <c r="Y23" s="126">
        <v>69.069999999999993</v>
      </c>
      <c r="Z23" s="5">
        <v>50.03</v>
      </c>
      <c r="AA23" s="126">
        <v>70.040000000000006</v>
      </c>
      <c r="AB23" s="5">
        <v>50.72</v>
      </c>
      <c r="AC23" s="134">
        <v>71</v>
      </c>
      <c r="AD23" s="5">
        <v>51.41</v>
      </c>
      <c r="AE23" s="134">
        <v>71.97</v>
      </c>
      <c r="AF23" s="5">
        <v>52.1</v>
      </c>
      <c r="AG23" s="134">
        <v>72.94</v>
      </c>
      <c r="AH23" s="144">
        <v>52.79</v>
      </c>
      <c r="AI23" s="134">
        <v>73.91</v>
      </c>
      <c r="AJ23" s="144">
        <v>53.48</v>
      </c>
      <c r="AK23" s="134">
        <v>74.88</v>
      </c>
      <c r="AL23" s="144">
        <v>54.17</v>
      </c>
      <c r="AM23" s="134">
        <v>75.84</v>
      </c>
      <c r="AN23" s="144">
        <v>54.87</v>
      </c>
      <c r="AO23" s="144">
        <v>76.81</v>
      </c>
      <c r="AP23" s="5">
        <v>55.56</v>
      </c>
      <c r="AQ23" s="120">
        <v>77.78</v>
      </c>
      <c r="AR23" s="5">
        <v>31.64</v>
      </c>
      <c r="AS23" s="5">
        <v>30.95</v>
      </c>
      <c r="AT23" s="5">
        <v>30.26</v>
      </c>
      <c r="AU23" s="5">
        <v>29.57</v>
      </c>
      <c r="AV23" s="37">
        <v>19</v>
      </c>
      <c r="AW23" s="30">
        <v>22.85</v>
      </c>
      <c r="AX23" s="30">
        <v>23.33</v>
      </c>
      <c r="AY23" s="30">
        <v>23.82</v>
      </c>
      <c r="AZ23" s="30">
        <v>24.31</v>
      </c>
      <c r="BA23" s="30">
        <v>24.8</v>
      </c>
      <c r="BB23" s="30">
        <v>25.29</v>
      </c>
      <c r="BC23" s="30">
        <v>25.78</v>
      </c>
      <c r="BD23" s="30">
        <v>26.26</v>
      </c>
      <c r="BE23" s="31">
        <v>26.75</v>
      </c>
      <c r="BF23" s="60">
        <v>27.24</v>
      </c>
      <c r="BG23" s="60">
        <v>27.73</v>
      </c>
      <c r="BH23" s="66">
        <v>28.22</v>
      </c>
      <c r="BI23" s="31">
        <v>28.7</v>
      </c>
      <c r="BJ23" s="34">
        <v>29.19</v>
      </c>
      <c r="BK23" s="32">
        <v>29.68</v>
      </c>
      <c r="BL23" s="5">
        <v>30.17</v>
      </c>
      <c r="BM23" s="5">
        <v>30.66</v>
      </c>
      <c r="BN23" s="5">
        <v>31.15</v>
      </c>
      <c r="BO23" s="5">
        <v>31.63</v>
      </c>
      <c r="BP23" s="5">
        <v>32.119999999999997</v>
      </c>
      <c r="BQ23" s="5">
        <v>32.61</v>
      </c>
      <c r="BR23" s="144">
        <v>33.1</v>
      </c>
      <c r="BS23" s="144">
        <v>33.590000000000003</v>
      </c>
      <c r="BT23" s="144">
        <v>34.08</v>
      </c>
      <c r="BU23" s="144">
        <v>34.56</v>
      </c>
      <c r="BV23" s="144">
        <v>35.049999999999997</v>
      </c>
      <c r="BW23" s="5">
        <v>20.260000000000002</v>
      </c>
      <c r="BX23" s="5">
        <v>19.77</v>
      </c>
      <c r="BY23" s="5">
        <v>19.28</v>
      </c>
      <c r="BZ23" s="5">
        <v>18.79</v>
      </c>
    </row>
    <row r="24" spans="1:78" x14ac:dyDescent="0.45">
      <c r="A24" s="119" t="s">
        <v>481</v>
      </c>
      <c r="B24" s="30">
        <v>43.86</v>
      </c>
      <c r="C24" s="79">
        <v>61.4</v>
      </c>
      <c r="D24" s="30">
        <v>44.58</v>
      </c>
      <c r="E24" s="79">
        <v>62.42</v>
      </c>
      <c r="F24" s="30">
        <v>45.31</v>
      </c>
      <c r="G24" s="86">
        <v>63.44</v>
      </c>
      <c r="H24" s="31">
        <v>46.04</v>
      </c>
      <c r="I24" s="92">
        <v>64.459999999999994</v>
      </c>
      <c r="J24" s="60">
        <v>46.77</v>
      </c>
      <c r="K24" s="98">
        <v>65.48</v>
      </c>
      <c r="L24" s="60">
        <v>47.5</v>
      </c>
      <c r="M24" s="98">
        <v>66.489999999999995</v>
      </c>
      <c r="N24" s="66">
        <v>48.22</v>
      </c>
      <c r="O24" s="104">
        <v>67.510000000000005</v>
      </c>
      <c r="P24" s="31">
        <v>48.95</v>
      </c>
      <c r="Q24" s="92">
        <v>68.53</v>
      </c>
      <c r="R24" s="31">
        <v>49.68</v>
      </c>
      <c r="S24" s="110">
        <v>69.55</v>
      </c>
      <c r="T24" s="32">
        <v>50.41</v>
      </c>
      <c r="U24" s="45">
        <v>70.569999999999993</v>
      </c>
      <c r="V24" s="5">
        <v>51.14</v>
      </c>
      <c r="W24" s="45">
        <v>71.59</v>
      </c>
      <c r="X24" s="5">
        <v>51.86</v>
      </c>
      <c r="Y24" s="126">
        <v>72.61</v>
      </c>
      <c r="Z24" s="5">
        <v>52.59</v>
      </c>
      <c r="AA24" s="126">
        <v>73.63</v>
      </c>
      <c r="AB24" s="5">
        <v>53.32</v>
      </c>
      <c r="AC24" s="134">
        <v>74.650000000000006</v>
      </c>
      <c r="AD24" s="5">
        <v>54.05</v>
      </c>
      <c r="AE24" s="134">
        <v>75.67</v>
      </c>
      <c r="AF24" s="5">
        <v>54.78</v>
      </c>
      <c r="AG24" s="134">
        <v>76.69</v>
      </c>
      <c r="AH24" s="144">
        <v>55.5</v>
      </c>
      <c r="AI24" s="134">
        <v>77.709999999999994</v>
      </c>
      <c r="AJ24" s="144">
        <v>56.23</v>
      </c>
      <c r="AK24" s="134">
        <v>78.72</v>
      </c>
      <c r="AL24" s="144">
        <v>56.96</v>
      </c>
      <c r="AM24" s="134">
        <v>79.739999999999995</v>
      </c>
      <c r="AN24" s="144">
        <v>57.69</v>
      </c>
      <c r="AO24" s="144">
        <v>80.760000000000005</v>
      </c>
      <c r="AP24" s="5">
        <v>58.42</v>
      </c>
      <c r="AQ24" s="120">
        <v>81.78</v>
      </c>
      <c r="AR24" s="5">
        <v>33.270000000000003</v>
      </c>
      <c r="AS24" s="5">
        <v>32.54</v>
      </c>
      <c r="AT24" s="5">
        <v>31.81</v>
      </c>
      <c r="AU24" s="5">
        <v>31.08</v>
      </c>
      <c r="AV24" s="37">
        <v>20</v>
      </c>
      <c r="AW24" s="30">
        <v>24.01</v>
      </c>
      <c r="AX24" s="30">
        <v>24.53</v>
      </c>
      <c r="AY24" s="30">
        <v>25.04</v>
      </c>
      <c r="AZ24" s="30">
        <v>25.56</v>
      </c>
      <c r="BA24" s="30">
        <v>26.07</v>
      </c>
      <c r="BB24" s="30">
        <v>26.58</v>
      </c>
      <c r="BC24" s="30">
        <v>27.1</v>
      </c>
      <c r="BD24" s="30">
        <v>27.61</v>
      </c>
      <c r="BE24" s="31">
        <v>28.13</v>
      </c>
      <c r="BF24" s="60">
        <v>28.64</v>
      </c>
      <c r="BG24" s="60">
        <v>29.15</v>
      </c>
      <c r="BH24" s="66">
        <v>29.67</v>
      </c>
      <c r="BI24" s="31">
        <v>30.18</v>
      </c>
      <c r="BJ24" s="34">
        <v>30.7</v>
      </c>
      <c r="BK24" s="32">
        <v>31.21</v>
      </c>
      <c r="BL24" s="5">
        <v>31.72</v>
      </c>
      <c r="BM24" s="5">
        <v>32.24</v>
      </c>
      <c r="BN24" s="5">
        <v>32.75</v>
      </c>
      <c r="BO24" s="5">
        <v>33.270000000000003</v>
      </c>
      <c r="BP24" s="5">
        <v>33.78</v>
      </c>
      <c r="BQ24" s="5">
        <v>34.29</v>
      </c>
      <c r="BR24" s="144">
        <v>34.81</v>
      </c>
      <c r="BS24" s="144">
        <v>35.32</v>
      </c>
      <c r="BT24" s="144">
        <v>35.840000000000003</v>
      </c>
      <c r="BU24" s="144">
        <v>36.35</v>
      </c>
      <c r="BV24" s="144">
        <v>36.86</v>
      </c>
      <c r="BW24" s="5">
        <v>21.3</v>
      </c>
      <c r="BX24" s="5">
        <v>20.79</v>
      </c>
      <c r="BY24" s="5">
        <v>20.27</v>
      </c>
      <c r="BZ24" s="5">
        <v>19.760000000000002</v>
      </c>
    </row>
    <row r="25" spans="1:78" x14ac:dyDescent="0.45">
      <c r="A25" s="119" t="s">
        <v>482</v>
      </c>
      <c r="B25" s="30">
        <v>45.98</v>
      </c>
      <c r="C25" s="79">
        <v>64.38</v>
      </c>
      <c r="D25" s="30">
        <v>46.75</v>
      </c>
      <c r="E25" s="79">
        <v>65.45</v>
      </c>
      <c r="F25" s="30">
        <v>47.51</v>
      </c>
      <c r="G25" s="86">
        <v>66.52</v>
      </c>
      <c r="H25" s="31">
        <v>48.28</v>
      </c>
      <c r="I25" s="92">
        <v>67.59</v>
      </c>
      <c r="J25" s="60">
        <v>49.04</v>
      </c>
      <c r="K25" s="98">
        <v>68.66</v>
      </c>
      <c r="L25" s="60">
        <v>49.8</v>
      </c>
      <c r="M25" s="98">
        <v>69.73</v>
      </c>
      <c r="N25" s="66">
        <v>50.57</v>
      </c>
      <c r="O25" s="104">
        <v>70.8</v>
      </c>
      <c r="P25" s="31">
        <v>51.33</v>
      </c>
      <c r="Q25" s="92">
        <v>71.87</v>
      </c>
      <c r="R25" s="31">
        <v>52.1</v>
      </c>
      <c r="S25" s="110">
        <v>72.94</v>
      </c>
      <c r="T25" s="32">
        <v>52.86</v>
      </c>
      <c r="U25" s="45">
        <v>74.010000000000005</v>
      </c>
      <c r="V25" s="5">
        <v>53.63</v>
      </c>
      <c r="W25" s="45">
        <v>75.08</v>
      </c>
      <c r="X25" s="5">
        <v>54.39</v>
      </c>
      <c r="Y25" s="126">
        <v>76.150000000000006</v>
      </c>
      <c r="Z25" s="5">
        <v>55.16</v>
      </c>
      <c r="AA25" s="126">
        <v>77.22</v>
      </c>
      <c r="AB25" s="5">
        <v>55.92</v>
      </c>
      <c r="AC25" s="134">
        <v>78.290000000000006</v>
      </c>
      <c r="AD25" s="5">
        <v>56.68</v>
      </c>
      <c r="AE25" s="134">
        <v>79.36</v>
      </c>
      <c r="AF25" s="5">
        <v>57.45</v>
      </c>
      <c r="AG25" s="134">
        <v>80.430000000000007</v>
      </c>
      <c r="AH25" s="144">
        <v>58.21</v>
      </c>
      <c r="AI25" s="134">
        <v>81.5</v>
      </c>
      <c r="AJ25" s="144">
        <v>58.98</v>
      </c>
      <c r="AK25" s="134">
        <v>82.57</v>
      </c>
      <c r="AL25" s="144">
        <v>59.74</v>
      </c>
      <c r="AM25" s="134">
        <v>86.64</v>
      </c>
      <c r="AN25" s="144">
        <v>60.51</v>
      </c>
      <c r="AO25" s="144">
        <v>84.71</v>
      </c>
      <c r="AP25" s="5">
        <v>61.27</v>
      </c>
      <c r="AQ25" s="120">
        <v>85.78</v>
      </c>
      <c r="AR25" s="5">
        <v>34.89</v>
      </c>
      <c r="AS25" s="5">
        <v>34.130000000000003</v>
      </c>
      <c r="AT25" s="5">
        <v>33.36</v>
      </c>
      <c r="AU25" s="5">
        <v>32.6</v>
      </c>
      <c r="AV25" s="37">
        <v>21</v>
      </c>
      <c r="AW25" s="30">
        <v>25.19</v>
      </c>
      <c r="AX25" s="30">
        <v>25.73</v>
      </c>
      <c r="AY25" s="30">
        <v>26.26</v>
      </c>
      <c r="AZ25" s="30">
        <v>26.8</v>
      </c>
      <c r="BA25" s="30">
        <v>27.34</v>
      </c>
      <c r="BB25" s="30">
        <v>27.88</v>
      </c>
      <c r="BC25" s="30">
        <v>28.42</v>
      </c>
      <c r="BD25" s="30">
        <v>28.96</v>
      </c>
      <c r="BE25" s="31">
        <v>29.5</v>
      </c>
      <c r="BF25" s="60">
        <v>30.04</v>
      </c>
      <c r="BG25" s="60">
        <v>30.58</v>
      </c>
      <c r="BH25" s="66">
        <v>31.12</v>
      </c>
      <c r="BI25" s="31">
        <v>31.66</v>
      </c>
      <c r="BJ25" s="34">
        <v>32.200000000000003</v>
      </c>
      <c r="BK25" s="32">
        <v>32.74</v>
      </c>
      <c r="BL25" s="5">
        <v>33.28</v>
      </c>
      <c r="BM25" s="5">
        <v>33.82</v>
      </c>
      <c r="BN25" s="5">
        <v>34.36</v>
      </c>
      <c r="BO25" s="5">
        <v>34.9</v>
      </c>
      <c r="BP25" s="5">
        <v>35.44</v>
      </c>
      <c r="BQ25" s="5">
        <v>35.979999999999997</v>
      </c>
      <c r="BR25" s="144">
        <v>36.520000000000003</v>
      </c>
      <c r="BS25" s="144">
        <v>37.06</v>
      </c>
      <c r="BT25" s="144">
        <v>37.6</v>
      </c>
      <c r="BU25" s="144">
        <v>38.14</v>
      </c>
      <c r="BV25" s="144">
        <v>38.68</v>
      </c>
      <c r="BW25" s="5">
        <v>22.35</v>
      </c>
      <c r="BX25" s="5">
        <v>21.81</v>
      </c>
      <c r="BY25" s="5">
        <v>21.27</v>
      </c>
      <c r="BZ25" s="5">
        <v>20.73</v>
      </c>
    </row>
    <row r="26" spans="1:78" x14ac:dyDescent="0.45">
      <c r="A26" s="119" t="s">
        <v>483</v>
      </c>
      <c r="B26" s="30">
        <v>48.12</v>
      </c>
      <c r="C26" s="79">
        <v>67.37</v>
      </c>
      <c r="D26" s="30">
        <v>48.92</v>
      </c>
      <c r="E26" s="79">
        <v>68.489999999999995</v>
      </c>
      <c r="F26" s="30">
        <v>49.72</v>
      </c>
      <c r="G26" s="86">
        <v>69.61</v>
      </c>
      <c r="H26" s="31">
        <v>50.52</v>
      </c>
      <c r="I26" s="92">
        <v>70.73</v>
      </c>
      <c r="J26" s="60">
        <v>51.32</v>
      </c>
      <c r="K26" s="98">
        <v>71.849999999999994</v>
      </c>
      <c r="L26" s="60">
        <v>52.12</v>
      </c>
      <c r="M26" s="98">
        <v>72.97</v>
      </c>
      <c r="N26" s="66">
        <v>52.92</v>
      </c>
      <c r="O26" s="104">
        <v>74.09</v>
      </c>
      <c r="P26" s="31">
        <v>53.72</v>
      </c>
      <c r="Q26" s="92">
        <v>75.209999999999994</v>
      </c>
      <c r="R26" s="31">
        <v>54.52</v>
      </c>
      <c r="S26" s="110">
        <v>76.33</v>
      </c>
      <c r="T26" s="32">
        <v>55.33</v>
      </c>
      <c r="U26" s="45">
        <v>77.459999999999994</v>
      </c>
      <c r="V26" s="5">
        <v>56.13</v>
      </c>
      <c r="W26" s="45">
        <v>78.58</v>
      </c>
      <c r="X26" s="5">
        <v>56.93</v>
      </c>
      <c r="Y26" s="126">
        <v>79.7</v>
      </c>
      <c r="Z26" s="5">
        <v>57.73</v>
      </c>
      <c r="AA26" s="126">
        <v>80.819999999999993</v>
      </c>
      <c r="AB26" s="5">
        <v>58.53</v>
      </c>
      <c r="AC26" s="134">
        <v>81.94</v>
      </c>
      <c r="AD26" s="5">
        <v>59.33</v>
      </c>
      <c r="AE26" s="134">
        <v>83.06</v>
      </c>
      <c r="AF26" s="5">
        <v>60.13</v>
      </c>
      <c r="AG26" s="134">
        <v>84.18</v>
      </c>
      <c r="AH26" s="144">
        <v>60.93</v>
      </c>
      <c r="AI26" s="134">
        <v>85.3</v>
      </c>
      <c r="AJ26" s="144">
        <v>61.73</v>
      </c>
      <c r="AK26" s="134">
        <v>86.42</v>
      </c>
      <c r="AL26" s="144">
        <v>62.53</v>
      </c>
      <c r="AM26" s="134">
        <v>87.55</v>
      </c>
      <c r="AN26" s="144">
        <v>63.33</v>
      </c>
      <c r="AO26" s="144">
        <v>88.67</v>
      </c>
      <c r="AP26" s="5">
        <v>64.13</v>
      </c>
      <c r="AQ26" s="120">
        <v>89.79</v>
      </c>
      <c r="AR26" s="5">
        <v>36.520000000000003</v>
      </c>
      <c r="AS26" s="5">
        <v>35.72</v>
      </c>
      <c r="AT26" s="5">
        <v>34.92</v>
      </c>
      <c r="AU26" s="5">
        <v>34.119999999999997</v>
      </c>
      <c r="AV26" s="37">
        <v>22</v>
      </c>
      <c r="AW26" s="30">
        <v>26.35</v>
      </c>
      <c r="AX26" s="30">
        <v>26.92</v>
      </c>
      <c r="AY26" s="30">
        <v>27.48</v>
      </c>
      <c r="AZ26" s="30">
        <v>28.05</v>
      </c>
      <c r="BA26" s="30">
        <v>28.61</v>
      </c>
      <c r="BB26" s="30">
        <v>29.18</v>
      </c>
      <c r="BC26" s="30">
        <v>29.75</v>
      </c>
      <c r="BD26" s="30">
        <v>30.31</v>
      </c>
      <c r="BE26" s="31">
        <v>30.88</v>
      </c>
      <c r="BF26" s="60">
        <v>31.44</v>
      </c>
      <c r="BG26" s="60">
        <v>32.01</v>
      </c>
      <c r="BH26" s="66">
        <v>32.57</v>
      </c>
      <c r="BI26" s="31">
        <v>33.14</v>
      </c>
      <c r="BJ26" s="34">
        <v>33.700000000000003</v>
      </c>
      <c r="BK26" s="32">
        <v>34.270000000000003</v>
      </c>
      <c r="BL26" s="5">
        <v>34.83</v>
      </c>
      <c r="BM26" s="5">
        <v>35.4</v>
      </c>
      <c r="BN26" s="5">
        <v>35.96</v>
      </c>
      <c r="BO26" s="5">
        <v>36.53</v>
      </c>
      <c r="BP26" s="5">
        <v>37.1</v>
      </c>
      <c r="BQ26" s="5">
        <v>37.659999999999997</v>
      </c>
      <c r="BR26" s="144">
        <v>38.229999999999997</v>
      </c>
      <c r="BS26" s="144">
        <v>38.79</v>
      </c>
      <c r="BT26" s="144">
        <v>39.36</v>
      </c>
      <c r="BU26" s="144">
        <v>39.92</v>
      </c>
      <c r="BV26" s="144">
        <v>40.49</v>
      </c>
      <c r="BW26" s="5">
        <v>23.39</v>
      </c>
      <c r="BX26" s="5">
        <v>22.83</v>
      </c>
      <c r="BY26" s="5">
        <v>22.26</v>
      </c>
      <c r="BZ26" s="5">
        <v>21.7</v>
      </c>
    </row>
    <row r="27" spans="1:78" x14ac:dyDescent="0.45">
      <c r="A27" s="119" t="s">
        <v>484</v>
      </c>
      <c r="B27" s="30">
        <v>50.24</v>
      </c>
      <c r="C27" s="79">
        <v>70.34</v>
      </c>
      <c r="D27" s="30">
        <v>51.08</v>
      </c>
      <c r="E27" s="79">
        <v>71.510000000000005</v>
      </c>
      <c r="F27" s="30">
        <v>51.91</v>
      </c>
      <c r="G27" s="86">
        <v>72.680000000000007</v>
      </c>
      <c r="H27" s="31">
        <v>52.75</v>
      </c>
      <c r="I27" s="92">
        <v>73.849999999999994</v>
      </c>
      <c r="J27" s="60">
        <v>53.59</v>
      </c>
      <c r="K27" s="98">
        <v>75.03</v>
      </c>
      <c r="L27" s="60">
        <v>54.43</v>
      </c>
      <c r="M27" s="98">
        <v>76.2</v>
      </c>
      <c r="N27" s="66">
        <v>55.26</v>
      </c>
      <c r="O27" s="104">
        <v>77.37</v>
      </c>
      <c r="P27" s="31">
        <v>56.1</v>
      </c>
      <c r="Q27" s="92">
        <v>78.540000000000006</v>
      </c>
      <c r="R27" s="31">
        <v>56.94</v>
      </c>
      <c r="S27" s="110">
        <v>79.709999999999994</v>
      </c>
      <c r="T27" s="32">
        <v>57.78</v>
      </c>
      <c r="U27" s="45">
        <v>80.89</v>
      </c>
      <c r="V27" s="5">
        <v>58.61</v>
      </c>
      <c r="W27" s="45">
        <v>82.06</v>
      </c>
      <c r="X27" s="5">
        <v>59.45</v>
      </c>
      <c r="Y27" s="126">
        <v>83.23</v>
      </c>
      <c r="Z27" s="5">
        <v>60.29</v>
      </c>
      <c r="AA27" s="126">
        <v>84.41</v>
      </c>
      <c r="AB27" s="5">
        <v>61.12</v>
      </c>
      <c r="AC27" s="134">
        <v>85.57</v>
      </c>
      <c r="AD27" s="5">
        <v>61.96</v>
      </c>
      <c r="AE27" s="134">
        <v>86.75</v>
      </c>
      <c r="AF27" s="5">
        <v>62.8</v>
      </c>
      <c r="AG27" s="134">
        <v>87.92</v>
      </c>
      <c r="AH27" s="144">
        <v>63.64</v>
      </c>
      <c r="AI27" s="134">
        <v>89.09</v>
      </c>
      <c r="AJ27" s="144">
        <v>64.47</v>
      </c>
      <c r="AK27" s="134">
        <v>90.26</v>
      </c>
      <c r="AL27" s="144">
        <v>65.31</v>
      </c>
      <c r="AM27" s="134">
        <v>91.43</v>
      </c>
      <c r="AN27" s="144">
        <v>66.150000000000006</v>
      </c>
      <c r="AO27" s="144">
        <v>92.61</v>
      </c>
      <c r="AP27" s="5">
        <v>66.98</v>
      </c>
      <c r="AQ27" s="120">
        <v>93.78</v>
      </c>
      <c r="AR27" s="5">
        <v>38.14</v>
      </c>
      <c r="AS27" s="5">
        <v>37.31</v>
      </c>
      <c r="AT27" s="5">
        <v>36.47</v>
      </c>
      <c r="AU27" s="5">
        <v>35.630000000000003</v>
      </c>
      <c r="AV27" s="37">
        <v>23</v>
      </c>
      <c r="AW27" s="30">
        <v>27.53</v>
      </c>
      <c r="AX27" s="30">
        <v>28.12</v>
      </c>
      <c r="AY27" s="30">
        <v>28.71</v>
      </c>
      <c r="AZ27" s="30">
        <v>29.3</v>
      </c>
      <c r="BA27" s="30">
        <v>29.89</v>
      </c>
      <c r="BB27" s="30">
        <v>30.48</v>
      </c>
      <c r="BC27" s="30">
        <v>31.07</v>
      </c>
      <c r="BD27" s="30">
        <v>31.66</v>
      </c>
      <c r="BE27" s="31">
        <v>32.25</v>
      </c>
      <c r="BF27" s="60">
        <v>32.85</v>
      </c>
      <c r="BG27" s="60">
        <v>33.44</v>
      </c>
      <c r="BH27" s="66">
        <v>34.03</v>
      </c>
      <c r="BI27" s="31">
        <v>34.619999999999997</v>
      </c>
      <c r="BJ27" s="34">
        <v>35.21</v>
      </c>
      <c r="BK27" s="32">
        <v>35.799999999999997</v>
      </c>
      <c r="BL27" s="5">
        <v>36.39</v>
      </c>
      <c r="BM27" s="5">
        <v>36.979999999999997</v>
      </c>
      <c r="BN27" s="5">
        <v>37.57</v>
      </c>
      <c r="BO27" s="5">
        <v>38.17</v>
      </c>
      <c r="BP27" s="5">
        <v>38.76</v>
      </c>
      <c r="BQ27" s="5">
        <v>39.35</v>
      </c>
      <c r="BR27" s="144">
        <v>39.94</v>
      </c>
      <c r="BS27" s="144">
        <v>40.53</v>
      </c>
      <c r="BT27" s="144">
        <v>41.12</v>
      </c>
      <c r="BU27" s="144">
        <v>41.71</v>
      </c>
      <c r="BV27" s="144">
        <v>42.3</v>
      </c>
      <c r="BW27" s="5">
        <v>24.44</v>
      </c>
      <c r="BX27" s="5">
        <v>23.85</v>
      </c>
      <c r="BY27" s="5">
        <v>23.26</v>
      </c>
      <c r="BZ27" s="5">
        <v>22.67</v>
      </c>
    </row>
    <row r="28" spans="1:78" x14ac:dyDescent="0.45">
      <c r="A28" s="119" t="s">
        <v>485</v>
      </c>
      <c r="B28" s="30">
        <v>52.38</v>
      </c>
      <c r="C28" s="79">
        <v>73.33</v>
      </c>
      <c r="D28" s="30">
        <v>53.25</v>
      </c>
      <c r="E28" s="79">
        <v>74.55</v>
      </c>
      <c r="F28" s="30">
        <v>54.12</v>
      </c>
      <c r="G28" s="86">
        <v>75.77</v>
      </c>
      <c r="H28" s="31">
        <v>55</v>
      </c>
      <c r="I28" s="92">
        <v>76.989999999999995</v>
      </c>
      <c r="J28" s="60">
        <v>55.87</v>
      </c>
      <c r="K28" s="98">
        <v>78.22</v>
      </c>
      <c r="L28" s="60">
        <v>56.74</v>
      </c>
      <c r="M28" s="98">
        <v>79.44</v>
      </c>
      <c r="N28" s="66">
        <v>57.62</v>
      </c>
      <c r="O28" s="104">
        <v>80.66</v>
      </c>
      <c r="P28" s="31">
        <v>58.49</v>
      </c>
      <c r="Q28" s="92">
        <v>81.89</v>
      </c>
      <c r="R28" s="31">
        <v>59.36</v>
      </c>
      <c r="S28" s="110">
        <v>83.11</v>
      </c>
      <c r="T28" s="32">
        <v>60.24</v>
      </c>
      <c r="U28" s="45">
        <v>84.33</v>
      </c>
      <c r="V28" s="5">
        <v>61.11</v>
      </c>
      <c r="W28" s="45">
        <v>85.56</v>
      </c>
      <c r="X28" s="5">
        <v>61.98</v>
      </c>
      <c r="Y28" s="126">
        <v>86.78</v>
      </c>
      <c r="Z28" s="5">
        <v>62.86</v>
      </c>
      <c r="AA28" s="126">
        <v>88</v>
      </c>
      <c r="AB28" s="5">
        <v>63.73</v>
      </c>
      <c r="AC28" s="134">
        <v>89.22</v>
      </c>
      <c r="AD28" s="5">
        <v>64.61</v>
      </c>
      <c r="AE28" s="134">
        <v>90.45</v>
      </c>
      <c r="AF28" s="5">
        <v>65.48</v>
      </c>
      <c r="AG28" s="134">
        <v>91.67</v>
      </c>
      <c r="AH28" s="144">
        <v>66.349999999999994</v>
      </c>
      <c r="AI28" s="134">
        <v>92.89</v>
      </c>
      <c r="AJ28" s="144">
        <v>67.23</v>
      </c>
      <c r="AK28" s="134">
        <v>94.12</v>
      </c>
      <c r="AL28" s="144">
        <v>68.099999999999994</v>
      </c>
      <c r="AM28" s="134">
        <v>95.34</v>
      </c>
      <c r="AN28" s="144">
        <v>68.97</v>
      </c>
      <c r="AO28" s="144">
        <v>96.56</v>
      </c>
      <c r="AP28" s="5">
        <v>69.849999999999994</v>
      </c>
      <c r="AQ28" s="120">
        <v>97.79</v>
      </c>
      <c r="AR28" s="5">
        <v>39.770000000000003</v>
      </c>
      <c r="AS28" s="5">
        <v>38.9</v>
      </c>
      <c r="AT28" s="5">
        <v>38.03</v>
      </c>
      <c r="AU28" s="5">
        <v>37.15</v>
      </c>
      <c r="AV28" s="37">
        <v>24</v>
      </c>
      <c r="AW28" s="30">
        <v>28.69</v>
      </c>
      <c r="AX28" s="30">
        <v>29.31</v>
      </c>
      <c r="AY28" s="30">
        <v>29.93</v>
      </c>
      <c r="AZ28" s="30">
        <v>30.54</v>
      </c>
      <c r="BA28" s="30">
        <v>31.16</v>
      </c>
      <c r="BB28" s="30">
        <v>31.78</v>
      </c>
      <c r="BC28" s="30">
        <v>32.39</v>
      </c>
      <c r="BD28" s="30">
        <v>33.01</v>
      </c>
      <c r="BE28" s="31">
        <v>33.630000000000003</v>
      </c>
      <c r="BF28" s="60">
        <v>34.24</v>
      </c>
      <c r="BG28" s="60">
        <v>34.86</v>
      </c>
      <c r="BH28" s="66">
        <v>35.479999999999997</v>
      </c>
      <c r="BI28" s="31">
        <v>36.090000000000003</v>
      </c>
      <c r="BJ28" s="34">
        <v>36.71</v>
      </c>
      <c r="BK28" s="32">
        <v>37.33</v>
      </c>
      <c r="BL28" s="5">
        <v>37.94</v>
      </c>
      <c r="BM28" s="5">
        <v>38.56</v>
      </c>
      <c r="BN28" s="5">
        <v>39.18</v>
      </c>
      <c r="BO28" s="5">
        <v>39.79</v>
      </c>
      <c r="BP28" s="5">
        <v>40.409999999999997</v>
      </c>
      <c r="BQ28" s="5">
        <v>41.03</v>
      </c>
      <c r="BR28" s="144">
        <v>41.65</v>
      </c>
      <c r="BS28" s="144">
        <v>42.26</v>
      </c>
      <c r="BT28" s="144">
        <v>42.88</v>
      </c>
      <c r="BU28" s="144">
        <v>43.5</v>
      </c>
      <c r="BV28" s="144">
        <v>44.11</v>
      </c>
      <c r="BW28" s="5">
        <v>25.49</v>
      </c>
      <c r="BX28" s="5">
        <v>24.87</v>
      </c>
      <c r="BY28" s="5">
        <v>24.25</v>
      </c>
      <c r="BZ28" s="5">
        <v>23.63</v>
      </c>
    </row>
    <row r="29" spans="1:78" x14ac:dyDescent="0.45">
      <c r="A29" s="119" t="s">
        <v>486</v>
      </c>
      <c r="B29" s="30">
        <v>54.51</v>
      </c>
      <c r="C29" s="79">
        <v>76.31</v>
      </c>
      <c r="D29" s="30">
        <v>55.42</v>
      </c>
      <c r="E29" s="79">
        <v>77.59</v>
      </c>
      <c r="F29" s="30">
        <v>56.33</v>
      </c>
      <c r="G29" s="86">
        <v>78.86</v>
      </c>
      <c r="H29" s="31">
        <v>57.24</v>
      </c>
      <c r="I29" s="92">
        <v>80.13</v>
      </c>
      <c r="J29" s="60">
        <v>58.15</v>
      </c>
      <c r="K29" s="98">
        <v>81.41</v>
      </c>
      <c r="L29" s="60">
        <v>59.06</v>
      </c>
      <c r="M29" s="98">
        <v>82.68</v>
      </c>
      <c r="N29" s="66">
        <v>59.97</v>
      </c>
      <c r="O29" s="104">
        <v>83.96</v>
      </c>
      <c r="P29" s="31">
        <v>60.88</v>
      </c>
      <c r="Q29" s="92">
        <v>85.23</v>
      </c>
      <c r="R29" s="31">
        <v>61.79</v>
      </c>
      <c r="S29" s="110">
        <v>86.5</v>
      </c>
      <c r="T29" s="32">
        <v>62.7</v>
      </c>
      <c r="U29" s="45">
        <v>87.78</v>
      </c>
      <c r="V29" s="5">
        <v>63.61</v>
      </c>
      <c r="W29" s="45">
        <v>89.05</v>
      </c>
      <c r="X29" s="5">
        <v>64.52</v>
      </c>
      <c r="Y29" s="126">
        <v>90.33</v>
      </c>
      <c r="Z29" s="5">
        <v>65.430000000000007</v>
      </c>
      <c r="AA29" s="126">
        <v>91.6</v>
      </c>
      <c r="AB29" s="5">
        <v>66.34</v>
      </c>
      <c r="AC29" s="134">
        <v>92.87</v>
      </c>
      <c r="AD29" s="5">
        <v>67.25</v>
      </c>
      <c r="AE29" s="134">
        <v>94.15</v>
      </c>
      <c r="AF29" s="5">
        <v>68.16</v>
      </c>
      <c r="AG29" s="134">
        <v>95.42</v>
      </c>
      <c r="AH29" s="144">
        <v>69.069999999999993</v>
      </c>
      <c r="AI29" s="134">
        <v>96.7</v>
      </c>
      <c r="AJ29" s="144">
        <v>69.98</v>
      </c>
      <c r="AK29" s="134">
        <v>97.97</v>
      </c>
      <c r="AL29" s="144">
        <v>70.89</v>
      </c>
      <c r="AM29" s="134">
        <v>99.24</v>
      </c>
      <c r="AN29" s="144">
        <v>71.8</v>
      </c>
      <c r="AO29" s="144">
        <v>100.52</v>
      </c>
      <c r="AP29" s="5">
        <v>72.709999999999994</v>
      </c>
      <c r="AQ29" s="120">
        <v>101.79</v>
      </c>
      <c r="AR29" s="5">
        <v>41.4</v>
      </c>
      <c r="AS29" s="5">
        <v>40.49</v>
      </c>
      <c r="AT29" s="5">
        <v>39.58</v>
      </c>
      <c r="AU29" s="5">
        <v>38.67</v>
      </c>
      <c r="AV29" s="37">
        <v>25</v>
      </c>
      <c r="AW29" s="30">
        <v>29.86</v>
      </c>
      <c r="AX29" s="30">
        <v>30.51</v>
      </c>
      <c r="AY29" s="30">
        <v>31.15</v>
      </c>
      <c r="AZ29" s="30">
        <v>31.79</v>
      </c>
      <c r="BA29" s="30">
        <v>32.43</v>
      </c>
      <c r="BB29" s="30">
        <v>33.08</v>
      </c>
      <c r="BC29" s="30">
        <v>33.72</v>
      </c>
      <c r="BD29" s="30">
        <v>34.36</v>
      </c>
      <c r="BE29" s="31">
        <v>35</v>
      </c>
      <c r="BF29" s="60">
        <v>35.65</v>
      </c>
      <c r="BG29" s="60">
        <v>36.29</v>
      </c>
      <c r="BH29" s="66">
        <v>36.93</v>
      </c>
      <c r="BI29" s="31">
        <v>37.57</v>
      </c>
      <c r="BJ29" s="34">
        <v>38.22</v>
      </c>
      <c r="BK29" s="32">
        <v>38.86</v>
      </c>
      <c r="BL29" s="5">
        <v>39.5</v>
      </c>
      <c r="BM29" s="5">
        <v>40.14</v>
      </c>
      <c r="BN29" s="5">
        <v>40.79</v>
      </c>
      <c r="BO29" s="5">
        <v>41.43</v>
      </c>
      <c r="BP29" s="5">
        <v>42.07</v>
      </c>
      <c r="BQ29" s="5">
        <v>42.71</v>
      </c>
      <c r="BR29" s="144">
        <v>43.36</v>
      </c>
      <c r="BS29" s="144">
        <v>44</v>
      </c>
      <c r="BT29" s="144">
        <v>44.64</v>
      </c>
      <c r="BU29" s="144">
        <v>45.28</v>
      </c>
      <c r="BV29" s="144">
        <v>45.93</v>
      </c>
      <c r="BW29" s="5">
        <v>26.53</v>
      </c>
      <c r="BX29" s="5">
        <v>25.89</v>
      </c>
      <c r="BY29" s="5">
        <v>25.25</v>
      </c>
      <c r="BZ29" s="5">
        <v>24.6</v>
      </c>
    </row>
    <row r="30" spans="1:78" x14ac:dyDescent="0.45">
      <c r="A30" s="119" t="s">
        <v>487</v>
      </c>
      <c r="B30" s="30">
        <v>56.64</v>
      </c>
      <c r="C30" s="79">
        <v>79.290000000000006</v>
      </c>
      <c r="D30" s="30">
        <v>57.58</v>
      </c>
      <c r="E30" s="79">
        <v>80.62</v>
      </c>
      <c r="F30" s="30">
        <v>58.53</v>
      </c>
      <c r="G30" s="86">
        <v>81.94</v>
      </c>
      <c r="H30" s="31">
        <v>59.48</v>
      </c>
      <c r="I30" s="92">
        <v>83.27</v>
      </c>
      <c r="J30" s="60">
        <v>60.42</v>
      </c>
      <c r="K30" s="98">
        <v>84.59</v>
      </c>
      <c r="L30" s="60">
        <v>61.37</v>
      </c>
      <c r="M30" s="98">
        <v>85.92</v>
      </c>
      <c r="N30" s="66">
        <v>62.31</v>
      </c>
      <c r="O30" s="104">
        <v>87.24</v>
      </c>
      <c r="P30" s="31">
        <v>63.26</v>
      </c>
      <c r="Q30" s="92">
        <v>88.57</v>
      </c>
      <c r="R30" s="31">
        <v>64.209999999999994</v>
      </c>
      <c r="S30" s="110">
        <v>89.89</v>
      </c>
      <c r="T30" s="32">
        <v>65.150000000000006</v>
      </c>
      <c r="U30" s="45">
        <v>91.22</v>
      </c>
      <c r="V30" s="5">
        <v>66.099999999999994</v>
      </c>
      <c r="W30" s="45">
        <v>92.54</v>
      </c>
      <c r="X30" s="5">
        <v>67.05</v>
      </c>
      <c r="Y30" s="126">
        <v>93.87</v>
      </c>
      <c r="Z30" s="5">
        <v>67.989999999999995</v>
      </c>
      <c r="AA30" s="126">
        <v>95.19</v>
      </c>
      <c r="AB30" s="5">
        <v>68.94</v>
      </c>
      <c r="AC30" s="134">
        <v>96.51</v>
      </c>
      <c r="AD30" s="5">
        <v>69.89</v>
      </c>
      <c r="AE30" s="134">
        <v>97.84</v>
      </c>
      <c r="AF30" s="5">
        <v>70.83</v>
      </c>
      <c r="AG30" s="134">
        <v>99.16</v>
      </c>
      <c r="AH30" s="144">
        <v>71.78</v>
      </c>
      <c r="AI30" s="134">
        <v>100.49</v>
      </c>
      <c r="AJ30" s="144">
        <v>72.72</v>
      </c>
      <c r="AK30" s="134">
        <v>101.81</v>
      </c>
      <c r="AL30" s="144">
        <v>73.67</v>
      </c>
      <c r="AM30" s="134">
        <v>103.14</v>
      </c>
      <c r="AN30" s="144">
        <v>74.62</v>
      </c>
      <c r="AO30" s="144">
        <v>104.46</v>
      </c>
      <c r="AP30" s="5">
        <v>75.56</v>
      </c>
      <c r="AQ30" s="120">
        <v>105.79</v>
      </c>
      <c r="AR30" s="5">
        <v>43.03</v>
      </c>
      <c r="AS30" s="5">
        <v>42.08</v>
      </c>
      <c r="AT30" s="5">
        <v>41.13</v>
      </c>
      <c r="AU30" s="5">
        <v>40.19</v>
      </c>
      <c r="AV30" s="37">
        <v>26</v>
      </c>
      <c r="AW30" s="30">
        <v>31.03</v>
      </c>
      <c r="AX30" s="30">
        <v>31.7</v>
      </c>
      <c r="AY30" s="30">
        <v>32.369999999999997</v>
      </c>
      <c r="AZ30" s="30">
        <v>33.04</v>
      </c>
      <c r="BA30" s="30">
        <v>33.700000000000003</v>
      </c>
      <c r="BB30" s="30">
        <v>34.369999999999997</v>
      </c>
      <c r="BC30" s="30">
        <v>35.04</v>
      </c>
      <c r="BD30" s="30">
        <v>35.71</v>
      </c>
      <c r="BE30" s="31">
        <v>36.380000000000003</v>
      </c>
      <c r="BF30" s="60">
        <v>37.04</v>
      </c>
      <c r="BG30" s="60">
        <v>37.71</v>
      </c>
      <c r="BH30" s="66">
        <v>38.380000000000003</v>
      </c>
      <c r="BI30" s="31">
        <v>39.049999999999997</v>
      </c>
      <c r="BJ30" s="34">
        <v>39.72</v>
      </c>
      <c r="BK30" s="32">
        <v>40.39</v>
      </c>
      <c r="BL30" s="5">
        <v>41.05</v>
      </c>
      <c r="BM30" s="5">
        <v>41.72</v>
      </c>
      <c r="BN30" s="5">
        <v>42.39</v>
      </c>
      <c r="BO30" s="5">
        <v>43.06</v>
      </c>
      <c r="BP30" s="5">
        <v>43.73</v>
      </c>
      <c r="BQ30" s="5">
        <v>44.39</v>
      </c>
      <c r="BR30" s="144">
        <v>45.06</v>
      </c>
      <c r="BS30" s="144">
        <v>45.73</v>
      </c>
      <c r="BT30" s="144">
        <v>46.4</v>
      </c>
      <c r="BU30" s="144">
        <v>47.07</v>
      </c>
      <c r="BV30" s="144">
        <v>47.74</v>
      </c>
      <c r="BW30" s="5">
        <v>27.58</v>
      </c>
      <c r="BX30" s="5">
        <v>26.91</v>
      </c>
      <c r="BY30" s="5">
        <v>26.24</v>
      </c>
      <c r="BZ30" s="5">
        <v>25.57</v>
      </c>
    </row>
    <row r="31" spans="1:78" x14ac:dyDescent="0.45">
      <c r="A31" s="119" t="s">
        <v>488</v>
      </c>
      <c r="B31" s="30">
        <v>58.77</v>
      </c>
      <c r="C31" s="79">
        <v>82.27</v>
      </c>
      <c r="D31" s="30">
        <v>59.75</v>
      </c>
      <c r="E31" s="79">
        <v>83.65</v>
      </c>
      <c r="F31" s="30">
        <v>60.73</v>
      </c>
      <c r="G31" s="86">
        <v>85.03</v>
      </c>
      <c r="H31" s="31">
        <v>61.72</v>
      </c>
      <c r="I31" s="92">
        <v>86.4</v>
      </c>
      <c r="J31" s="60">
        <v>62.7</v>
      </c>
      <c r="K31" s="98">
        <v>87.78</v>
      </c>
      <c r="L31" s="60">
        <v>63.68</v>
      </c>
      <c r="M31" s="98">
        <v>89.15</v>
      </c>
      <c r="N31" s="66">
        <v>64.66</v>
      </c>
      <c r="O31" s="104">
        <v>90.53</v>
      </c>
      <c r="P31" s="31">
        <v>65.650000000000006</v>
      </c>
      <c r="Q31" s="92">
        <v>91.91</v>
      </c>
      <c r="R31" s="31">
        <v>66.63</v>
      </c>
      <c r="S31" s="110">
        <v>93.28</v>
      </c>
      <c r="T31" s="32">
        <v>67.61</v>
      </c>
      <c r="U31" s="45">
        <v>94.66</v>
      </c>
      <c r="V31" s="5">
        <v>68.599999999999994</v>
      </c>
      <c r="W31" s="45">
        <v>96.03</v>
      </c>
      <c r="X31" s="5">
        <v>69.58</v>
      </c>
      <c r="Y31" s="126">
        <v>97.41</v>
      </c>
      <c r="Z31" s="5">
        <v>70.56</v>
      </c>
      <c r="AA31" s="126">
        <v>98.78</v>
      </c>
      <c r="AB31" s="5">
        <v>71.540000000000006</v>
      </c>
      <c r="AC31" s="134">
        <v>100.16</v>
      </c>
      <c r="AD31" s="5">
        <v>72.53</v>
      </c>
      <c r="AE31" s="134">
        <v>101.54</v>
      </c>
      <c r="AF31" s="5">
        <v>73.510000000000005</v>
      </c>
      <c r="AG31" s="134">
        <v>102.91</v>
      </c>
      <c r="AH31" s="144">
        <v>74.489999999999995</v>
      </c>
      <c r="AI31" s="134">
        <v>104.29</v>
      </c>
      <c r="AJ31" s="144">
        <v>75.48</v>
      </c>
      <c r="AK31" s="134">
        <v>105.67</v>
      </c>
      <c r="AL31" s="144">
        <v>76.459999999999994</v>
      </c>
      <c r="AM31" s="134">
        <v>107.04</v>
      </c>
      <c r="AN31" s="144">
        <v>77.44</v>
      </c>
      <c r="AO31" s="144">
        <v>108.42</v>
      </c>
      <c r="AP31" s="5">
        <v>78.42</v>
      </c>
      <c r="AQ31" s="120">
        <v>109.79</v>
      </c>
      <c r="AR31" s="5">
        <v>44.65</v>
      </c>
      <c r="AS31" s="5">
        <v>43.67</v>
      </c>
      <c r="AT31" s="5">
        <v>42.69</v>
      </c>
      <c r="AU31" s="5">
        <v>41.71</v>
      </c>
      <c r="AV31" s="37">
        <v>27</v>
      </c>
      <c r="AW31" s="30">
        <v>32.200000000000003</v>
      </c>
      <c r="AX31" s="30">
        <v>32.9</v>
      </c>
      <c r="AY31" s="30">
        <v>33.590000000000003</v>
      </c>
      <c r="AZ31" s="30">
        <v>34.28</v>
      </c>
      <c r="BA31" s="30">
        <v>34.979999999999997</v>
      </c>
      <c r="BB31" s="30">
        <v>35.67</v>
      </c>
      <c r="BC31" s="30">
        <v>36.36</v>
      </c>
      <c r="BD31" s="30">
        <v>37.06</v>
      </c>
      <c r="BE31" s="31">
        <v>37.75</v>
      </c>
      <c r="BF31" s="60">
        <v>38.450000000000003</v>
      </c>
      <c r="BG31" s="60">
        <v>39.14</v>
      </c>
      <c r="BH31" s="66">
        <v>39.83</v>
      </c>
      <c r="BI31" s="31">
        <v>40.53</v>
      </c>
      <c r="BJ31" s="34">
        <v>41.22</v>
      </c>
      <c r="BK31" s="32">
        <v>41.92</v>
      </c>
      <c r="BL31" s="5">
        <v>42.61</v>
      </c>
      <c r="BM31" s="5">
        <v>43.3</v>
      </c>
      <c r="BN31" s="5">
        <v>44</v>
      </c>
      <c r="BO31" s="5">
        <v>44.69</v>
      </c>
      <c r="BP31" s="5">
        <v>45.39</v>
      </c>
      <c r="BQ31" s="5">
        <v>46.08</v>
      </c>
      <c r="BR31" s="144">
        <v>46.77</v>
      </c>
      <c r="BS31" s="144">
        <v>47.47</v>
      </c>
      <c r="BT31" s="144">
        <v>48.16</v>
      </c>
      <c r="BU31" s="144">
        <v>48.85</v>
      </c>
      <c r="BV31" s="144">
        <v>49.55</v>
      </c>
      <c r="BW31" s="5">
        <v>28.62</v>
      </c>
      <c r="BX31" s="5">
        <v>27.93</v>
      </c>
      <c r="BY31" s="5">
        <v>27.23</v>
      </c>
      <c r="BZ31" s="5">
        <v>26.54</v>
      </c>
    </row>
    <row r="32" spans="1:78" x14ac:dyDescent="0.45">
      <c r="A32" s="119" t="s">
        <v>489</v>
      </c>
      <c r="B32" s="30">
        <v>60.9</v>
      </c>
      <c r="C32" s="79">
        <v>85.26</v>
      </c>
      <c r="D32" s="30">
        <v>61.92</v>
      </c>
      <c r="E32" s="79">
        <v>86.69</v>
      </c>
      <c r="F32" s="30">
        <v>62.94</v>
      </c>
      <c r="G32" s="86">
        <v>88.11</v>
      </c>
      <c r="H32" s="31">
        <v>63.96</v>
      </c>
      <c r="I32" s="92">
        <v>89.54</v>
      </c>
      <c r="J32" s="60">
        <v>64.98</v>
      </c>
      <c r="K32" s="98">
        <v>90.97</v>
      </c>
      <c r="L32" s="60">
        <v>66</v>
      </c>
      <c r="M32" s="98">
        <v>92.39</v>
      </c>
      <c r="N32" s="66">
        <v>67.02</v>
      </c>
      <c r="O32" s="104">
        <v>93.82</v>
      </c>
      <c r="P32" s="31">
        <v>68.03</v>
      </c>
      <c r="Q32" s="92">
        <v>95.25</v>
      </c>
      <c r="R32" s="31">
        <v>69.05</v>
      </c>
      <c r="S32" s="110">
        <v>96.68</v>
      </c>
      <c r="T32" s="32">
        <v>70.069999999999993</v>
      </c>
      <c r="U32" s="45">
        <v>98.1</v>
      </c>
      <c r="V32" s="5">
        <v>71.09</v>
      </c>
      <c r="W32" s="45">
        <v>99.53</v>
      </c>
      <c r="X32" s="5">
        <v>72.11</v>
      </c>
      <c r="Y32" s="126">
        <v>100.96</v>
      </c>
      <c r="Z32" s="5">
        <v>73.13</v>
      </c>
      <c r="AA32" s="126">
        <v>102.38</v>
      </c>
      <c r="AB32" s="5">
        <v>74.150000000000006</v>
      </c>
      <c r="AC32" s="134">
        <v>103.81</v>
      </c>
      <c r="AD32" s="5">
        <v>75.17</v>
      </c>
      <c r="AE32" s="134">
        <v>105.24</v>
      </c>
      <c r="AF32" s="5">
        <v>76.19</v>
      </c>
      <c r="AG32" s="134">
        <v>106.66</v>
      </c>
      <c r="AH32" s="144">
        <v>77.209999999999994</v>
      </c>
      <c r="AI32" s="134">
        <v>108.09</v>
      </c>
      <c r="AJ32" s="144">
        <v>78.23</v>
      </c>
      <c r="AK32" s="134">
        <v>109.52</v>
      </c>
      <c r="AL32" s="144">
        <v>79.25</v>
      </c>
      <c r="AM32" s="134">
        <v>110.94</v>
      </c>
      <c r="AN32" s="144">
        <v>80.27</v>
      </c>
      <c r="AO32" s="144">
        <v>112.37</v>
      </c>
      <c r="AP32" s="5">
        <v>81.28</v>
      </c>
      <c r="AQ32" s="120">
        <v>113.8</v>
      </c>
      <c r="AR32" s="5">
        <v>46.28</v>
      </c>
      <c r="AS32" s="5">
        <v>45.26</v>
      </c>
      <c r="AT32" s="5">
        <v>44.24</v>
      </c>
      <c r="AU32" s="5">
        <v>43.23</v>
      </c>
      <c r="AV32" s="37">
        <v>28</v>
      </c>
      <c r="AW32" s="30">
        <v>3.37</v>
      </c>
      <c r="AX32" s="30">
        <v>34.090000000000003</v>
      </c>
      <c r="AY32" s="30">
        <v>34.81</v>
      </c>
      <c r="AZ32" s="30">
        <v>35.53</v>
      </c>
      <c r="BA32" s="30">
        <v>36.25</v>
      </c>
      <c r="BB32" s="30">
        <v>36.97</v>
      </c>
      <c r="BC32" s="30">
        <v>37.69</v>
      </c>
      <c r="BD32" s="30">
        <v>38.409999999999997</v>
      </c>
      <c r="BE32" s="31">
        <v>39.130000000000003</v>
      </c>
      <c r="BF32" s="60">
        <v>39.85</v>
      </c>
      <c r="BG32" s="60">
        <v>40.57</v>
      </c>
      <c r="BH32" s="66">
        <v>41.29</v>
      </c>
      <c r="BI32" s="31">
        <v>42.01</v>
      </c>
      <c r="BJ32" s="34">
        <v>42.73</v>
      </c>
      <c r="BK32" s="32">
        <v>43.45</v>
      </c>
      <c r="BL32" s="5">
        <v>44.17</v>
      </c>
      <c r="BM32" s="5">
        <v>44.89</v>
      </c>
      <c r="BN32" s="5">
        <v>45.61</v>
      </c>
      <c r="BO32" s="5">
        <v>46.33</v>
      </c>
      <c r="BP32" s="5">
        <v>47.05</v>
      </c>
      <c r="BQ32" s="5">
        <v>47.77</v>
      </c>
      <c r="BR32" s="144">
        <v>48.49</v>
      </c>
      <c r="BS32" s="144">
        <v>49.21</v>
      </c>
      <c r="BT32" s="144">
        <v>49.92</v>
      </c>
      <c r="BU32" s="144">
        <v>50.64</v>
      </c>
      <c r="BV32" s="144">
        <v>51.36</v>
      </c>
      <c r="BW32" s="5">
        <v>29.67</v>
      </c>
      <c r="BX32" s="5">
        <v>28.95</v>
      </c>
      <c r="BY32" s="5">
        <v>28.23</v>
      </c>
      <c r="BZ32" s="5">
        <v>27.51</v>
      </c>
    </row>
    <row r="33" spans="1:78" x14ac:dyDescent="0.45">
      <c r="A33" s="119" t="s">
        <v>490</v>
      </c>
      <c r="B33" s="30">
        <v>63.02</v>
      </c>
      <c r="C33" s="79">
        <v>88.22</v>
      </c>
      <c r="D33" s="30">
        <v>64.069999999999993</v>
      </c>
      <c r="E33" s="79">
        <v>89.7</v>
      </c>
      <c r="F33" s="30">
        <v>65.13</v>
      </c>
      <c r="G33" s="86">
        <v>91.18</v>
      </c>
      <c r="H33" s="31">
        <v>66.180000000000007</v>
      </c>
      <c r="I33" s="92">
        <v>92.65</v>
      </c>
      <c r="J33" s="60">
        <v>67.239999999999995</v>
      </c>
      <c r="K33" s="98">
        <v>94.13</v>
      </c>
      <c r="L33" s="60">
        <v>68.290000000000006</v>
      </c>
      <c r="M33" s="98">
        <v>95.61</v>
      </c>
      <c r="N33" s="66">
        <v>69.349999999999994</v>
      </c>
      <c r="O33" s="104">
        <v>97.09</v>
      </c>
      <c r="P33" s="31">
        <v>70.400000000000006</v>
      </c>
      <c r="Q33" s="92">
        <v>98.57</v>
      </c>
      <c r="R33" s="31">
        <v>71.459999999999994</v>
      </c>
      <c r="S33" s="110">
        <v>100.24</v>
      </c>
      <c r="T33" s="32">
        <v>72.52</v>
      </c>
      <c r="U33" s="45">
        <v>101.52</v>
      </c>
      <c r="V33" s="5">
        <v>73.569999999999993</v>
      </c>
      <c r="W33" s="45">
        <v>103</v>
      </c>
      <c r="X33" s="5">
        <v>74.63</v>
      </c>
      <c r="Y33" s="126">
        <v>104.48</v>
      </c>
      <c r="Z33" s="5">
        <v>75.680000000000007</v>
      </c>
      <c r="AA33" s="126">
        <v>105.95</v>
      </c>
      <c r="AB33" s="5">
        <v>76.739999999999995</v>
      </c>
      <c r="AC33" s="134">
        <v>107.43</v>
      </c>
      <c r="AD33" s="5">
        <v>77.790000000000006</v>
      </c>
      <c r="AE33" s="134">
        <v>108.91</v>
      </c>
      <c r="AF33" s="5">
        <v>78.849999999999994</v>
      </c>
      <c r="AG33" s="134">
        <v>110.39</v>
      </c>
      <c r="AH33" s="144">
        <v>79.900000000000006</v>
      </c>
      <c r="AI33" s="134">
        <v>111.87</v>
      </c>
      <c r="AJ33" s="144">
        <v>80.959999999999994</v>
      </c>
      <c r="AK33" s="134">
        <v>113.34</v>
      </c>
      <c r="AL33" s="144">
        <v>82.02</v>
      </c>
      <c r="AM33" s="134">
        <v>114.82</v>
      </c>
      <c r="AN33" s="144">
        <v>83.07</v>
      </c>
      <c r="AO33" s="144">
        <v>116.3</v>
      </c>
      <c r="AP33" s="5">
        <v>84.13</v>
      </c>
      <c r="AQ33" s="120">
        <v>117.78</v>
      </c>
      <c r="AR33" s="5">
        <v>47.9</v>
      </c>
      <c r="AS33" s="5">
        <v>46.85</v>
      </c>
      <c r="AT33" s="5">
        <v>45.79</v>
      </c>
      <c r="AU33" s="5">
        <v>44.73</v>
      </c>
      <c r="AV33" s="37">
        <v>29</v>
      </c>
      <c r="AW33" s="30">
        <v>34.54</v>
      </c>
      <c r="AX33" s="30">
        <v>35.29</v>
      </c>
      <c r="AY33" s="30">
        <v>36.03</v>
      </c>
      <c r="AZ33" s="30">
        <v>36.78</v>
      </c>
      <c r="BA33" s="30">
        <v>37.520000000000003</v>
      </c>
      <c r="BB33" s="30">
        <v>38.270000000000003</v>
      </c>
      <c r="BC33" s="30">
        <v>39.01</v>
      </c>
      <c r="BD33" s="30">
        <v>39.76</v>
      </c>
      <c r="BE33" s="31">
        <v>40.5</v>
      </c>
      <c r="BF33" s="60">
        <v>41.25</v>
      </c>
      <c r="BG33" s="60">
        <v>41.99</v>
      </c>
      <c r="BH33" s="66">
        <v>42.74</v>
      </c>
      <c r="BI33" s="31">
        <v>43.48</v>
      </c>
      <c r="BJ33" s="34">
        <v>44.23</v>
      </c>
      <c r="BK33" s="32">
        <v>44.97</v>
      </c>
      <c r="BL33" s="5">
        <v>45.72</v>
      </c>
      <c r="BM33" s="5">
        <v>46.46</v>
      </c>
      <c r="BN33" s="5">
        <v>47.21</v>
      </c>
      <c r="BO33" s="5">
        <v>47.96</v>
      </c>
      <c r="BP33" s="5">
        <v>48.7</v>
      </c>
      <c r="BQ33" s="5">
        <v>49.45</v>
      </c>
      <c r="BR33" s="144">
        <v>50.19</v>
      </c>
      <c r="BS33" s="144">
        <v>50.94</v>
      </c>
      <c r="BT33" s="144">
        <v>51.68</v>
      </c>
      <c r="BU33" s="144">
        <v>52.43</v>
      </c>
      <c r="BV33" s="144">
        <v>53.17</v>
      </c>
      <c r="BW33" s="5">
        <v>30.71</v>
      </c>
      <c r="BX33" s="5">
        <v>29.97</v>
      </c>
      <c r="BY33" s="5">
        <v>29.22</v>
      </c>
      <c r="BZ33" s="5">
        <v>28.48</v>
      </c>
    </row>
    <row r="34" spans="1:78" x14ac:dyDescent="0.45">
      <c r="A34" s="119" t="s">
        <v>491</v>
      </c>
      <c r="B34" s="30">
        <v>65.16</v>
      </c>
      <c r="C34" s="79">
        <v>91.22</v>
      </c>
      <c r="D34" s="30">
        <v>66.25</v>
      </c>
      <c r="E34" s="79">
        <v>92.75</v>
      </c>
      <c r="F34" s="30">
        <v>67.34</v>
      </c>
      <c r="G34" s="86">
        <v>94.28</v>
      </c>
      <c r="H34" s="31">
        <v>68.430000000000007</v>
      </c>
      <c r="I34" s="92">
        <v>95.81</v>
      </c>
      <c r="J34" s="60">
        <v>69.53</v>
      </c>
      <c r="K34" s="98">
        <v>97.34</v>
      </c>
      <c r="L34" s="60">
        <v>70.62</v>
      </c>
      <c r="M34" s="98">
        <v>98.86</v>
      </c>
      <c r="N34" s="66">
        <v>71.709999999999994</v>
      </c>
      <c r="O34" s="104">
        <v>100.39</v>
      </c>
      <c r="P34" s="31">
        <v>72.8</v>
      </c>
      <c r="Q34" s="92">
        <v>101.92</v>
      </c>
      <c r="R34" s="31">
        <v>73.89</v>
      </c>
      <c r="S34" s="110">
        <v>103.45</v>
      </c>
      <c r="T34" s="32">
        <v>74.989999999999995</v>
      </c>
      <c r="U34" s="45">
        <v>104.98</v>
      </c>
      <c r="V34" s="5">
        <v>76.08</v>
      </c>
      <c r="W34" s="45">
        <v>106.51</v>
      </c>
      <c r="X34" s="5">
        <v>77.17</v>
      </c>
      <c r="Y34" s="126">
        <v>108.04</v>
      </c>
      <c r="Z34" s="5">
        <v>78.260000000000005</v>
      </c>
      <c r="AA34" s="126">
        <v>109.56</v>
      </c>
      <c r="AB34" s="5">
        <v>79.349999999999994</v>
      </c>
      <c r="AC34" s="134">
        <v>111.09</v>
      </c>
      <c r="AD34" s="5">
        <v>80.45</v>
      </c>
      <c r="AE34" s="134">
        <v>112.62</v>
      </c>
      <c r="AF34" s="5">
        <v>81.540000000000006</v>
      </c>
      <c r="AG34" s="134">
        <v>114.15</v>
      </c>
      <c r="AH34" s="144">
        <v>82.63</v>
      </c>
      <c r="AI34" s="134">
        <v>115.68</v>
      </c>
      <c r="AJ34" s="144">
        <v>83.72</v>
      </c>
      <c r="AK34" s="134">
        <v>117.21</v>
      </c>
      <c r="AL34" s="144">
        <v>84.81</v>
      </c>
      <c r="AM34" s="134">
        <v>118.74</v>
      </c>
      <c r="AN34" s="144">
        <v>85.91</v>
      </c>
      <c r="AO34" s="144">
        <v>120.27</v>
      </c>
      <c r="AP34" s="5">
        <v>87</v>
      </c>
      <c r="AQ34" s="120">
        <v>121.8</v>
      </c>
      <c r="AR34" s="5">
        <v>49.53</v>
      </c>
      <c r="AS34" s="5">
        <v>48.44</v>
      </c>
      <c r="AT34" s="5">
        <v>47.35</v>
      </c>
      <c r="AU34" s="5">
        <v>46.26</v>
      </c>
      <c r="AV34" s="37">
        <v>30</v>
      </c>
      <c r="AW34" s="30">
        <v>35.71</v>
      </c>
      <c r="AX34" s="30">
        <v>36.479999999999997</v>
      </c>
      <c r="AY34" s="30">
        <v>37.25</v>
      </c>
      <c r="AZ34" s="30">
        <v>38.03</v>
      </c>
      <c r="BA34" s="30">
        <v>38.799999999999997</v>
      </c>
      <c r="BB34" s="30">
        <v>39.57</v>
      </c>
      <c r="BC34" s="30">
        <v>40.340000000000003</v>
      </c>
      <c r="BD34" s="30">
        <v>41.11</v>
      </c>
      <c r="BE34" s="31">
        <v>41.88</v>
      </c>
      <c r="BF34" s="60">
        <v>42.65</v>
      </c>
      <c r="BG34" s="60">
        <v>43.42</v>
      </c>
      <c r="BH34" s="66">
        <v>44.19</v>
      </c>
      <c r="BI34" s="31">
        <v>44.96</v>
      </c>
      <c r="BJ34" s="34">
        <v>45.74</v>
      </c>
      <c r="BK34" s="32">
        <v>46.51</v>
      </c>
      <c r="BL34" s="5">
        <v>47.28</v>
      </c>
      <c r="BM34" s="5">
        <v>48.05</v>
      </c>
      <c r="BN34" s="5">
        <v>48.82</v>
      </c>
      <c r="BO34" s="5">
        <v>49.59</v>
      </c>
      <c r="BP34" s="5">
        <v>50.36</v>
      </c>
      <c r="BQ34" s="5">
        <v>51.13</v>
      </c>
      <c r="BR34" s="144">
        <v>51.9</v>
      </c>
      <c r="BS34" s="144">
        <v>52.67</v>
      </c>
      <c r="BT34" s="144">
        <v>53.45</v>
      </c>
      <c r="BU34" s="144">
        <v>54.22</v>
      </c>
      <c r="BV34" s="144">
        <v>54.99</v>
      </c>
      <c r="BW34" s="5">
        <v>31.76</v>
      </c>
      <c r="BX34" s="5">
        <v>30.99</v>
      </c>
      <c r="BY34" s="5">
        <v>30.22</v>
      </c>
      <c r="BZ34" s="5">
        <v>29.45</v>
      </c>
    </row>
    <row r="35" spans="1:78" x14ac:dyDescent="0.45">
      <c r="A35" s="119" t="s">
        <v>492</v>
      </c>
      <c r="B35" s="30">
        <v>67.27</v>
      </c>
      <c r="C35" s="79">
        <v>94.18</v>
      </c>
      <c r="D35" s="30">
        <v>68.400000000000006</v>
      </c>
      <c r="E35" s="79">
        <v>95.76</v>
      </c>
      <c r="F35" s="30">
        <v>69.53</v>
      </c>
      <c r="G35" s="86">
        <v>97.34</v>
      </c>
      <c r="H35" s="31">
        <v>70.66</v>
      </c>
      <c r="I35" s="92">
        <v>98.92</v>
      </c>
      <c r="J35" s="60">
        <v>71.790000000000006</v>
      </c>
      <c r="K35" s="98">
        <v>100.5</v>
      </c>
      <c r="L35" s="60">
        <v>72.92</v>
      </c>
      <c r="M35" s="98">
        <v>102.08</v>
      </c>
      <c r="N35" s="66">
        <v>74.05</v>
      </c>
      <c r="O35" s="104">
        <v>103.66</v>
      </c>
      <c r="P35" s="31">
        <v>75.17</v>
      </c>
      <c r="Q35" s="92">
        <v>105.24</v>
      </c>
      <c r="R35" s="31">
        <v>76.3</v>
      </c>
      <c r="S35" s="110">
        <v>106.82</v>
      </c>
      <c r="T35" s="32">
        <v>77.430000000000007</v>
      </c>
      <c r="U35" s="45">
        <v>108.4</v>
      </c>
      <c r="V35" s="5">
        <v>78.56</v>
      </c>
      <c r="W35" s="45">
        <v>109.98</v>
      </c>
      <c r="X35" s="5">
        <v>79.69</v>
      </c>
      <c r="Y35" s="126">
        <v>111.56</v>
      </c>
      <c r="Z35" s="5">
        <v>80.819999999999993</v>
      </c>
      <c r="AA35" s="126">
        <v>113.15</v>
      </c>
      <c r="AB35" s="5">
        <v>81.94</v>
      </c>
      <c r="AC35" s="134">
        <v>114.72</v>
      </c>
      <c r="AD35" s="5">
        <v>83.07</v>
      </c>
      <c r="AE35" s="134">
        <v>116.3</v>
      </c>
      <c r="AF35" s="5">
        <v>84.2</v>
      </c>
      <c r="AG35" s="134">
        <v>117.88</v>
      </c>
      <c r="AH35" s="144">
        <v>85.33</v>
      </c>
      <c r="AI35" s="134">
        <v>119.46</v>
      </c>
      <c r="AJ35" s="144">
        <v>86.46</v>
      </c>
      <c r="AK35" s="134">
        <v>121.04</v>
      </c>
      <c r="AL35" s="144">
        <v>87.59</v>
      </c>
      <c r="AM35" s="134">
        <v>122.62</v>
      </c>
      <c r="AN35" s="144">
        <v>88.71</v>
      </c>
      <c r="AO35" s="144">
        <v>124.2</v>
      </c>
      <c r="AP35" s="5">
        <v>89.84</v>
      </c>
      <c r="AQ35" s="120">
        <v>125.78</v>
      </c>
      <c r="AR35" s="5">
        <v>51.15</v>
      </c>
      <c r="AS35" s="5">
        <v>50.03</v>
      </c>
      <c r="AT35" s="5">
        <v>48.9</v>
      </c>
      <c r="AU35" s="5">
        <v>47.77</v>
      </c>
      <c r="AV35" s="37">
        <v>31</v>
      </c>
      <c r="AW35" s="30">
        <v>36.880000000000003</v>
      </c>
      <c r="AX35" s="30">
        <v>37.68</v>
      </c>
      <c r="AY35" s="30">
        <v>38.47</v>
      </c>
      <c r="AZ35" s="30">
        <v>39.270000000000003</v>
      </c>
      <c r="BA35" s="30">
        <v>40.07</v>
      </c>
      <c r="BB35" s="30">
        <v>40.86</v>
      </c>
      <c r="BC35" s="30">
        <v>41.66</v>
      </c>
      <c r="BD35" s="30">
        <v>42.46</v>
      </c>
      <c r="BE35" s="31">
        <v>43.25</v>
      </c>
      <c r="BF35" s="60">
        <v>44.05</v>
      </c>
      <c r="BG35" s="60">
        <v>44.85</v>
      </c>
      <c r="BH35" s="66">
        <v>45.64</v>
      </c>
      <c r="BI35" s="31">
        <v>46.44</v>
      </c>
      <c r="BJ35" s="34">
        <v>47.24</v>
      </c>
      <c r="BK35" s="32">
        <v>48.03</v>
      </c>
      <c r="BL35" s="5">
        <v>48.83</v>
      </c>
      <c r="BM35" s="5">
        <v>49.63</v>
      </c>
      <c r="BN35" s="5">
        <v>50.42</v>
      </c>
      <c r="BO35" s="5">
        <v>51.22</v>
      </c>
      <c r="BP35" s="5">
        <v>52.02</v>
      </c>
      <c r="BQ35" s="5">
        <v>52.81</v>
      </c>
      <c r="BR35" s="144">
        <v>53.61</v>
      </c>
      <c r="BS35" s="144">
        <v>54.41</v>
      </c>
      <c r="BT35" s="144">
        <v>55.21</v>
      </c>
      <c r="BU35" s="144">
        <v>56</v>
      </c>
      <c r="BV35" s="144">
        <v>56.8</v>
      </c>
      <c r="BW35" s="5">
        <v>32.81</v>
      </c>
      <c r="BX35" s="5">
        <v>32.01</v>
      </c>
      <c r="BY35" s="5">
        <v>31.21</v>
      </c>
      <c r="BZ35" s="5">
        <v>30.42</v>
      </c>
    </row>
    <row r="36" spans="1:78" x14ac:dyDescent="0.45">
      <c r="A36" s="119" t="s">
        <v>493</v>
      </c>
      <c r="B36" s="38">
        <v>69.42</v>
      </c>
      <c r="C36" s="80">
        <v>97.190000000000012</v>
      </c>
      <c r="D36" s="38">
        <v>70.58</v>
      </c>
      <c r="E36" s="80">
        <v>98.82</v>
      </c>
      <c r="F36" s="38">
        <v>71.75</v>
      </c>
      <c r="G36" s="87">
        <v>100.45</v>
      </c>
      <c r="H36" s="39">
        <v>72.91</v>
      </c>
      <c r="I36" s="93">
        <v>102.08</v>
      </c>
      <c r="J36" s="61">
        <v>74.08</v>
      </c>
      <c r="K36" s="99">
        <v>103.71</v>
      </c>
      <c r="L36" s="61">
        <v>75.239999999999995</v>
      </c>
      <c r="M36" s="99">
        <v>105.34</v>
      </c>
      <c r="N36" s="67">
        <v>76.41</v>
      </c>
      <c r="O36" s="105">
        <v>106.97</v>
      </c>
      <c r="P36" s="39">
        <v>77.569999999999993</v>
      </c>
      <c r="Q36" s="93">
        <v>108.6</v>
      </c>
      <c r="R36" s="39">
        <v>78.739999999999995</v>
      </c>
      <c r="S36" s="111">
        <v>110.23</v>
      </c>
      <c r="T36" s="40">
        <v>79.900000000000006</v>
      </c>
      <c r="U36" s="45">
        <v>111.86</v>
      </c>
      <c r="V36" s="5">
        <v>81.069999999999993</v>
      </c>
      <c r="W36" s="45">
        <v>113.49</v>
      </c>
      <c r="X36" s="5">
        <v>82.23</v>
      </c>
      <c r="Y36" s="126">
        <v>115.12</v>
      </c>
      <c r="Z36" s="5">
        <v>83.4</v>
      </c>
      <c r="AA36" s="126">
        <v>116.76</v>
      </c>
      <c r="AB36" s="5">
        <v>84.56</v>
      </c>
      <c r="AC36" s="134">
        <v>118.38</v>
      </c>
      <c r="AD36" s="5">
        <v>85.73</v>
      </c>
      <c r="AE36" s="134">
        <v>120.02</v>
      </c>
      <c r="AF36" s="5">
        <v>86.89</v>
      </c>
      <c r="AG36" s="134">
        <v>121.65</v>
      </c>
      <c r="AH36" s="144">
        <v>88.05</v>
      </c>
      <c r="AI36" s="134">
        <v>123.28</v>
      </c>
      <c r="AJ36" s="144">
        <v>89.22</v>
      </c>
      <c r="AK36" s="134">
        <v>124.91</v>
      </c>
      <c r="AL36" s="144">
        <v>90.38</v>
      </c>
      <c r="AM36" s="134">
        <v>126.54</v>
      </c>
      <c r="AN36" s="144">
        <v>91.55</v>
      </c>
      <c r="AO36" s="144">
        <v>128.16999999999999</v>
      </c>
      <c r="AP36" s="5">
        <v>92.71</v>
      </c>
      <c r="AQ36" s="120">
        <v>129.80000000000001</v>
      </c>
      <c r="AR36" s="5">
        <v>52.79</v>
      </c>
      <c r="AS36" s="5">
        <v>51.62</v>
      </c>
      <c r="AT36" s="5">
        <v>50.46</v>
      </c>
      <c r="AU36" s="5">
        <v>49.29</v>
      </c>
      <c r="AV36" s="37">
        <v>32</v>
      </c>
      <c r="AW36" s="38">
        <v>38.049999999999997</v>
      </c>
      <c r="AX36" s="38">
        <v>38.869999999999997</v>
      </c>
      <c r="AY36" s="38">
        <v>39.69</v>
      </c>
      <c r="AZ36" s="38">
        <v>40.520000000000003</v>
      </c>
      <c r="BA36" s="38">
        <v>41.34</v>
      </c>
      <c r="BB36" s="38">
        <v>42.16</v>
      </c>
      <c r="BC36" s="38">
        <v>42.98</v>
      </c>
      <c r="BD36" s="38">
        <v>43.81</v>
      </c>
      <c r="BE36" s="39">
        <v>44.63</v>
      </c>
      <c r="BF36" s="60">
        <v>45.45</v>
      </c>
      <c r="BG36" s="61">
        <v>46.27</v>
      </c>
      <c r="BH36" s="67">
        <v>47.1</v>
      </c>
      <c r="BI36" s="39">
        <v>47.92</v>
      </c>
      <c r="BJ36" s="34">
        <v>48.74</v>
      </c>
      <c r="BK36" s="40">
        <v>49.56</v>
      </c>
      <c r="BL36" s="5">
        <v>50.39</v>
      </c>
      <c r="BM36" s="5">
        <v>51.21</v>
      </c>
      <c r="BN36" s="5">
        <v>52.03</v>
      </c>
      <c r="BO36" s="5">
        <v>52.85</v>
      </c>
      <c r="BP36" s="5">
        <v>53.68</v>
      </c>
      <c r="BQ36" s="5">
        <v>54.5</v>
      </c>
      <c r="BR36" s="144">
        <v>55.32</v>
      </c>
      <c r="BS36" s="144">
        <v>56.14</v>
      </c>
      <c r="BT36" s="144">
        <v>56.97</v>
      </c>
      <c r="BU36" s="144">
        <v>57.79</v>
      </c>
      <c r="BV36" s="144">
        <v>58.61</v>
      </c>
      <c r="BW36" s="5">
        <v>33.85</v>
      </c>
      <c r="BX36" s="5">
        <v>33.03</v>
      </c>
      <c r="BY36" s="5">
        <v>32.21</v>
      </c>
      <c r="BZ36" s="5">
        <v>31.38</v>
      </c>
    </row>
    <row r="37" spans="1:78" x14ac:dyDescent="0.45">
      <c r="A37" s="119" t="s">
        <v>494</v>
      </c>
      <c r="B37" s="41">
        <v>71.55</v>
      </c>
      <c r="C37" s="81">
        <v>100.17</v>
      </c>
      <c r="D37" s="41">
        <v>72.75</v>
      </c>
      <c r="E37" s="81">
        <v>101.85</v>
      </c>
      <c r="F37" s="41">
        <v>73.95</v>
      </c>
      <c r="G37" s="88">
        <v>103.53</v>
      </c>
      <c r="H37" s="42">
        <v>75.150000000000006</v>
      </c>
      <c r="I37" s="94">
        <v>105.21</v>
      </c>
      <c r="J37" s="62">
        <v>76.349999999999994</v>
      </c>
      <c r="K37" s="100">
        <v>106.89</v>
      </c>
      <c r="L37" s="62">
        <v>77.55</v>
      </c>
      <c r="M37" s="100">
        <v>108.58</v>
      </c>
      <c r="N37" s="68">
        <v>78.760000000000005</v>
      </c>
      <c r="O37" s="106">
        <v>110.26</v>
      </c>
      <c r="P37" s="42">
        <v>79.959999999999994</v>
      </c>
      <c r="Q37" s="94">
        <v>111.94</v>
      </c>
      <c r="R37" s="42">
        <v>81.16</v>
      </c>
      <c r="S37" s="112">
        <v>113.62</v>
      </c>
      <c r="T37" s="43">
        <v>82.36</v>
      </c>
      <c r="U37" s="45">
        <v>115.3</v>
      </c>
      <c r="V37" s="5">
        <v>83.56</v>
      </c>
      <c r="W37" s="45">
        <v>116.98</v>
      </c>
      <c r="X37" s="5">
        <v>84.76</v>
      </c>
      <c r="Y37" s="126">
        <v>118.67</v>
      </c>
      <c r="Z37" s="5">
        <v>85.96</v>
      </c>
      <c r="AA37" s="126">
        <v>120.34</v>
      </c>
      <c r="AB37" s="5">
        <v>87.16</v>
      </c>
      <c r="AC37" s="134">
        <v>122.03</v>
      </c>
      <c r="AD37" s="5">
        <v>88.37</v>
      </c>
      <c r="AE37" s="134">
        <v>123.71</v>
      </c>
      <c r="AF37" s="5">
        <v>89.57</v>
      </c>
      <c r="AG37" s="134">
        <v>125.39</v>
      </c>
      <c r="AH37" s="144">
        <v>90.77</v>
      </c>
      <c r="AI37" s="134">
        <v>127.07</v>
      </c>
      <c r="AJ37" s="144">
        <v>91.97</v>
      </c>
      <c r="AK37" s="134">
        <v>128.76</v>
      </c>
      <c r="AL37" s="144">
        <v>93.17</v>
      </c>
      <c r="AM37" s="134">
        <v>130.44</v>
      </c>
      <c r="AN37" s="144">
        <v>94.37</v>
      </c>
      <c r="AO37" s="144">
        <v>132.12</v>
      </c>
      <c r="AP37" s="5">
        <v>95.57</v>
      </c>
      <c r="AQ37" s="120">
        <v>133.80000000000001</v>
      </c>
      <c r="AR37" s="5">
        <v>54.42</v>
      </c>
      <c r="AS37" s="5">
        <v>53.21</v>
      </c>
      <c r="AT37" s="5">
        <v>52.01</v>
      </c>
      <c r="AU37" s="5">
        <v>50.81</v>
      </c>
      <c r="AV37" s="37">
        <v>33</v>
      </c>
      <c r="AW37" s="41">
        <v>39.22</v>
      </c>
      <c r="AX37" s="41">
        <v>40.07</v>
      </c>
      <c r="AY37" s="41">
        <v>40.92</v>
      </c>
      <c r="AZ37" s="41">
        <v>41.76</v>
      </c>
      <c r="BA37" s="41">
        <v>42.61</v>
      </c>
      <c r="BB37" s="41">
        <v>43.46</v>
      </c>
      <c r="BC37" s="41">
        <v>44.31</v>
      </c>
      <c r="BD37" s="41">
        <v>45.16</v>
      </c>
      <c r="BE37" s="42">
        <v>46</v>
      </c>
      <c r="BF37" s="61">
        <v>46.85</v>
      </c>
      <c r="BG37" s="62">
        <v>47.7</v>
      </c>
      <c r="BH37" s="68">
        <v>48.55</v>
      </c>
      <c r="BI37" s="42">
        <v>49.4</v>
      </c>
      <c r="BJ37" s="34">
        <v>50.24</v>
      </c>
      <c r="BK37" s="43">
        <v>51.09</v>
      </c>
      <c r="BL37" s="5">
        <v>51.94</v>
      </c>
      <c r="BM37" s="5">
        <v>52.79</v>
      </c>
      <c r="BN37" s="5">
        <v>53.64</v>
      </c>
      <c r="BO37" s="5">
        <v>54.49</v>
      </c>
      <c r="BP37" s="5">
        <v>55.33</v>
      </c>
      <c r="BQ37" s="5">
        <v>56.18</v>
      </c>
      <c r="BR37" s="144">
        <v>57.03</v>
      </c>
      <c r="BS37" s="144">
        <v>57.88</v>
      </c>
      <c r="BT37" s="144">
        <v>58.73</v>
      </c>
      <c r="BU37" s="144">
        <v>59.57</v>
      </c>
      <c r="BV37" s="144">
        <v>60.42</v>
      </c>
      <c r="BW37" s="5">
        <v>34.9</v>
      </c>
      <c r="BX37" s="5">
        <v>34.049999999999997</v>
      </c>
      <c r="BY37" s="5">
        <v>33.200000000000003</v>
      </c>
      <c r="BZ37" s="5">
        <v>32.35</v>
      </c>
    </row>
    <row r="38" spans="1:78" x14ac:dyDescent="0.45">
      <c r="A38" s="119" t="s">
        <v>495</v>
      </c>
      <c r="B38" s="41">
        <v>73.680000000000007</v>
      </c>
      <c r="C38" s="81">
        <v>103.16</v>
      </c>
      <c r="D38" s="41">
        <v>74.92</v>
      </c>
      <c r="E38" s="81">
        <v>104.89</v>
      </c>
      <c r="F38" s="41">
        <v>76.16</v>
      </c>
      <c r="G38" s="88">
        <v>106.62</v>
      </c>
      <c r="H38" s="42">
        <v>77.400000000000006</v>
      </c>
      <c r="I38" s="94">
        <v>108.35</v>
      </c>
      <c r="J38" s="62">
        <v>78.63</v>
      </c>
      <c r="K38" s="100">
        <v>110.09</v>
      </c>
      <c r="L38" s="62">
        <v>79.87</v>
      </c>
      <c r="M38" s="100">
        <v>111.82</v>
      </c>
      <c r="N38" s="68">
        <v>81.11</v>
      </c>
      <c r="O38" s="106">
        <v>113.55</v>
      </c>
      <c r="P38" s="42">
        <v>82.35</v>
      </c>
      <c r="Q38" s="94">
        <v>115.28</v>
      </c>
      <c r="R38" s="42">
        <v>83.58</v>
      </c>
      <c r="S38" s="112">
        <v>117.02</v>
      </c>
      <c r="T38" s="43">
        <v>84.82</v>
      </c>
      <c r="U38" s="45">
        <v>118.75</v>
      </c>
      <c r="V38" s="5">
        <v>86.06</v>
      </c>
      <c r="W38" s="45">
        <v>120.48</v>
      </c>
      <c r="X38" s="5">
        <v>87.3</v>
      </c>
      <c r="Y38" s="126">
        <v>122.22</v>
      </c>
      <c r="Z38" s="5">
        <v>88.53</v>
      </c>
      <c r="AA38" s="126">
        <v>123.94</v>
      </c>
      <c r="AB38" s="5">
        <v>89.77</v>
      </c>
      <c r="AC38" s="134">
        <v>125.68</v>
      </c>
      <c r="AD38" s="5">
        <v>91.01</v>
      </c>
      <c r="AE38" s="134">
        <v>127.41</v>
      </c>
      <c r="AF38" s="5">
        <v>92.25</v>
      </c>
      <c r="AG38" s="134">
        <v>129.15</v>
      </c>
      <c r="AH38" s="144">
        <v>93.48</v>
      </c>
      <c r="AI38" s="134">
        <v>130.88</v>
      </c>
      <c r="AJ38" s="144">
        <v>94.72</v>
      </c>
      <c r="AK38" s="134">
        <v>132.61000000000001</v>
      </c>
      <c r="AL38" s="144">
        <v>95.96</v>
      </c>
      <c r="AM38" s="134">
        <v>134.34</v>
      </c>
      <c r="AN38" s="144">
        <v>97.2</v>
      </c>
      <c r="AO38" s="144">
        <v>136.08000000000001</v>
      </c>
      <c r="AP38" s="5">
        <v>98.44</v>
      </c>
      <c r="AQ38" s="120">
        <v>137.81</v>
      </c>
      <c r="AR38" s="5">
        <v>56.04</v>
      </c>
      <c r="AS38" s="5">
        <v>54.81</v>
      </c>
      <c r="AT38" s="5">
        <v>53.57</v>
      </c>
      <c r="AU38" s="5">
        <v>52.33</v>
      </c>
      <c r="AV38" s="37">
        <v>34</v>
      </c>
      <c r="AW38" s="41">
        <v>40.39</v>
      </c>
      <c r="AX38" s="41">
        <v>41.26</v>
      </c>
      <c r="AY38" s="41">
        <v>42.14</v>
      </c>
      <c r="AZ38" s="41">
        <v>43.01</v>
      </c>
      <c r="BA38" s="41">
        <v>43.88</v>
      </c>
      <c r="BB38" s="41">
        <v>44.76</v>
      </c>
      <c r="BC38" s="41">
        <v>45.63</v>
      </c>
      <c r="BD38" s="41">
        <v>46.51</v>
      </c>
      <c r="BE38" s="42">
        <v>47.38</v>
      </c>
      <c r="BF38" s="62">
        <v>48.25</v>
      </c>
      <c r="BG38" s="62">
        <v>49.13</v>
      </c>
      <c r="BH38" s="68">
        <v>50</v>
      </c>
      <c r="BI38" s="42">
        <v>50.87</v>
      </c>
      <c r="BJ38" s="34">
        <v>51.75</v>
      </c>
      <c r="BK38" s="43">
        <v>52.62</v>
      </c>
      <c r="BL38" s="5">
        <v>53.5</v>
      </c>
      <c r="BM38" s="5">
        <v>54.37</v>
      </c>
      <c r="BN38" s="5">
        <v>55.24</v>
      </c>
      <c r="BO38" s="5">
        <v>56.12</v>
      </c>
      <c r="BP38" s="5">
        <v>56.99</v>
      </c>
      <c r="BQ38" s="5">
        <v>57.86</v>
      </c>
      <c r="BR38" s="144">
        <v>58.74</v>
      </c>
      <c r="BS38" s="144">
        <v>59.61</v>
      </c>
      <c r="BT38" s="144">
        <v>60.49</v>
      </c>
      <c r="BU38" s="144">
        <v>61.36</v>
      </c>
      <c r="BV38" s="144">
        <v>62.23</v>
      </c>
      <c r="BW38" s="5">
        <v>35.94</v>
      </c>
      <c r="BX38" s="5">
        <v>35.07</v>
      </c>
      <c r="BY38" s="5">
        <v>34.19</v>
      </c>
      <c r="BZ38" s="5">
        <v>33.32</v>
      </c>
    </row>
    <row r="39" spans="1:78" x14ac:dyDescent="0.45">
      <c r="A39" s="119" t="s">
        <v>496</v>
      </c>
      <c r="B39" s="41">
        <v>75.8</v>
      </c>
      <c r="C39" s="81">
        <v>106.12</v>
      </c>
      <c r="D39" s="41">
        <v>77.069999999999993</v>
      </c>
      <c r="E39" s="81">
        <v>107.9</v>
      </c>
      <c r="F39" s="41">
        <v>78.349999999999994</v>
      </c>
      <c r="G39" s="88">
        <v>109.68</v>
      </c>
      <c r="H39" s="42">
        <v>79.62</v>
      </c>
      <c r="I39" s="94">
        <v>111.47</v>
      </c>
      <c r="J39" s="62">
        <v>80.89</v>
      </c>
      <c r="K39" s="100">
        <v>113.25</v>
      </c>
      <c r="L39" s="62">
        <v>82.17</v>
      </c>
      <c r="M39" s="100">
        <v>115.03</v>
      </c>
      <c r="N39" s="68">
        <v>83.44</v>
      </c>
      <c r="O39" s="106">
        <v>116.82</v>
      </c>
      <c r="P39" s="42">
        <v>84.72</v>
      </c>
      <c r="Q39" s="94">
        <v>118.6</v>
      </c>
      <c r="R39" s="42">
        <v>85.99</v>
      </c>
      <c r="S39" s="112">
        <v>120.39</v>
      </c>
      <c r="T39" s="43">
        <v>87.26</v>
      </c>
      <c r="U39" s="45">
        <v>122.17</v>
      </c>
      <c r="V39" s="5">
        <v>88.54</v>
      </c>
      <c r="W39" s="45">
        <v>123.95</v>
      </c>
      <c r="X39" s="5">
        <v>89.81</v>
      </c>
      <c r="Y39" s="126">
        <v>125.74</v>
      </c>
      <c r="Z39" s="5">
        <v>91.09</v>
      </c>
      <c r="AA39" s="126">
        <v>127.53</v>
      </c>
      <c r="AB39" s="5">
        <v>92.36</v>
      </c>
      <c r="AC39" s="134">
        <v>129.30000000000001</v>
      </c>
      <c r="AD39" s="5">
        <v>93.63</v>
      </c>
      <c r="AE39" s="134">
        <v>131.09</v>
      </c>
      <c r="AF39" s="5">
        <v>94.91</v>
      </c>
      <c r="AG39" s="134">
        <v>132.87</v>
      </c>
      <c r="AH39" s="144">
        <v>96.18</v>
      </c>
      <c r="AI39" s="134">
        <v>134.65</v>
      </c>
      <c r="AJ39" s="144">
        <v>97.46</v>
      </c>
      <c r="AK39" s="134">
        <v>136.44</v>
      </c>
      <c r="AL39" s="144">
        <v>98.73</v>
      </c>
      <c r="AM39" s="134">
        <v>138.22</v>
      </c>
      <c r="AN39" s="144">
        <v>100</v>
      </c>
      <c r="AO39" s="144">
        <v>140</v>
      </c>
      <c r="AP39" s="5">
        <v>101.28</v>
      </c>
      <c r="AQ39" s="120">
        <v>141.79</v>
      </c>
      <c r="AR39" s="5">
        <v>57.66</v>
      </c>
      <c r="AS39" s="5">
        <v>56.39</v>
      </c>
      <c r="AT39" s="5">
        <v>55.11</v>
      </c>
      <c r="AU39" s="5">
        <v>53.84</v>
      </c>
      <c r="AV39" s="37">
        <v>35</v>
      </c>
      <c r="AW39" s="41">
        <v>41.56</v>
      </c>
      <c r="AX39" s="41">
        <v>42.46</v>
      </c>
      <c r="AY39" s="41">
        <v>43.36</v>
      </c>
      <c r="AZ39" s="41">
        <v>44.26</v>
      </c>
      <c r="BA39" s="41">
        <v>45.15</v>
      </c>
      <c r="BB39" s="41">
        <v>46.05</v>
      </c>
      <c r="BC39" s="41">
        <v>46.95</v>
      </c>
      <c r="BD39" s="41">
        <v>47.85</v>
      </c>
      <c r="BE39" s="42">
        <v>48.75</v>
      </c>
      <c r="BF39" s="62">
        <v>49.65</v>
      </c>
      <c r="BG39" s="62">
        <v>50.55</v>
      </c>
      <c r="BH39" s="68">
        <v>51.45</v>
      </c>
      <c r="BI39" s="42">
        <v>52.35</v>
      </c>
      <c r="BJ39" s="34">
        <v>53.25</v>
      </c>
      <c r="BK39" s="43">
        <v>54.15</v>
      </c>
      <c r="BL39" s="5">
        <v>55.05</v>
      </c>
      <c r="BM39" s="5">
        <v>55.95</v>
      </c>
      <c r="BN39" s="5">
        <v>56.85</v>
      </c>
      <c r="BO39" s="5">
        <v>57.75</v>
      </c>
      <c r="BP39" s="5">
        <v>58.65</v>
      </c>
      <c r="BQ39" s="5">
        <v>59.55</v>
      </c>
      <c r="BR39" s="144">
        <v>60.45</v>
      </c>
      <c r="BS39" s="144">
        <v>61.35</v>
      </c>
      <c r="BT39" s="144">
        <v>62.25</v>
      </c>
      <c r="BU39" s="144">
        <v>63.14</v>
      </c>
      <c r="BV39" s="144">
        <v>64.040000000000006</v>
      </c>
      <c r="BW39" s="5">
        <v>36.99</v>
      </c>
      <c r="BX39" s="5">
        <v>36.090000000000003</v>
      </c>
      <c r="BY39" s="5">
        <v>35.19</v>
      </c>
      <c r="BZ39" s="5">
        <v>34.29</v>
      </c>
    </row>
    <row r="40" spans="1:78" x14ac:dyDescent="0.45">
      <c r="A40" s="119" t="s">
        <v>497</v>
      </c>
      <c r="B40" s="41">
        <v>77.930000000000007</v>
      </c>
      <c r="C40" s="81">
        <v>109.11</v>
      </c>
      <c r="D40" s="41">
        <v>79.25</v>
      </c>
      <c r="E40" s="81">
        <v>110.94</v>
      </c>
      <c r="F40" s="41">
        <v>80.56</v>
      </c>
      <c r="G40" s="88">
        <v>112.78</v>
      </c>
      <c r="H40" s="42">
        <v>81.87</v>
      </c>
      <c r="I40" s="94">
        <v>114.61</v>
      </c>
      <c r="J40" s="62">
        <v>83.18</v>
      </c>
      <c r="K40" s="100">
        <v>116.45</v>
      </c>
      <c r="L40" s="62">
        <v>84.49</v>
      </c>
      <c r="M40" s="100">
        <v>118.28</v>
      </c>
      <c r="N40" s="68">
        <v>85.8</v>
      </c>
      <c r="O40" s="106">
        <v>120.12</v>
      </c>
      <c r="P40" s="42">
        <v>87.11</v>
      </c>
      <c r="Q40" s="94">
        <v>121.95</v>
      </c>
      <c r="R40" s="42">
        <v>88.42</v>
      </c>
      <c r="S40" s="112">
        <v>123.79</v>
      </c>
      <c r="T40" s="43">
        <v>89.73</v>
      </c>
      <c r="U40" s="45">
        <v>125.62</v>
      </c>
      <c r="V40" s="5">
        <v>91.04</v>
      </c>
      <c r="W40" s="45">
        <v>127.45</v>
      </c>
      <c r="X40" s="5">
        <v>92.35</v>
      </c>
      <c r="Y40" s="126">
        <v>129.29</v>
      </c>
      <c r="Z40" s="5">
        <v>93.66</v>
      </c>
      <c r="AA40" s="126">
        <v>131.12</v>
      </c>
      <c r="AB40" s="5">
        <v>94.97</v>
      </c>
      <c r="AC40" s="134">
        <v>132.96</v>
      </c>
      <c r="AD40" s="5">
        <v>96.28</v>
      </c>
      <c r="AE40" s="134">
        <v>134.79</v>
      </c>
      <c r="AF40" s="5">
        <v>97.59</v>
      </c>
      <c r="AG40" s="134">
        <v>136.63</v>
      </c>
      <c r="AH40" s="144">
        <v>98.9</v>
      </c>
      <c r="AI40" s="134">
        <v>138.46</v>
      </c>
      <c r="AJ40" s="144">
        <v>100.21</v>
      </c>
      <c r="AK40" s="134">
        <v>140.30000000000001</v>
      </c>
      <c r="AL40" s="144">
        <v>101.52</v>
      </c>
      <c r="AM40" s="134">
        <v>142.13</v>
      </c>
      <c r="AN40" s="144">
        <v>102.83</v>
      </c>
      <c r="AO40" s="144">
        <v>143.97</v>
      </c>
      <c r="AP40" s="5">
        <v>104.14</v>
      </c>
      <c r="AQ40" s="120">
        <v>145.80000000000001</v>
      </c>
      <c r="AR40" s="5">
        <v>59.29</v>
      </c>
      <c r="AS40" s="5">
        <v>57.98</v>
      </c>
      <c r="AT40" s="5">
        <v>56.67</v>
      </c>
      <c r="AU40" s="5">
        <v>55.36</v>
      </c>
      <c r="AV40" s="37">
        <v>36</v>
      </c>
      <c r="AW40" s="41">
        <v>42.73</v>
      </c>
      <c r="AX40" s="41">
        <v>43.66</v>
      </c>
      <c r="AY40" s="41">
        <v>44.58</v>
      </c>
      <c r="AZ40" s="41">
        <v>45.51</v>
      </c>
      <c r="BA40" s="41">
        <v>46.43</v>
      </c>
      <c r="BB40" s="41">
        <v>47.36</v>
      </c>
      <c r="BC40" s="41">
        <v>48.28</v>
      </c>
      <c r="BD40" s="41">
        <v>49.21</v>
      </c>
      <c r="BE40" s="42">
        <v>50.13</v>
      </c>
      <c r="BF40" s="62">
        <v>51.06</v>
      </c>
      <c r="BG40" s="62">
        <v>51.98</v>
      </c>
      <c r="BH40" s="68">
        <v>52.91</v>
      </c>
      <c r="BI40" s="42">
        <v>53.83</v>
      </c>
      <c r="BJ40" s="34">
        <v>54.76</v>
      </c>
      <c r="BK40" s="43">
        <v>55.68</v>
      </c>
      <c r="BL40" s="5">
        <v>56.61</v>
      </c>
      <c r="BM40" s="5">
        <v>57.53</v>
      </c>
      <c r="BN40" s="5">
        <v>58.46</v>
      </c>
      <c r="BO40" s="5">
        <v>59.38</v>
      </c>
      <c r="BP40" s="5">
        <v>60.31</v>
      </c>
      <c r="BQ40" s="5">
        <v>61.23</v>
      </c>
      <c r="BR40" s="144">
        <v>62.16</v>
      </c>
      <c r="BS40" s="144">
        <v>63.09</v>
      </c>
      <c r="BT40" s="144">
        <v>64.010000000000005</v>
      </c>
      <c r="BU40" s="144">
        <v>64.94</v>
      </c>
      <c r="BV40" s="144">
        <v>65.86</v>
      </c>
      <c r="BW40" s="5">
        <v>38.04</v>
      </c>
      <c r="BX40" s="5">
        <v>37.11</v>
      </c>
      <c r="BY40" s="5">
        <v>36.19</v>
      </c>
      <c r="BZ40" s="5">
        <v>35.26</v>
      </c>
    </row>
    <row r="41" spans="1:78" x14ac:dyDescent="0.45">
      <c r="A41" s="119" t="s">
        <v>498</v>
      </c>
      <c r="B41" s="41">
        <v>80.069999999999993</v>
      </c>
      <c r="C41" s="81">
        <v>112.1</v>
      </c>
      <c r="D41" s="41">
        <v>81.42</v>
      </c>
      <c r="E41" s="81">
        <v>113.99</v>
      </c>
      <c r="F41" s="41">
        <v>82.77</v>
      </c>
      <c r="G41" s="88">
        <v>115.87</v>
      </c>
      <c r="H41" s="42">
        <v>84.11</v>
      </c>
      <c r="I41" s="94">
        <v>117.76</v>
      </c>
      <c r="J41" s="62">
        <v>85.46</v>
      </c>
      <c r="K41" s="100">
        <v>119.364</v>
      </c>
      <c r="L41" s="62">
        <v>86.81</v>
      </c>
      <c r="M41" s="100">
        <v>121.53</v>
      </c>
      <c r="N41" s="68">
        <v>88.15</v>
      </c>
      <c r="O41" s="106">
        <v>123.41</v>
      </c>
      <c r="P41" s="42">
        <v>89.5</v>
      </c>
      <c r="Q41" s="94">
        <v>125.3</v>
      </c>
      <c r="R41" s="42">
        <v>90.85</v>
      </c>
      <c r="S41" s="112">
        <v>127.18</v>
      </c>
      <c r="T41" s="43">
        <v>92.19</v>
      </c>
      <c r="U41" s="45">
        <v>129.07</v>
      </c>
      <c r="V41" s="5">
        <v>93.54</v>
      </c>
      <c r="W41" s="45">
        <v>130.96</v>
      </c>
      <c r="X41" s="5">
        <v>94.89</v>
      </c>
      <c r="Y41" s="126">
        <v>132.84</v>
      </c>
      <c r="Z41" s="5">
        <v>96.23</v>
      </c>
      <c r="AA41" s="126">
        <v>134.72</v>
      </c>
      <c r="AB41" s="5">
        <v>97.58</v>
      </c>
      <c r="AC41" s="134">
        <v>136.61000000000001</v>
      </c>
      <c r="AD41" s="5">
        <v>98.93</v>
      </c>
      <c r="AE41" s="134">
        <v>138.5</v>
      </c>
      <c r="AF41" s="5">
        <v>100.27</v>
      </c>
      <c r="AG41" s="134">
        <v>140.38</v>
      </c>
      <c r="AH41" s="144">
        <v>101.62</v>
      </c>
      <c r="AI41" s="134">
        <v>142.27000000000001</v>
      </c>
      <c r="AJ41" s="144">
        <v>102.97</v>
      </c>
      <c r="AK41" s="134">
        <v>144.15</v>
      </c>
      <c r="AL41" s="144">
        <v>104.31</v>
      </c>
      <c r="AM41" s="134">
        <v>146.04</v>
      </c>
      <c r="AN41" s="144">
        <v>105.66</v>
      </c>
      <c r="AO41" s="144">
        <v>147.91999999999999</v>
      </c>
      <c r="AP41" s="5">
        <v>107.01</v>
      </c>
      <c r="AQ41" s="120">
        <v>149.81</v>
      </c>
      <c r="AR41" s="5">
        <v>60.92</v>
      </c>
      <c r="AS41" s="5">
        <v>59.58</v>
      </c>
      <c r="AT41" s="5">
        <v>58.23</v>
      </c>
      <c r="AU41" s="5">
        <v>56.88</v>
      </c>
      <c r="AV41" s="37">
        <v>37</v>
      </c>
      <c r="AW41" s="41">
        <v>43.9</v>
      </c>
      <c r="AX41" s="41">
        <v>44.85</v>
      </c>
      <c r="AY41" s="41">
        <v>45.8</v>
      </c>
      <c r="AZ41" s="41">
        <v>46.75</v>
      </c>
      <c r="BA41" s="41">
        <v>47.7</v>
      </c>
      <c r="BB41" s="41">
        <v>48.65</v>
      </c>
      <c r="BC41" s="41">
        <v>49.6</v>
      </c>
      <c r="BD41" s="41">
        <v>50.55</v>
      </c>
      <c r="BE41" s="42">
        <v>51.5</v>
      </c>
      <c r="BF41" s="62">
        <v>52.45</v>
      </c>
      <c r="BG41" s="62">
        <v>53.41</v>
      </c>
      <c r="BH41" s="68">
        <v>54.36</v>
      </c>
      <c r="BI41" s="42">
        <v>55.31</v>
      </c>
      <c r="BJ41" s="34">
        <v>56.26</v>
      </c>
      <c r="BK41" s="43">
        <v>57.21</v>
      </c>
      <c r="BL41" s="5">
        <v>58.16</v>
      </c>
      <c r="BM41" s="5">
        <v>59.11</v>
      </c>
      <c r="BN41" s="5">
        <v>60.06</v>
      </c>
      <c r="BO41" s="5">
        <v>61.01</v>
      </c>
      <c r="BP41" s="5">
        <v>61.96</v>
      </c>
      <c r="BQ41" s="5">
        <v>62.91</v>
      </c>
      <c r="BR41" s="144">
        <v>63.87</v>
      </c>
      <c r="BS41" s="144">
        <v>64.819999999999993</v>
      </c>
      <c r="BT41" s="144">
        <v>65.77</v>
      </c>
      <c r="BU41" s="144">
        <v>66.72</v>
      </c>
      <c r="BV41" s="144">
        <v>67.67</v>
      </c>
      <c r="BW41" s="5">
        <v>39.08</v>
      </c>
      <c r="BX41" s="5">
        <v>38.130000000000003</v>
      </c>
      <c r="BY41" s="5">
        <v>37.18</v>
      </c>
      <c r="BZ41" s="5">
        <v>36.229999999999997</v>
      </c>
    </row>
    <row r="42" spans="1:78" x14ac:dyDescent="0.45">
      <c r="A42" s="119" t="s">
        <v>499</v>
      </c>
      <c r="B42" s="41">
        <v>82.21</v>
      </c>
      <c r="C42" s="81">
        <v>115.09</v>
      </c>
      <c r="D42" s="41">
        <v>83.59</v>
      </c>
      <c r="E42" s="81">
        <v>117.02</v>
      </c>
      <c r="F42" s="41">
        <v>84.97</v>
      </c>
      <c r="G42" s="88">
        <v>118.96</v>
      </c>
      <c r="H42" s="42">
        <v>86.35</v>
      </c>
      <c r="I42" s="94">
        <v>120.9</v>
      </c>
      <c r="J42" s="62">
        <v>87.74</v>
      </c>
      <c r="K42" s="100">
        <v>122.83</v>
      </c>
      <c r="L42" s="62">
        <v>89.12</v>
      </c>
      <c r="M42" s="100">
        <v>124.77</v>
      </c>
      <c r="N42" s="68">
        <v>90.5</v>
      </c>
      <c r="O42" s="106">
        <v>126.71</v>
      </c>
      <c r="P42" s="42">
        <v>91.89</v>
      </c>
      <c r="Q42" s="94">
        <v>128.63999999999999</v>
      </c>
      <c r="R42" s="42">
        <v>93.27</v>
      </c>
      <c r="S42" s="112">
        <v>130.58000000000001</v>
      </c>
      <c r="T42" s="43">
        <v>94.65</v>
      </c>
      <c r="U42" s="45">
        <v>132.52000000000001</v>
      </c>
      <c r="V42" s="5">
        <v>96.04</v>
      </c>
      <c r="W42" s="45">
        <v>134.44999999999999</v>
      </c>
      <c r="X42" s="5">
        <v>97.42</v>
      </c>
      <c r="Y42" s="126">
        <v>136.38999999999999</v>
      </c>
      <c r="Z42" s="5">
        <v>98.8</v>
      </c>
      <c r="AA42" s="126">
        <v>138.32</v>
      </c>
      <c r="AB42" s="5">
        <v>100.19</v>
      </c>
      <c r="AC42" s="134">
        <v>140.26</v>
      </c>
      <c r="AD42" s="5">
        <v>101.57</v>
      </c>
      <c r="AE42" s="134">
        <v>142.19999999999999</v>
      </c>
      <c r="AF42" s="5">
        <v>102.95</v>
      </c>
      <c r="AG42" s="134">
        <v>144.13</v>
      </c>
      <c r="AH42" s="144">
        <v>104.34</v>
      </c>
      <c r="AI42" s="134">
        <v>146.07</v>
      </c>
      <c r="AJ42" s="144">
        <v>105.72</v>
      </c>
      <c r="AK42" s="134">
        <v>148.01</v>
      </c>
      <c r="AL42" s="144">
        <v>107.1</v>
      </c>
      <c r="AM42" s="134">
        <v>149.94</v>
      </c>
      <c r="AN42" s="144">
        <v>108.49</v>
      </c>
      <c r="AO42" s="144">
        <v>151.88</v>
      </c>
      <c r="AP42" s="5">
        <v>109.87</v>
      </c>
      <c r="AQ42" s="120">
        <v>153.82</v>
      </c>
      <c r="AR42" s="5">
        <v>62.55</v>
      </c>
      <c r="AS42" s="5">
        <v>61.17</v>
      </c>
      <c r="AT42" s="5">
        <v>59.79</v>
      </c>
      <c r="AU42" s="5">
        <v>58.4</v>
      </c>
      <c r="AV42" s="37">
        <v>38</v>
      </c>
      <c r="AW42" s="41">
        <v>45.07</v>
      </c>
      <c r="AX42" s="41">
        <v>46.04</v>
      </c>
      <c r="AY42" s="41">
        <v>47.02</v>
      </c>
      <c r="AZ42" s="41">
        <v>48</v>
      </c>
      <c r="BA42" s="41">
        <v>48.97</v>
      </c>
      <c r="BB42" s="41">
        <v>49.95</v>
      </c>
      <c r="BC42" s="41">
        <v>50.93</v>
      </c>
      <c r="BD42" s="41">
        <v>51.9</v>
      </c>
      <c r="BE42" s="42">
        <v>52.88</v>
      </c>
      <c r="BF42" s="62">
        <v>53.86</v>
      </c>
      <c r="BG42" s="62">
        <v>54.83</v>
      </c>
      <c r="BH42" s="68">
        <v>55.81</v>
      </c>
      <c r="BI42" s="42">
        <v>56.79</v>
      </c>
      <c r="BJ42" s="34">
        <v>57.76</v>
      </c>
      <c r="BK42" s="43">
        <v>58.74</v>
      </c>
      <c r="BL42" s="5">
        <v>59.72</v>
      </c>
      <c r="BM42" s="5">
        <v>60.69</v>
      </c>
      <c r="BN42" s="5">
        <v>61.67</v>
      </c>
      <c r="BO42" s="5">
        <v>62.65</v>
      </c>
      <c r="BP42" s="5">
        <v>63.62</v>
      </c>
      <c r="BQ42" s="5">
        <v>64.599999999999994</v>
      </c>
      <c r="BR42" s="144">
        <v>65.58</v>
      </c>
      <c r="BS42" s="144">
        <v>66.55</v>
      </c>
      <c r="BT42" s="144">
        <v>57.53</v>
      </c>
      <c r="BU42" s="144">
        <v>68.510000000000005</v>
      </c>
      <c r="BV42" s="144">
        <v>69.48</v>
      </c>
      <c r="BW42" s="5">
        <v>40.130000000000003</v>
      </c>
      <c r="BX42" s="5">
        <v>39.15</v>
      </c>
      <c r="BY42" s="5">
        <v>38.17</v>
      </c>
      <c r="BZ42" s="5">
        <v>37.200000000000003</v>
      </c>
    </row>
    <row r="43" spans="1:78" x14ac:dyDescent="0.45">
      <c r="A43" s="119" t="s">
        <v>500</v>
      </c>
      <c r="B43" s="41">
        <v>84.33</v>
      </c>
      <c r="C43" s="81">
        <v>118.07</v>
      </c>
      <c r="D43" s="41">
        <v>85.75</v>
      </c>
      <c r="E43" s="81">
        <v>120.05</v>
      </c>
      <c r="F43" s="41">
        <v>87.17</v>
      </c>
      <c r="G43" s="88">
        <v>122.04</v>
      </c>
      <c r="H43" s="42">
        <v>88.59</v>
      </c>
      <c r="I43" s="94">
        <v>124.03</v>
      </c>
      <c r="J43" s="62">
        <v>90.01</v>
      </c>
      <c r="K43" s="100">
        <v>126.02</v>
      </c>
      <c r="L43" s="62">
        <v>91.43</v>
      </c>
      <c r="M43" s="100">
        <v>128</v>
      </c>
      <c r="N43" s="68">
        <v>92.85</v>
      </c>
      <c r="O43" s="106">
        <v>129.99</v>
      </c>
      <c r="P43" s="42">
        <v>94.27</v>
      </c>
      <c r="Q43" s="94">
        <v>131.97999999999999</v>
      </c>
      <c r="R43" s="42">
        <v>95.69</v>
      </c>
      <c r="S43" s="112">
        <v>133.97</v>
      </c>
      <c r="T43" s="43">
        <v>97.11</v>
      </c>
      <c r="U43" s="45">
        <v>135.94999999999999</v>
      </c>
      <c r="V43" s="5">
        <v>98.53</v>
      </c>
      <c r="W43" s="45">
        <v>137.94</v>
      </c>
      <c r="X43" s="5">
        <v>99.95</v>
      </c>
      <c r="Y43" s="126">
        <v>139.93</v>
      </c>
      <c r="Z43" s="5">
        <v>101.37</v>
      </c>
      <c r="AA43" s="126">
        <v>141.91999999999999</v>
      </c>
      <c r="AB43" s="5">
        <v>102.79</v>
      </c>
      <c r="AC43" s="134">
        <v>143.9</v>
      </c>
      <c r="AD43" s="5">
        <v>104.21</v>
      </c>
      <c r="AE43" s="134">
        <v>145.88999999999999</v>
      </c>
      <c r="AF43" s="5">
        <v>105.63</v>
      </c>
      <c r="AG43" s="134">
        <v>147.88</v>
      </c>
      <c r="AH43" s="144">
        <v>107.05</v>
      </c>
      <c r="AI43" s="134">
        <v>149.87</v>
      </c>
      <c r="AJ43" s="144">
        <v>108.47</v>
      </c>
      <c r="AK43" s="134">
        <v>151.85</v>
      </c>
      <c r="AL43" s="144">
        <v>109.89</v>
      </c>
      <c r="AM43" s="134">
        <v>153.84</v>
      </c>
      <c r="AN43" s="144">
        <v>111.31</v>
      </c>
      <c r="AO43" s="144">
        <v>155.83000000000001</v>
      </c>
      <c r="AP43" s="5">
        <v>112.73</v>
      </c>
      <c r="AQ43" s="120">
        <v>157.82</v>
      </c>
      <c r="AR43" s="5">
        <v>64.180000000000007</v>
      </c>
      <c r="AS43" s="5">
        <v>62.76</v>
      </c>
      <c r="AT43" s="5">
        <v>61.34</v>
      </c>
      <c r="AU43" s="5">
        <v>59.92</v>
      </c>
      <c r="AV43" s="37">
        <v>39</v>
      </c>
      <c r="AW43" s="41">
        <v>46.24</v>
      </c>
      <c r="AX43" s="41">
        <v>47.25</v>
      </c>
      <c r="AY43" s="41">
        <v>48.25</v>
      </c>
      <c r="AZ43" s="41">
        <v>49.25</v>
      </c>
      <c r="BA43" s="41">
        <v>50.25</v>
      </c>
      <c r="BB43" s="41">
        <v>51.25</v>
      </c>
      <c r="BC43" s="41">
        <v>52.26</v>
      </c>
      <c r="BD43" s="41">
        <v>53.26</v>
      </c>
      <c r="BE43" s="42">
        <v>54.26</v>
      </c>
      <c r="BF43" s="62">
        <v>55.26</v>
      </c>
      <c r="BG43" s="62">
        <v>56.27</v>
      </c>
      <c r="BH43" s="68">
        <v>57.27</v>
      </c>
      <c r="BI43" s="42">
        <v>58.27</v>
      </c>
      <c r="BJ43" s="34">
        <v>59.27</v>
      </c>
      <c r="BK43" s="43">
        <v>60.28</v>
      </c>
      <c r="BL43" s="5">
        <v>61.28</v>
      </c>
      <c r="BM43" s="5">
        <v>62.28</v>
      </c>
      <c r="BN43" s="5">
        <v>63.28</v>
      </c>
      <c r="BO43" s="5">
        <v>64.28</v>
      </c>
      <c r="BP43" s="5">
        <v>65.290000000000006</v>
      </c>
      <c r="BQ43" s="5">
        <v>66.290000000000006</v>
      </c>
      <c r="BR43" s="144">
        <v>67.290000000000006</v>
      </c>
      <c r="BS43" s="144">
        <v>68.290000000000006</v>
      </c>
      <c r="BT43" s="144">
        <v>69.3</v>
      </c>
      <c r="BU43" s="144">
        <v>70.3</v>
      </c>
      <c r="BV43" s="144">
        <v>71.3</v>
      </c>
      <c r="BW43" s="5">
        <v>41.17</v>
      </c>
      <c r="BX43" s="5">
        <v>40.17</v>
      </c>
      <c r="BY43" s="5">
        <v>39.17</v>
      </c>
      <c r="BZ43" s="5">
        <v>38.17</v>
      </c>
    </row>
    <row r="44" spans="1:78" x14ac:dyDescent="0.45">
      <c r="A44" s="119" t="s">
        <v>501</v>
      </c>
      <c r="B44" s="41">
        <v>86.45</v>
      </c>
      <c r="C44" s="81">
        <v>121.04</v>
      </c>
      <c r="D44" s="41">
        <v>87.91</v>
      </c>
      <c r="E44" s="81">
        <v>123.08</v>
      </c>
      <c r="F44" s="41">
        <v>89.37</v>
      </c>
      <c r="G44" s="88">
        <v>125.11</v>
      </c>
      <c r="H44" s="42">
        <v>90.82</v>
      </c>
      <c r="I44" s="94">
        <v>127.15</v>
      </c>
      <c r="J44" s="62">
        <v>92.28</v>
      </c>
      <c r="K44" s="100">
        <v>129.19</v>
      </c>
      <c r="L44" s="62">
        <v>93.73</v>
      </c>
      <c r="M44" s="100">
        <v>131.22999999999999</v>
      </c>
      <c r="N44" s="68">
        <v>95.19</v>
      </c>
      <c r="O44" s="106">
        <v>133.27000000000001</v>
      </c>
      <c r="P44" s="42">
        <v>96.65</v>
      </c>
      <c r="Q44" s="94">
        <v>135.31</v>
      </c>
      <c r="R44" s="42">
        <v>98.1</v>
      </c>
      <c r="S44" s="112">
        <v>137.34</v>
      </c>
      <c r="T44" s="43">
        <v>99.56</v>
      </c>
      <c r="U44" s="45">
        <v>139.38</v>
      </c>
      <c r="V44" s="5">
        <v>101.01</v>
      </c>
      <c r="W44" s="45">
        <v>141.41999999999999</v>
      </c>
      <c r="X44" s="5">
        <v>102.47</v>
      </c>
      <c r="Y44" s="126">
        <v>143.46</v>
      </c>
      <c r="Z44" s="5">
        <v>103.93</v>
      </c>
      <c r="AA44" s="126">
        <v>145.5</v>
      </c>
      <c r="AB44" s="5">
        <v>105.38</v>
      </c>
      <c r="AC44" s="134">
        <v>147.54</v>
      </c>
      <c r="AD44" s="5">
        <v>106.84</v>
      </c>
      <c r="AE44" s="134">
        <v>149.57</v>
      </c>
      <c r="AF44" s="5">
        <v>108.29</v>
      </c>
      <c r="AG44" s="134">
        <v>151.61000000000001</v>
      </c>
      <c r="AH44" s="144">
        <v>109.75</v>
      </c>
      <c r="AI44" s="134">
        <v>153.65</v>
      </c>
      <c r="AJ44" s="144">
        <v>111.21</v>
      </c>
      <c r="AK44" s="134">
        <v>155.69</v>
      </c>
      <c r="AL44" s="144">
        <v>112.66</v>
      </c>
      <c r="AM44" s="134">
        <v>157.72999999999999</v>
      </c>
      <c r="AN44" s="144">
        <v>114.12</v>
      </c>
      <c r="AO44" s="144">
        <v>159.77000000000001</v>
      </c>
      <c r="AP44" s="5">
        <v>115.57</v>
      </c>
      <c r="AQ44" s="120">
        <v>161.80000000000001</v>
      </c>
      <c r="AR44" s="5">
        <v>65.8</v>
      </c>
      <c r="AS44" s="5">
        <v>64.34</v>
      </c>
      <c r="AT44" s="5">
        <v>62.89</v>
      </c>
      <c r="AU44" s="5">
        <v>61.53</v>
      </c>
      <c r="AV44" s="37">
        <v>40</v>
      </c>
      <c r="AW44" s="41">
        <v>47.41</v>
      </c>
      <c r="AX44" s="41">
        <v>48.44</v>
      </c>
      <c r="AY44" s="41">
        <v>49.46</v>
      </c>
      <c r="AZ44" s="41">
        <v>50.49</v>
      </c>
      <c r="BA44" s="41">
        <v>51.52</v>
      </c>
      <c r="BB44" s="41">
        <v>52.55</v>
      </c>
      <c r="BC44" s="41">
        <v>53.58</v>
      </c>
      <c r="BD44" s="41">
        <v>54.6</v>
      </c>
      <c r="BE44" s="42">
        <v>55.63</v>
      </c>
      <c r="BF44" s="62">
        <v>56.66</v>
      </c>
      <c r="BG44" s="62">
        <v>57.69</v>
      </c>
      <c r="BH44" s="68">
        <v>58.72</v>
      </c>
      <c r="BI44" s="42">
        <v>59.74</v>
      </c>
      <c r="BJ44" s="34">
        <v>60.77</v>
      </c>
      <c r="BK44" s="43">
        <v>61.8</v>
      </c>
      <c r="BL44" s="5">
        <v>62.83</v>
      </c>
      <c r="BM44" s="5">
        <v>63.86</v>
      </c>
      <c r="BN44" s="5">
        <v>64.88</v>
      </c>
      <c r="BO44" s="5">
        <v>65.91</v>
      </c>
      <c r="BP44" s="5">
        <v>66.94</v>
      </c>
      <c r="BQ44" s="5">
        <v>67.97</v>
      </c>
      <c r="BR44" s="144">
        <v>69</v>
      </c>
      <c r="BS44" s="144">
        <v>70.02</v>
      </c>
      <c r="BT44" s="144">
        <v>71.05</v>
      </c>
      <c r="BU44" s="144">
        <v>72.08</v>
      </c>
      <c r="BV44" s="144">
        <v>73.11</v>
      </c>
      <c r="BW44" s="5">
        <v>42.22</v>
      </c>
      <c r="BX44" s="5">
        <v>41.19</v>
      </c>
      <c r="BY44" s="5">
        <v>40.159999999999997</v>
      </c>
      <c r="BZ44" s="5">
        <v>39.130000000000003</v>
      </c>
    </row>
    <row r="45" spans="1:78" x14ac:dyDescent="0.45">
      <c r="A45" s="119" t="s">
        <v>502</v>
      </c>
      <c r="B45" s="41">
        <v>88.6</v>
      </c>
      <c r="C45" s="81">
        <v>124.04</v>
      </c>
      <c r="D45" s="41">
        <v>90.09</v>
      </c>
      <c r="E45" s="81">
        <v>126.12</v>
      </c>
      <c r="F45" s="41">
        <v>91.58</v>
      </c>
      <c r="G45" s="88">
        <v>128.21</v>
      </c>
      <c r="H45" s="42">
        <v>93.07</v>
      </c>
      <c r="I45" s="94">
        <v>130.30000000000001</v>
      </c>
      <c r="J45" s="62">
        <v>94.57</v>
      </c>
      <c r="K45" s="100">
        <v>132.38999999999999</v>
      </c>
      <c r="L45" s="62">
        <v>96.06</v>
      </c>
      <c r="M45" s="100">
        <v>134.47999999999999</v>
      </c>
      <c r="N45" s="68">
        <v>97.55</v>
      </c>
      <c r="O45" s="106">
        <v>136.57</v>
      </c>
      <c r="P45" s="42">
        <v>99.04</v>
      </c>
      <c r="Q45" s="94">
        <v>138.66</v>
      </c>
      <c r="R45" s="42">
        <v>100.54</v>
      </c>
      <c r="S45" s="112">
        <v>140.75</v>
      </c>
      <c r="T45" s="43">
        <v>102.03</v>
      </c>
      <c r="U45" s="45">
        <v>142.84</v>
      </c>
      <c r="V45" s="5">
        <v>103.52</v>
      </c>
      <c r="W45" s="45">
        <v>144.93</v>
      </c>
      <c r="X45" s="5">
        <v>105.01</v>
      </c>
      <c r="Y45" s="126">
        <v>147.02000000000001</v>
      </c>
      <c r="Z45" s="5">
        <v>106.51</v>
      </c>
      <c r="AA45" s="126">
        <v>149.11000000000001</v>
      </c>
      <c r="AB45" s="5">
        <v>108</v>
      </c>
      <c r="AC45" s="134">
        <v>151.19999999999999</v>
      </c>
      <c r="AD45" s="5">
        <v>109.49</v>
      </c>
      <c r="AE45" s="134">
        <v>153.29</v>
      </c>
      <c r="AF45" s="5">
        <v>110.98</v>
      </c>
      <c r="AG45" s="134">
        <v>155.38</v>
      </c>
      <c r="AH45" s="144">
        <v>112.47</v>
      </c>
      <c r="AI45" s="134">
        <v>157.46</v>
      </c>
      <c r="AJ45" s="144">
        <v>113.97</v>
      </c>
      <c r="AK45" s="134">
        <v>159.55000000000001</v>
      </c>
      <c r="AL45" s="144">
        <v>115.46</v>
      </c>
      <c r="AM45" s="134">
        <v>161.63999999999999</v>
      </c>
      <c r="AN45" s="144">
        <v>116.95</v>
      </c>
      <c r="AO45" s="144">
        <v>163.72999999999999</v>
      </c>
      <c r="AP45" s="5">
        <v>118.44</v>
      </c>
      <c r="AQ45" s="120">
        <v>165.82</v>
      </c>
      <c r="AR45" s="5">
        <v>67.430000000000007</v>
      </c>
      <c r="AS45" s="5">
        <v>65.94</v>
      </c>
      <c r="AT45" s="5">
        <v>64.400000000000006</v>
      </c>
      <c r="AU45" s="5">
        <v>62.96</v>
      </c>
      <c r="AV45" s="37">
        <v>41</v>
      </c>
      <c r="AW45" s="41">
        <v>48.58</v>
      </c>
      <c r="AX45" s="41">
        <v>49.63</v>
      </c>
      <c r="AY45" s="41">
        <v>50.68</v>
      </c>
      <c r="AZ45" s="41">
        <v>51.74</v>
      </c>
      <c r="BA45" s="41">
        <v>52.79</v>
      </c>
      <c r="BB45" s="41">
        <v>53.85</v>
      </c>
      <c r="BC45" s="41">
        <v>54.9</v>
      </c>
      <c r="BD45" s="41">
        <v>55.95</v>
      </c>
      <c r="BE45" s="42">
        <v>57.01</v>
      </c>
      <c r="BF45" s="62">
        <v>58.06</v>
      </c>
      <c r="BG45" s="62">
        <v>59.11</v>
      </c>
      <c r="BH45" s="68">
        <v>60.17</v>
      </c>
      <c r="BI45" s="42">
        <v>61.22</v>
      </c>
      <c r="BJ45" s="34">
        <v>62.28</v>
      </c>
      <c r="BK45" s="43">
        <v>63.33</v>
      </c>
      <c r="BL45" s="5">
        <v>64.38</v>
      </c>
      <c r="BM45" s="5">
        <v>65.44</v>
      </c>
      <c r="BN45" s="5">
        <v>66.489999999999995</v>
      </c>
      <c r="BO45" s="5">
        <v>67.540000000000006</v>
      </c>
      <c r="BP45" s="5">
        <v>68.599999999999994</v>
      </c>
      <c r="BQ45" s="5">
        <v>69.650000000000006</v>
      </c>
      <c r="BR45" s="144">
        <v>70.709999999999994</v>
      </c>
      <c r="BS45" s="144">
        <v>71.760000000000005</v>
      </c>
      <c r="BT45" s="144">
        <v>72.81</v>
      </c>
      <c r="BU45" s="144">
        <v>73.87</v>
      </c>
      <c r="BV45" s="144">
        <v>74.92</v>
      </c>
      <c r="BW45" s="5">
        <v>43.26</v>
      </c>
      <c r="BX45" s="5">
        <v>42.21</v>
      </c>
      <c r="BY45" s="5">
        <v>41.16</v>
      </c>
      <c r="BZ45" s="5">
        <v>40.1</v>
      </c>
    </row>
    <row r="46" spans="1:78" x14ac:dyDescent="0.45">
      <c r="A46" s="119" t="s">
        <v>503</v>
      </c>
      <c r="B46" s="41">
        <v>90.73</v>
      </c>
      <c r="C46" s="81">
        <v>127.02</v>
      </c>
      <c r="D46" s="41">
        <v>92.26</v>
      </c>
      <c r="E46" s="81">
        <v>129.16</v>
      </c>
      <c r="F46" s="41">
        <v>93.79</v>
      </c>
      <c r="G46" s="88">
        <v>131.30000000000001</v>
      </c>
      <c r="H46" s="42">
        <v>95.31</v>
      </c>
      <c r="I46" s="94">
        <v>133.44</v>
      </c>
      <c r="J46" s="62">
        <v>96.84</v>
      </c>
      <c r="K46" s="100">
        <v>135.58000000000001</v>
      </c>
      <c r="L46" s="62">
        <v>98.37</v>
      </c>
      <c r="M46" s="100">
        <v>137.72</v>
      </c>
      <c r="N46" s="68">
        <v>99.9</v>
      </c>
      <c r="O46" s="106">
        <v>139.86000000000001</v>
      </c>
      <c r="P46" s="42">
        <v>101.43</v>
      </c>
      <c r="Q46" s="94">
        <v>142</v>
      </c>
      <c r="R46" s="42">
        <v>102.96</v>
      </c>
      <c r="S46" s="112">
        <v>144.13999999999999</v>
      </c>
      <c r="T46" s="43">
        <v>104.49</v>
      </c>
      <c r="U46" s="45">
        <v>146.28</v>
      </c>
      <c r="V46" s="5">
        <v>106.02</v>
      </c>
      <c r="W46" s="45">
        <v>148.41999999999999</v>
      </c>
      <c r="X46" s="5">
        <v>107.54</v>
      </c>
      <c r="Y46" s="126">
        <v>150.56</v>
      </c>
      <c r="Z46" s="5">
        <v>109.07</v>
      </c>
      <c r="AA46" s="126">
        <v>152.69999999999999</v>
      </c>
      <c r="AB46" s="5">
        <v>110.6</v>
      </c>
      <c r="AC46" s="134">
        <v>154.84</v>
      </c>
      <c r="AD46" s="5">
        <v>112.13</v>
      </c>
      <c r="AE46" s="134">
        <v>156.97999999999999</v>
      </c>
      <c r="AF46" s="5">
        <v>113.66</v>
      </c>
      <c r="AG46" s="134">
        <v>159.12</v>
      </c>
      <c r="AH46" s="144">
        <v>115.19</v>
      </c>
      <c r="AI46" s="134">
        <v>161.26</v>
      </c>
      <c r="AJ46" s="144">
        <v>116.72</v>
      </c>
      <c r="AK46" s="134">
        <v>163.4</v>
      </c>
      <c r="AL46" s="144">
        <v>118.25</v>
      </c>
      <c r="AM46" s="134">
        <v>165.55</v>
      </c>
      <c r="AN46" s="144">
        <v>119.78</v>
      </c>
      <c r="AO46" s="144">
        <v>167.69</v>
      </c>
      <c r="AP46" s="5">
        <v>121.3</v>
      </c>
      <c r="AQ46" s="120">
        <v>169.83</v>
      </c>
      <c r="AR46" s="5">
        <v>69.06</v>
      </c>
      <c r="AS46" s="5">
        <v>67.53</v>
      </c>
      <c r="AT46" s="5">
        <v>66</v>
      </c>
      <c r="AU46" s="5">
        <v>64.47</v>
      </c>
      <c r="AV46" s="37">
        <v>42</v>
      </c>
      <c r="AW46" s="41">
        <v>49.75</v>
      </c>
      <c r="AX46" s="41">
        <v>50.83</v>
      </c>
      <c r="AY46" s="41">
        <v>51.91</v>
      </c>
      <c r="AZ46" s="41">
        <v>52.99</v>
      </c>
      <c r="BA46" s="41">
        <v>54.07</v>
      </c>
      <c r="BB46" s="41">
        <v>55.15</v>
      </c>
      <c r="BC46" s="41">
        <v>56.23</v>
      </c>
      <c r="BD46" s="41">
        <v>57.31</v>
      </c>
      <c r="BE46" s="42">
        <v>58.39</v>
      </c>
      <c r="BF46" s="62">
        <v>59.47</v>
      </c>
      <c r="BG46" s="62">
        <v>60.55</v>
      </c>
      <c r="BH46" s="68">
        <v>61.63</v>
      </c>
      <c r="BI46" s="42">
        <v>62.71</v>
      </c>
      <c r="BJ46" s="34">
        <v>63.78</v>
      </c>
      <c r="BK46" s="43">
        <v>64.86</v>
      </c>
      <c r="BL46" s="5">
        <v>65.94</v>
      </c>
      <c r="BM46" s="5">
        <v>67.02</v>
      </c>
      <c r="BN46" s="5">
        <v>68.099999999999994</v>
      </c>
      <c r="BO46" s="5">
        <v>69.180000000000007</v>
      </c>
      <c r="BP46" s="5">
        <v>70.260000000000005</v>
      </c>
      <c r="BQ46" s="5">
        <v>71.34</v>
      </c>
      <c r="BR46" s="144">
        <v>72.42</v>
      </c>
      <c r="BS46" s="144">
        <v>73.5</v>
      </c>
      <c r="BT46" s="144">
        <v>74.58</v>
      </c>
      <c r="BU46" s="144">
        <v>75.66</v>
      </c>
      <c r="BV46" s="144">
        <v>76.739999999999995</v>
      </c>
      <c r="BW46" s="5">
        <v>44.31</v>
      </c>
      <c r="BX46" s="5">
        <v>43.23</v>
      </c>
      <c r="BY46" s="5">
        <v>42.15</v>
      </c>
      <c r="BZ46" s="5">
        <v>41.07</v>
      </c>
    </row>
    <row r="47" spans="1:78" x14ac:dyDescent="0.45">
      <c r="A47" s="119" t="s">
        <v>504</v>
      </c>
      <c r="B47" s="41">
        <v>92.85</v>
      </c>
      <c r="C47" s="81">
        <v>129.99</v>
      </c>
      <c r="D47" s="41">
        <v>94.41</v>
      </c>
      <c r="E47" s="81">
        <v>132.18</v>
      </c>
      <c r="F47" s="41">
        <v>95.98</v>
      </c>
      <c r="G47" s="88">
        <v>134.37</v>
      </c>
      <c r="H47" s="42">
        <v>97.54</v>
      </c>
      <c r="I47" s="94">
        <v>136.56</v>
      </c>
      <c r="J47" s="62">
        <v>99.11</v>
      </c>
      <c r="K47" s="100">
        <v>138.5</v>
      </c>
      <c r="L47" s="62">
        <v>100.67</v>
      </c>
      <c r="M47" s="100">
        <v>140.94</v>
      </c>
      <c r="N47" s="68">
        <v>102.24</v>
      </c>
      <c r="O47" s="106">
        <v>143.13</v>
      </c>
      <c r="P47" s="42">
        <v>103.8</v>
      </c>
      <c r="Q47" s="94">
        <v>145.32</v>
      </c>
      <c r="R47" s="42">
        <v>105.37</v>
      </c>
      <c r="S47" s="112">
        <v>147.52000000000001</v>
      </c>
      <c r="T47" s="43">
        <v>106.93</v>
      </c>
      <c r="U47" s="45">
        <v>149.71</v>
      </c>
      <c r="V47" s="5">
        <v>108.5</v>
      </c>
      <c r="W47" s="45">
        <v>151.9</v>
      </c>
      <c r="X47" s="5">
        <v>110.06</v>
      </c>
      <c r="Y47" s="126">
        <v>154.09</v>
      </c>
      <c r="Z47" s="5">
        <v>111.63</v>
      </c>
      <c r="AA47" s="126">
        <v>156.28</v>
      </c>
      <c r="AB47" s="5">
        <v>113.19</v>
      </c>
      <c r="AC47" s="134">
        <v>158.47</v>
      </c>
      <c r="AD47" s="5">
        <v>114.76</v>
      </c>
      <c r="AE47" s="134">
        <v>160.66</v>
      </c>
      <c r="AF47" s="5">
        <v>116.32</v>
      </c>
      <c r="AG47" s="134">
        <v>162.85</v>
      </c>
      <c r="AH47" s="144">
        <v>117.89</v>
      </c>
      <c r="AI47" s="134">
        <v>165.05</v>
      </c>
      <c r="AJ47" s="144">
        <v>119.46</v>
      </c>
      <c r="AK47" s="134">
        <v>167.24</v>
      </c>
      <c r="AL47" s="144">
        <v>121.02</v>
      </c>
      <c r="AM47" s="134">
        <v>169.43</v>
      </c>
      <c r="AN47" s="144">
        <v>122.59</v>
      </c>
      <c r="AO47" s="144">
        <v>171.62</v>
      </c>
      <c r="AP47" s="5">
        <v>124.15</v>
      </c>
      <c r="AQ47" s="120">
        <v>173.81</v>
      </c>
      <c r="AR47" s="5">
        <v>70.680000000000007</v>
      </c>
      <c r="AS47" s="5">
        <v>69.12</v>
      </c>
      <c r="AT47" s="5">
        <v>67.55</v>
      </c>
      <c r="AU47" s="5">
        <v>65.989999999999995</v>
      </c>
      <c r="AV47" s="37">
        <v>43</v>
      </c>
      <c r="AW47" s="41">
        <v>50.71</v>
      </c>
      <c r="AX47" s="41">
        <v>52.02</v>
      </c>
      <c r="AY47" s="41">
        <v>53.12</v>
      </c>
      <c r="AZ47" s="41">
        <v>54.23</v>
      </c>
      <c r="BA47" s="41">
        <v>55.33</v>
      </c>
      <c r="BB47" s="41">
        <v>56.44</v>
      </c>
      <c r="BC47" s="41">
        <v>57.54</v>
      </c>
      <c r="BD47" s="41">
        <v>58.65</v>
      </c>
      <c r="BE47" s="42">
        <v>59.75</v>
      </c>
      <c r="BF47" s="62">
        <v>60.86</v>
      </c>
      <c r="BG47" s="62">
        <v>61.96</v>
      </c>
      <c r="BH47" s="68">
        <v>63.07</v>
      </c>
      <c r="BI47" s="42">
        <v>64.17</v>
      </c>
      <c r="BJ47" s="34">
        <v>65.28</v>
      </c>
      <c r="BK47" s="43">
        <v>66.38</v>
      </c>
      <c r="BL47" s="5" t="s">
        <v>120</v>
      </c>
      <c r="BM47" s="5">
        <v>68.59</v>
      </c>
      <c r="BN47" s="5">
        <v>69.7</v>
      </c>
      <c r="BO47" s="5">
        <v>70.81</v>
      </c>
      <c r="BP47" s="5">
        <v>71.91</v>
      </c>
      <c r="BQ47" s="5">
        <v>73.02</v>
      </c>
      <c r="BR47" s="144">
        <v>74.12</v>
      </c>
      <c r="BS47" s="144">
        <v>75.23</v>
      </c>
      <c r="BT47" s="144">
        <v>76.33</v>
      </c>
      <c r="BU47" s="144">
        <v>77.44</v>
      </c>
      <c r="BV47" s="144">
        <v>78.540000000000006</v>
      </c>
      <c r="BW47" s="5">
        <v>45.35</v>
      </c>
      <c r="BX47" s="5">
        <v>44.25</v>
      </c>
      <c r="BY47" s="5">
        <v>43.14</v>
      </c>
      <c r="BZ47" s="5">
        <v>42.04</v>
      </c>
    </row>
    <row r="48" spans="1:78" x14ac:dyDescent="0.45">
      <c r="A48" s="119" t="s">
        <v>505</v>
      </c>
      <c r="B48" s="41">
        <v>94.98</v>
      </c>
      <c r="C48" s="81">
        <v>132.97999999999999</v>
      </c>
      <c r="D48" s="41">
        <v>96.59</v>
      </c>
      <c r="E48" s="81">
        <v>135.22</v>
      </c>
      <c r="F48" s="41">
        <v>98.19</v>
      </c>
      <c r="G48" s="88">
        <v>137.46</v>
      </c>
      <c r="H48" s="42">
        <v>99.79</v>
      </c>
      <c r="I48" s="94">
        <v>139.69999999999999</v>
      </c>
      <c r="J48" s="62">
        <v>101.39</v>
      </c>
      <c r="K48" s="100">
        <v>141.94999999999999</v>
      </c>
      <c r="L48" s="62">
        <v>102.99</v>
      </c>
      <c r="M48" s="100">
        <v>144.19</v>
      </c>
      <c r="N48" s="68">
        <v>104.59</v>
      </c>
      <c r="O48" s="106">
        <v>146.43</v>
      </c>
      <c r="P48" s="42">
        <v>106.2</v>
      </c>
      <c r="Q48" s="94">
        <v>148.66999999999999</v>
      </c>
      <c r="R48" s="42">
        <v>107.8</v>
      </c>
      <c r="S48" s="112">
        <v>150.91999999999999</v>
      </c>
      <c r="T48" s="43">
        <v>109.4</v>
      </c>
      <c r="U48" s="45">
        <v>153.16</v>
      </c>
      <c r="V48" s="5">
        <v>111</v>
      </c>
      <c r="W48" s="45">
        <v>155.4</v>
      </c>
      <c r="X48" s="5">
        <v>112.6</v>
      </c>
      <c r="Y48" s="126">
        <v>157.63999999999999</v>
      </c>
      <c r="Z48" s="5">
        <v>114.2</v>
      </c>
      <c r="AA48" s="126">
        <v>159.88</v>
      </c>
      <c r="AB48" s="5">
        <v>115.81</v>
      </c>
      <c r="AC48" s="134">
        <v>162.13</v>
      </c>
      <c r="AD48" s="5">
        <v>117.41</v>
      </c>
      <c r="AE48" s="134">
        <v>164.37</v>
      </c>
      <c r="AF48" s="5">
        <v>119.01</v>
      </c>
      <c r="AG48" s="134">
        <v>166.61</v>
      </c>
      <c r="AH48" s="144">
        <v>120.61</v>
      </c>
      <c r="AI48" s="134">
        <v>168.85</v>
      </c>
      <c r="AJ48" s="144">
        <v>122.21</v>
      </c>
      <c r="AK48" s="134">
        <v>171.1</v>
      </c>
      <c r="AL48" s="144">
        <v>123.81</v>
      </c>
      <c r="AM48" s="134">
        <v>173.34</v>
      </c>
      <c r="AN48" s="144">
        <v>125.41</v>
      </c>
      <c r="AO48" s="144">
        <v>175.58</v>
      </c>
      <c r="AP48" s="5">
        <v>127.02</v>
      </c>
      <c r="AQ48" s="120">
        <v>177.82</v>
      </c>
      <c r="AR48" s="5">
        <v>72.31</v>
      </c>
      <c r="AS48" s="5">
        <v>70.709999999999994</v>
      </c>
      <c r="AT48" s="5">
        <v>69.11</v>
      </c>
      <c r="AU48" s="5">
        <v>67.510000000000005</v>
      </c>
      <c r="AV48" s="37">
        <v>44</v>
      </c>
      <c r="AW48" s="41">
        <v>52.09</v>
      </c>
      <c r="AX48" s="41">
        <v>53.22</v>
      </c>
      <c r="AY48" s="41">
        <v>54.35</v>
      </c>
      <c r="AZ48" s="41">
        <v>55.48</v>
      </c>
      <c r="BA48" s="41">
        <v>56.61</v>
      </c>
      <c r="BB48" s="41">
        <v>57.74</v>
      </c>
      <c r="BC48" s="41">
        <v>58.87</v>
      </c>
      <c r="BD48" s="41">
        <v>60</v>
      </c>
      <c r="BE48" s="42">
        <v>61.13</v>
      </c>
      <c r="BF48" s="62">
        <v>62.27</v>
      </c>
      <c r="BG48" s="62">
        <v>63.4</v>
      </c>
      <c r="BH48" s="68">
        <v>64.53</v>
      </c>
      <c r="BI48" s="42">
        <v>65.66</v>
      </c>
      <c r="BJ48" s="34">
        <v>66.790000000000006</v>
      </c>
      <c r="BK48" s="43">
        <v>67.92</v>
      </c>
      <c r="BL48" s="5">
        <v>69.05</v>
      </c>
      <c r="BM48" s="5">
        <v>70.180000000000007</v>
      </c>
      <c r="BN48" s="5">
        <v>71.31</v>
      </c>
      <c r="BO48" s="5">
        <v>72.44</v>
      </c>
      <c r="BP48" s="5">
        <v>73.569999999999993</v>
      </c>
      <c r="BQ48" s="5">
        <v>74.7</v>
      </c>
      <c r="BR48" s="144">
        <v>75.84</v>
      </c>
      <c r="BS48" s="144">
        <v>76.97</v>
      </c>
      <c r="BT48" s="144">
        <v>78.099999999999994</v>
      </c>
      <c r="BU48" s="144">
        <v>79.23</v>
      </c>
      <c r="BV48" s="144">
        <v>80.36</v>
      </c>
      <c r="BW48" s="5">
        <v>46.4</v>
      </c>
      <c r="BX48" s="5">
        <v>45.27</v>
      </c>
      <c r="BY48" s="5">
        <v>44.14</v>
      </c>
      <c r="BZ48" s="5">
        <v>43.01</v>
      </c>
    </row>
    <row r="49" spans="1:78" x14ac:dyDescent="0.45">
      <c r="A49" s="119" t="s">
        <v>506</v>
      </c>
      <c r="B49" s="41">
        <v>97.11</v>
      </c>
      <c r="C49" s="81">
        <v>135.94999999999999</v>
      </c>
      <c r="D49" s="41">
        <v>98.74</v>
      </c>
      <c r="E49" s="81">
        <v>138.24</v>
      </c>
      <c r="F49" s="41">
        <v>100.38</v>
      </c>
      <c r="G49" s="88">
        <v>140.53</v>
      </c>
      <c r="H49" s="42">
        <v>102.02</v>
      </c>
      <c r="I49" s="94">
        <v>142.83000000000001</v>
      </c>
      <c r="J49" s="62">
        <v>103.66</v>
      </c>
      <c r="K49" s="100">
        <v>145.12</v>
      </c>
      <c r="L49" s="62">
        <v>105.3</v>
      </c>
      <c r="M49" s="100">
        <v>147.41</v>
      </c>
      <c r="N49" s="68">
        <v>106.93</v>
      </c>
      <c r="O49" s="106">
        <v>149.71</v>
      </c>
      <c r="P49" s="42">
        <v>108.57</v>
      </c>
      <c r="Q49" s="94">
        <v>152</v>
      </c>
      <c r="R49" s="42">
        <v>110.21</v>
      </c>
      <c r="S49" s="112">
        <v>154.29</v>
      </c>
      <c r="T49" s="43">
        <v>111.85</v>
      </c>
      <c r="U49" s="45">
        <v>156.59</v>
      </c>
      <c r="V49" s="5">
        <v>113.49</v>
      </c>
      <c r="W49" s="45">
        <v>158.88</v>
      </c>
      <c r="X49" s="5">
        <v>115.12</v>
      </c>
      <c r="Y49" s="126">
        <v>161.16999999999999</v>
      </c>
      <c r="Z49" s="5">
        <v>116.76</v>
      </c>
      <c r="AA49" s="126">
        <v>163.46</v>
      </c>
      <c r="AB49" s="5">
        <v>118.4</v>
      </c>
      <c r="AC49" s="134">
        <v>165.76</v>
      </c>
      <c r="AD49" s="5">
        <v>120.04</v>
      </c>
      <c r="AE49" s="134">
        <v>168.05</v>
      </c>
      <c r="AF49" s="5">
        <v>121.68</v>
      </c>
      <c r="AG49" s="134">
        <v>170.35</v>
      </c>
      <c r="AH49" s="144">
        <v>123.31</v>
      </c>
      <c r="AI49" s="134">
        <v>172.64</v>
      </c>
      <c r="AJ49" s="144">
        <v>124.95</v>
      </c>
      <c r="AK49" s="134">
        <v>174.93</v>
      </c>
      <c r="AL49" s="144">
        <v>126.59</v>
      </c>
      <c r="AM49" s="134">
        <v>177.23</v>
      </c>
      <c r="AN49" s="144">
        <v>128.22999999999999</v>
      </c>
      <c r="AO49" s="144">
        <v>179.52</v>
      </c>
      <c r="AP49" s="5">
        <v>129.87</v>
      </c>
      <c r="AQ49" s="120">
        <v>181.81</v>
      </c>
      <c r="AR49" s="5">
        <v>73.930000000000007</v>
      </c>
      <c r="AS49" s="5">
        <v>72.3</v>
      </c>
      <c r="AT49" s="5">
        <v>70.66</v>
      </c>
      <c r="AU49" s="5">
        <v>69.02</v>
      </c>
      <c r="AV49" s="37">
        <v>45</v>
      </c>
      <c r="AW49" s="41">
        <v>53.26</v>
      </c>
      <c r="AX49" s="41">
        <v>54.41</v>
      </c>
      <c r="AY49" s="41">
        <v>55.57</v>
      </c>
      <c r="AZ49" s="41">
        <v>45.73</v>
      </c>
      <c r="BA49" s="41">
        <v>57.88</v>
      </c>
      <c r="BB49" s="41">
        <v>59.04</v>
      </c>
      <c r="BC49" s="41">
        <v>60.2</v>
      </c>
      <c r="BD49" s="41">
        <v>61.35</v>
      </c>
      <c r="BE49" s="42">
        <v>62.51</v>
      </c>
      <c r="BF49" s="62">
        <v>63.67</v>
      </c>
      <c r="BG49" s="62">
        <v>64.819999999999993</v>
      </c>
      <c r="BH49" s="68">
        <v>65.98</v>
      </c>
      <c r="BI49" s="42">
        <v>67.14</v>
      </c>
      <c r="BJ49" s="34">
        <v>68.290000000000006</v>
      </c>
      <c r="BK49" s="43">
        <v>69.45</v>
      </c>
      <c r="BL49" s="5">
        <v>70.61</v>
      </c>
      <c r="BM49" s="5">
        <v>71.760000000000005</v>
      </c>
      <c r="BN49" s="5">
        <v>72.92</v>
      </c>
      <c r="BO49" s="5">
        <v>74.08</v>
      </c>
      <c r="BP49" s="5">
        <v>75.23</v>
      </c>
      <c r="BQ49" s="5">
        <v>76.39</v>
      </c>
      <c r="BR49" s="144">
        <v>77.540000000000006</v>
      </c>
      <c r="BS49" s="144">
        <v>78.7</v>
      </c>
      <c r="BT49" s="144">
        <v>79.86</v>
      </c>
      <c r="BU49" s="144">
        <v>81.010000000000005</v>
      </c>
      <c r="BV49" s="144">
        <v>82.17</v>
      </c>
      <c r="BW49" s="5">
        <v>47.45</v>
      </c>
      <c r="BX49" s="5">
        <v>46.29</v>
      </c>
      <c r="BY49" s="5">
        <v>45.13</v>
      </c>
      <c r="BZ49" s="5">
        <v>43.98</v>
      </c>
    </row>
    <row r="50" spans="1:78" x14ac:dyDescent="0.45">
      <c r="A50" s="119" t="s">
        <v>507</v>
      </c>
      <c r="B50" s="41">
        <v>99.24</v>
      </c>
      <c r="C50" s="81">
        <v>138.94</v>
      </c>
      <c r="D50" s="41">
        <v>100.92</v>
      </c>
      <c r="E50" s="81">
        <v>141.29</v>
      </c>
      <c r="F50" s="41">
        <v>102.59</v>
      </c>
      <c r="G50" s="88">
        <v>143.63</v>
      </c>
      <c r="H50" s="42">
        <v>104.27</v>
      </c>
      <c r="I50" s="94">
        <v>145.97999999999999</v>
      </c>
      <c r="J50" s="62">
        <v>105.94</v>
      </c>
      <c r="K50" s="100">
        <v>148.32</v>
      </c>
      <c r="L50" s="62">
        <v>107.62</v>
      </c>
      <c r="M50" s="100">
        <v>150.66</v>
      </c>
      <c r="N50" s="68">
        <v>109.29</v>
      </c>
      <c r="O50" s="106">
        <v>153.01</v>
      </c>
      <c r="P50" s="42">
        <v>110.97</v>
      </c>
      <c r="Q50" s="94">
        <v>155.35</v>
      </c>
      <c r="R50" s="42">
        <v>112.64</v>
      </c>
      <c r="S50" s="112">
        <v>157.69999999999999</v>
      </c>
      <c r="T50" s="43">
        <v>114.31</v>
      </c>
      <c r="U50" s="45">
        <v>160.04</v>
      </c>
      <c r="V50" s="5">
        <v>115.99</v>
      </c>
      <c r="W50" s="45">
        <v>162.38</v>
      </c>
      <c r="X50" s="5">
        <v>117.66</v>
      </c>
      <c r="Y50" s="126">
        <v>164.73</v>
      </c>
      <c r="Z50" s="5">
        <v>119.34</v>
      </c>
      <c r="AA50" s="126">
        <v>167.08</v>
      </c>
      <c r="AB50" s="5">
        <v>121.01</v>
      </c>
      <c r="AC50" s="134">
        <v>169.42</v>
      </c>
      <c r="AD50" s="5">
        <v>122.69</v>
      </c>
      <c r="AE50" s="134">
        <v>171.76</v>
      </c>
      <c r="AF50" s="5">
        <v>124.36</v>
      </c>
      <c r="AG50" s="134">
        <v>174.11</v>
      </c>
      <c r="AH50" s="144">
        <v>126.04</v>
      </c>
      <c r="AI50" s="134">
        <v>176.45</v>
      </c>
      <c r="AJ50" s="144">
        <v>127.71</v>
      </c>
      <c r="AK50" s="134">
        <v>178.89</v>
      </c>
      <c r="AL50" s="144">
        <v>129.38</v>
      </c>
      <c r="AM50" s="134">
        <v>181.14</v>
      </c>
      <c r="AN50" s="144">
        <v>131.06</v>
      </c>
      <c r="AO50" s="144">
        <v>183.48</v>
      </c>
      <c r="AP50" s="5">
        <v>132.72999999999999</v>
      </c>
      <c r="AQ50" s="120">
        <v>185.83</v>
      </c>
      <c r="AR50" s="5">
        <v>75.569999999999993</v>
      </c>
      <c r="AS50" s="5">
        <v>73.89</v>
      </c>
      <c r="AT50" s="5">
        <v>72.22</v>
      </c>
      <c r="AU50" s="5">
        <v>70.540000000000006</v>
      </c>
      <c r="AV50" s="37">
        <v>46</v>
      </c>
      <c r="AW50" s="41">
        <v>54.43</v>
      </c>
      <c r="AX50" s="41">
        <v>55.61</v>
      </c>
      <c r="AY50" s="41">
        <v>56.8</v>
      </c>
      <c r="AZ50" s="41">
        <v>57.98</v>
      </c>
      <c r="BA50" s="41">
        <v>59.16</v>
      </c>
      <c r="BB50" s="41">
        <v>60.34</v>
      </c>
      <c r="BC50" s="41">
        <v>61.53</v>
      </c>
      <c r="BD50" s="41">
        <v>62.71</v>
      </c>
      <c r="BE50" s="42">
        <v>63.89</v>
      </c>
      <c r="BF50" s="62">
        <v>65.069999999999993</v>
      </c>
      <c r="BG50" s="62">
        <v>66.25</v>
      </c>
      <c r="BH50" s="68">
        <v>67.44</v>
      </c>
      <c r="BI50" s="42">
        <v>68.62</v>
      </c>
      <c r="BJ50" s="34">
        <v>69.8</v>
      </c>
      <c r="BK50" s="43">
        <v>70.98</v>
      </c>
      <c r="BL50" s="5">
        <v>72.17</v>
      </c>
      <c r="BM50" s="5">
        <v>73.349999999999994</v>
      </c>
      <c r="BN50" s="5">
        <v>74.53</v>
      </c>
      <c r="BO50" s="5">
        <v>75.709999999999994</v>
      </c>
      <c r="BP50" s="5">
        <v>76.89</v>
      </c>
      <c r="BQ50" s="5">
        <v>78.08</v>
      </c>
      <c r="BR50" s="144">
        <v>79.260000000000005</v>
      </c>
      <c r="BS50" s="144">
        <v>80.44</v>
      </c>
      <c r="BT50" s="144">
        <v>81.62</v>
      </c>
      <c r="BU50" s="144">
        <v>82.81</v>
      </c>
      <c r="BV50" s="144">
        <v>83.99</v>
      </c>
      <c r="BW50" s="5">
        <v>48.5</v>
      </c>
      <c r="BX50" s="5">
        <v>47.31</v>
      </c>
      <c r="BY50" s="5">
        <v>46.13</v>
      </c>
      <c r="BZ50" s="5">
        <v>44.95</v>
      </c>
    </row>
    <row r="51" spans="1:78" x14ac:dyDescent="0.45">
      <c r="A51" s="119" t="s">
        <v>508</v>
      </c>
      <c r="B51" s="41">
        <v>101.36</v>
      </c>
      <c r="C51" s="81">
        <v>141.91</v>
      </c>
      <c r="D51" s="41">
        <v>103.07</v>
      </c>
      <c r="E51" s="81">
        <v>144.30000000000001</v>
      </c>
      <c r="F51" s="41">
        <v>104.79</v>
      </c>
      <c r="G51" s="88">
        <v>146.69999999999999</v>
      </c>
      <c r="H51" s="42">
        <v>106.5</v>
      </c>
      <c r="I51" s="94">
        <v>149.1</v>
      </c>
      <c r="J51" s="62">
        <v>108.21</v>
      </c>
      <c r="K51" s="100">
        <v>151.49</v>
      </c>
      <c r="L51" s="62">
        <v>109.92</v>
      </c>
      <c r="M51" s="100">
        <v>153.88999999999999</v>
      </c>
      <c r="N51" s="68">
        <v>111.63</v>
      </c>
      <c r="O51" s="106">
        <v>156.28</v>
      </c>
      <c r="P51" s="42">
        <v>113.34</v>
      </c>
      <c r="Q51" s="94">
        <v>158.68</v>
      </c>
      <c r="R51" s="42">
        <v>115.05</v>
      </c>
      <c r="S51" s="112">
        <v>161.07</v>
      </c>
      <c r="T51" s="43">
        <v>116.76</v>
      </c>
      <c r="U51" s="45">
        <v>163.47</v>
      </c>
      <c r="V51" s="5">
        <v>118.47</v>
      </c>
      <c r="W51" s="45">
        <v>165.86</v>
      </c>
      <c r="X51" s="5">
        <v>120.18</v>
      </c>
      <c r="Y51" s="126">
        <v>168.26</v>
      </c>
      <c r="Z51" s="5">
        <v>121.89</v>
      </c>
      <c r="AA51" s="126">
        <v>170.65</v>
      </c>
      <c r="AB51" s="5">
        <v>123.6</v>
      </c>
      <c r="AC51" s="134">
        <v>173.05</v>
      </c>
      <c r="AD51" s="5">
        <v>125.32</v>
      </c>
      <c r="AE51" s="134">
        <v>175.44</v>
      </c>
      <c r="AF51" s="5">
        <v>127.03</v>
      </c>
      <c r="AG51" s="134">
        <v>177.84</v>
      </c>
      <c r="AH51" s="144">
        <v>128.74</v>
      </c>
      <c r="AI51" s="134">
        <v>180.23</v>
      </c>
      <c r="AJ51" s="144">
        <v>130.44999999999999</v>
      </c>
      <c r="AK51" s="134">
        <v>182.63</v>
      </c>
      <c r="AL51" s="144">
        <v>132.16</v>
      </c>
      <c r="AM51" s="134">
        <v>185.02</v>
      </c>
      <c r="AN51" s="144">
        <v>133.87</v>
      </c>
      <c r="AO51" s="144">
        <v>187.42</v>
      </c>
      <c r="AP51" s="5">
        <v>135.58000000000001</v>
      </c>
      <c r="AQ51" s="120">
        <v>189.81</v>
      </c>
      <c r="AR51" s="5">
        <v>77.19</v>
      </c>
      <c r="AS51" s="5">
        <v>75.48</v>
      </c>
      <c r="AT51" s="5">
        <v>73.760000000000005</v>
      </c>
      <c r="AU51" s="5">
        <v>72.05</v>
      </c>
      <c r="AV51" s="37">
        <v>47</v>
      </c>
      <c r="AW51" s="41">
        <v>55.6</v>
      </c>
      <c r="AX51" s="41">
        <v>56.81</v>
      </c>
      <c r="AY51" s="41">
        <v>58.02</v>
      </c>
      <c r="AZ51" s="41">
        <v>9.2200000000000006</v>
      </c>
      <c r="BA51" s="41">
        <v>60.43</v>
      </c>
      <c r="BB51" s="41">
        <v>61.64</v>
      </c>
      <c r="BC51" s="41">
        <v>62.85</v>
      </c>
      <c r="BD51" s="41">
        <v>64.06</v>
      </c>
      <c r="BE51" s="42">
        <v>65.260000000000005</v>
      </c>
      <c r="BF51" s="62">
        <v>66.47</v>
      </c>
      <c r="BG51" s="62">
        <v>67.680000000000007</v>
      </c>
      <c r="BH51" s="68">
        <v>68.89</v>
      </c>
      <c r="BI51" s="42">
        <v>70.099999999999994</v>
      </c>
      <c r="BJ51" s="34">
        <v>71.3</v>
      </c>
      <c r="BK51" s="43">
        <v>72.510000000000005</v>
      </c>
      <c r="BL51" s="5">
        <v>73.72</v>
      </c>
      <c r="BM51" s="5">
        <v>74.930000000000007</v>
      </c>
      <c r="BN51" s="5">
        <v>76.13</v>
      </c>
      <c r="BO51" s="5">
        <v>77.34</v>
      </c>
      <c r="BP51" s="5">
        <v>78.55</v>
      </c>
      <c r="BQ51" s="5">
        <v>79.760000000000005</v>
      </c>
      <c r="BR51" s="144">
        <v>80.97</v>
      </c>
      <c r="BS51" s="144">
        <v>82.17</v>
      </c>
      <c r="BT51" s="144">
        <v>83.38</v>
      </c>
      <c r="BU51" s="144">
        <v>84.59</v>
      </c>
      <c r="BV51" s="144">
        <v>85.8</v>
      </c>
      <c r="BW51" s="5">
        <v>49.54</v>
      </c>
      <c r="BX51" s="5">
        <v>48.33</v>
      </c>
      <c r="BY51" s="5">
        <v>47.13</v>
      </c>
      <c r="BZ51" s="5">
        <v>45.92</v>
      </c>
    </row>
    <row r="52" spans="1:78" x14ac:dyDescent="0.45">
      <c r="A52" s="119" t="s">
        <v>509</v>
      </c>
      <c r="B52" s="41">
        <v>103.5</v>
      </c>
      <c r="C52" s="81">
        <v>144.9</v>
      </c>
      <c r="D52" s="41">
        <v>105.25</v>
      </c>
      <c r="E52" s="81">
        <v>147.35</v>
      </c>
      <c r="F52" s="41">
        <v>107</v>
      </c>
      <c r="G52" s="88">
        <v>149.79</v>
      </c>
      <c r="H52" s="42">
        <v>108.74</v>
      </c>
      <c r="I52" s="94">
        <v>152.24</v>
      </c>
      <c r="J52" s="62">
        <v>110.49</v>
      </c>
      <c r="K52" s="100">
        <v>154.69</v>
      </c>
      <c r="L52" s="62">
        <v>112.24</v>
      </c>
      <c r="M52" s="100">
        <v>157.13</v>
      </c>
      <c r="N52" s="68">
        <v>113.98</v>
      </c>
      <c r="O52" s="106">
        <v>159.58000000000001</v>
      </c>
      <c r="P52" s="42">
        <v>115.73</v>
      </c>
      <c r="Q52" s="94">
        <v>162.02000000000001</v>
      </c>
      <c r="R52" s="42">
        <v>117.48</v>
      </c>
      <c r="S52" s="112">
        <v>164.47</v>
      </c>
      <c r="T52" s="43">
        <v>119.23</v>
      </c>
      <c r="U52" s="45">
        <v>166.92</v>
      </c>
      <c r="V52" s="5">
        <v>120.97</v>
      </c>
      <c r="W52" s="45">
        <v>169.36</v>
      </c>
      <c r="X52" s="5">
        <v>122.72</v>
      </c>
      <c r="Y52" s="126">
        <v>171.81</v>
      </c>
      <c r="Z52" s="5">
        <v>124.47</v>
      </c>
      <c r="AA52" s="126">
        <v>174.26</v>
      </c>
      <c r="AB52" s="5">
        <v>126.21</v>
      </c>
      <c r="AC52" s="134">
        <v>176.7</v>
      </c>
      <c r="AD52" s="5">
        <v>127.96</v>
      </c>
      <c r="AE52" s="134">
        <v>179.15</v>
      </c>
      <c r="AF52" s="5">
        <v>129.71</v>
      </c>
      <c r="AG52" s="134">
        <v>181.59</v>
      </c>
      <c r="AH52" s="144">
        <v>131.46</v>
      </c>
      <c r="AI52" s="134">
        <v>184.04</v>
      </c>
      <c r="AJ52" s="144">
        <v>133.19999999999999</v>
      </c>
      <c r="AK52" s="134">
        <v>186.48</v>
      </c>
      <c r="AL52" s="144">
        <v>134.94999999999999</v>
      </c>
      <c r="AM52" s="134">
        <v>188.93</v>
      </c>
      <c r="AN52" s="144">
        <v>136.69999999999999</v>
      </c>
      <c r="AO52" s="144">
        <v>191.38</v>
      </c>
      <c r="AP52" s="5">
        <v>138.44</v>
      </c>
      <c r="AQ52" s="120">
        <v>193.82</v>
      </c>
      <c r="AR52" s="5">
        <v>78.819999999999993</v>
      </c>
      <c r="AS52" s="5">
        <v>77.069999999999993</v>
      </c>
      <c r="AT52" s="5">
        <v>75.319999999999993</v>
      </c>
      <c r="AU52" s="5">
        <v>73.58</v>
      </c>
      <c r="AV52" s="37">
        <v>48</v>
      </c>
      <c r="AW52" s="41">
        <v>56.76</v>
      </c>
      <c r="AX52" s="41">
        <v>57.99</v>
      </c>
      <c r="AY52" s="41">
        <v>59.23</v>
      </c>
      <c r="AZ52" s="41">
        <v>60.46</v>
      </c>
      <c r="BA52" s="41">
        <v>61.7</v>
      </c>
      <c r="BB52" s="41">
        <v>62.93</v>
      </c>
      <c r="BC52" s="41">
        <v>64.16</v>
      </c>
      <c r="BD52" s="41">
        <v>65.400000000000006</v>
      </c>
      <c r="BE52" s="42">
        <v>66.63</v>
      </c>
      <c r="BF52" s="62">
        <v>67.86</v>
      </c>
      <c r="BG52" s="62">
        <v>69.099999999999994</v>
      </c>
      <c r="BH52" s="68">
        <v>70.33</v>
      </c>
      <c r="BI52" s="42">
        <v>71.56</v>
      </c>
      <c r="BJ52" s="34">
        <v>72.8</v>
      </c>
      <c r="BK52" s="43">
        <v>74.03</v>
      </c>
      <c r="BL52" s="5">
        <v>75.27</v>
      </c>
      <c r="BM52" s="5">
        <v>76.5</v>
      </c>
      <c r="BN52" s="5">
        <v>77.73</v>
      </c>
      <c r="BO52" s="5">
        <v>78.97</v>
      </c>
      <c r="BP52" s="5">
        <v>80.2</v>
      </c>
      <c r="BQ52" s="5">
        <v>81.430000000000007</v>
      </c>
      <c r="BR52" s="144">
        <v>82.67</v>
      </c>
      <c r="BS52" s="144">
        <v>83.9</v>
      </c>
      <c r="BT52" s="144">
        <v>85.13</v>
      </c>
      <c r="BU52" s="144">
        <v>86.37</v>
      </c>
      <c r="BV52" s="144">
        <v>87.6</v>
      </c>
      <c r="BW52" s="5">
        <v>50.58</v>
      </c>
      <c r="BX52" s="5">
        <v>49.35</v>
      </c>
      <c r="BY52" s="5">
        <v>48.11</v>
      </c>
      <c r="BZ52" s="5">
        <v>46.88</v>
      </c>
    </row>
    <row r="53" spans="1:78" x14ac:dyDescent="0.45">
      <c r="A53" s="119" t="s">
        <v>510</v>
      </c>
      <c r="B53" s="41">
        <v>105.61</v>
      </c>
      <c r="C53" s="81">
        <v>147.86000000000001</v>
      </c>
      <c r="D53" s="41">
        <v>107.4</v>
      </c>
      <c r="E53" s="81">
        <v>150.36000000000001</v>
      </c>
      <c r="F53" s="41">
        <v>109.18</v>
      </c>
      <c r="G53" s="88">
        <v>152.85</v>
      </c>
      <c r="H53" s="42">
        <v>110.96</v>
      </c>
      <c r="I53" s="94">
        <v>155.35</v>
      </c>
      <c r="J53" s="62">
        <v>112.75</v>
      </c>
      <c r="K53" s="100">
        <v>157.85</v>
      </c>
      <c r="L53" s="62">
        <v>114.53</v>
      </c>
      <c r="M53" s="100">
        <v>160.34</v>
      </c>
      <c r="N53" s="68">
        <v>116.31</v>
      </c>
      <c r="O53" s="106">
        <v>162.84</v>
      </c>
      <c r="P53" s="42">
        <v>118.1</v>
      </c>
      <c r="Q53" s="94">
        <v>165.34</v>
      </c>
      <c r="R53" s="42">
        <v>119.88</v>
      </c>
      <c r="S53" s="112">
        <v>167.83</v>
      </c>
      <c r="T53" s="43">
        <v>121.67</v>
      </c>
      <c r="U53" s="45">
        <v>170.33</v>
      </c>
      <c r="V53" s="5">
        <v>123.45</v>
      </c>
      <c r="W53" s="45">
        <v>172.83</v>
      </c>
      <c r="X53" s="5">
        <v>125.23</v>
      </c>
      <c r="Y53" s="126">
        <v>175.33</v>
      </c>
      <c r="Z53" s="5">
        <v>127.02</v>
      </c>
      <c r="AA53" s="126">
        <v>177.83</v>
      </c>
      <c r="AB53" s="5">
        <v>128.80000000000001</v>
      </c>
      <c r="AC53" s="134">
        <v>180.32</v>
      </c>
      <c r="AD53" s="5">
        <v>130.58000000000001</v>
      </c>
      <c r="AE53" s="134">
        <v>182.82</v>
      </c>
      <c r="AF53" s="5">
        <v>132.37</v>
      </c>
      <c r="AG53" s="134">
        <v>185.31</v>
      </c>
      <c r="AH53" s="144">
        <v>134.15</v>
      </c>
      <c r="AI53" s="134">
        <v>187.81</v>
      </c>
      <c r="AJ53" s="144">
        <v>135.93</v>
      </c>
      <c r="AK53" s="134">
        <v>190.31</v>
      </c>
      <c r="AL53" s="144">
        <v>137.72</v>
      </c>
      <c r="AM53" s="134">
        <v>192.81</v>
      </c>
      <c r="AN53" s="144">
        <v>139.5</v>
      </c>
      <c r="AO53" s="144">
        <v>195.3</v>
      </c>
      <c r="AP53" s="5">
        <v>141.29</v>
      </c>
      <c r="AQ53" s="120">
        <v>197.8</v>
      </c>
      <c r="AR53" s="5">
        <v>80.430000000000007</v>
      </c>
      <c r="AS53" s="5">
        <v>78.650000000000006</v>
      </c>
      <c r="AT53" s="5">
        <v>76.87</v>
      </c>
      <c r="AU53" s="5">
        <v>75.08</v>
      </c>
      <c r="AV53" s="37">
        <v>49</v>
      </c>
      <c r="AW53" s="41">
        <v>57.94</v>
      </c>
      <c r="AX53" s="41">
        <v>59.2</v>
      </c>
      <c r="AY53" s="41">
        <v>60.46</v>
      </c>
      <c r="AZ53" s="41">
        <v>61.72</v>
      </c>
      <c r="BA53" s="41">
        <v>62.97</v>
      </c>
      <c r="BB53" s="41">
        <v>64.23</v>
      </c>
      <c r="BC53" s="41">
        <v>65.489999999999995</v>
      </c>
      <c r="BD53" s="41">
        <v>66.75</v>
      </c>
      <c r="BE53" s="42">
        <v>68.010000000000005</v>
      </c>
      <c r="BF53" s="62">
        <v>69.27</v>
      </c>
      <c r="BG53" s="62">
        <v>70.53</v>
      </c>
      <c r="BH53" s="68">
        <v>71.790000000000006</v>
      </c>
      <c r="BI53" s="42">
        <v>73.5</v>
      </c>
      <c r="BJ53" s="34">
        <v>74.31</v>
      </c>
      <c r="BK53" s="43">
        <v>75.569999999999993</v>
      </c>
      <c r="BL53" s="5">
        <v>76.83</v>
      </c>
      <c r="BM53" s="5">
        <v>78.09</v>
      </c>
      <c r="BN53" s="5">
        <v>79.349999999999994</v>
      </c>
      <c r="BO53" s="5">
        <v>80.599999999999994</v>
      </c>
      <c r="BP53" s="5">
        <v>81.86</v>
      </c>
      <c r="BQ53" s="5">
        <v>83.12</v>
      </c>
      <c r="BR53" s="144">
        <v>84.38</v>
      </c>
      <c r="BS53" s="144">
        <v>85.64</v>
      </c>
      <c r="BT53" s="144">
        <v>86.9</v>
      </c>
      <c r="BU53" s="144">
        <v>88.16</v>
      </c>
      <c r="BV53" s="144">
        <v>89.42</v>
      </c>
      <c r="BW53" s="5">
        <v>51.63</v>
      </c>
      <c r="BX53" s="5">
        <v>50.37</v>
      </c>
      <c r="BY53" s="5">
        <v>49.11</v>
      </c>
      <c r="BZ53" s="5">
        <v>47.85</v>
      </c>
    </row>
    <row r="54" spans="1:78" x14ac:dyDescent="0.45">
      <c r="A54" s="119" t="s">
        <v>511</v>
      </c>
      <c r="B54" s="41">
        <v>107.74</v>
      </c>
      <c r="C54" s="81">
        <v>150.84</v>
      </c>
      <c r="D54" s="41">
        <v>109.56</v>
      </c>
      <c r="E54" s="81">
        <v>153.38999999999999</v>
      </c>
      <c r="F54" s="41">
        <v>111.38</v>
      </c>
      <c r="G54" s="88">
        <v>155.93</v>
      </c>
      <c r="H54" s="42">
        <v>113.2</v>
      </c>
      <c r="I54" s="94">
        <v>158.47999999999999</v>
      </c>
      <c r="J54" s="62">
        <v>115.02</v>
      </c>
      <c r="K54" s="100">
        <v>161.03</v>
      </c>
      <c r="L54" s="62">
        <v>116.84</v>
      </c>
      <c r="M54" s="100">
        <v>163.58000000000001</v>
      </c>
      <c r="N54" s="68">
        <v>118.66</v>
      </c>
      <c r="O54" s="106">
        <v>166.13</v>
      </c>
      <c r="P54" s="42">
        <v>120.48</v>
      </c>
      <c r="Q54" s="94">
        <v>168.67</v>
      </c>
      <c r="R54" s="42">
        <v>122.3</v>
      </c>
      <c r="S54" s="112">
        <v>171.22</v>
      </c>
      <c r="T54" s="43">
        <v>124.12</v>
      </c>
      <c r="U54" s="45">
        <v>173.77</v>
      </c>
      <c r="V54" s="5">
        <v>125.94</v>
      </c>
      <c r="W54" s="45">
        <v>176.32</v>
      </c>
      <c r="X54" s="5">
        <v>127.76</v>
      </c>
      <c r="Y54" s="126">
        <v>178.87</v>
      </c>
      <c r="Z54" s="5">
        <v>129.58000000000001</v>
      </c>
      <c r="AA54" s="126">
        <v>181.41</v>
      </c>
      <c r="AB54" s="5">
        <v>131.4</v>
      </c>
      <c r="AC54" s="134">
        <v>183.96</v>
      </c>
      <c r="AD54" s="5">
        <v>133.22</v>
      </c>
      <c r="AE54" s="134">
        <v>186.51</v>
      </c>
      <c r="AF54" s="5">
        <v>135.04</v>
      </c>
      <c r="AG54" s="134">
        <v>189.06</v>
      </c>
      <c r="AH54" s="144">
        <v>136.86000000000001</v>
      </c>
      <c r="AI54" s="134">
        <v>191.61</v>
      </c>
      <c r="AJ54" s="144">
        <v>138.68</v>
      </c>
      <c r="AK54" s="134">
        <v>194.15</v>
      </c>
      <c r="AL54" s="144">
        <v>140.5</v>
      </c>
      <c r="AM54" s="134">
        <v>196.7</v>
      </c>
      <c r="AN54" s="144">
        <v>142.32</v>
      </c>
      <c r="AO54" s="144">
        <v>199.25</v>
      </c>
      <c r="AP54" s="5">
        <v>144.13999999999999</v>
      </c>
      <c r="AQ54" s="120">
        <v>201.8</v>
      </c>
      <c r="AR54" s="5">
        <v>82.06</v>
      </c>
      <c r="AS54" s="5">
        <v>80.239999999999995</v>
      </c>
      <c r="AT54" s="5">
        <v>78.42</v>
      </c>
      <c r="AU54" s="5">
        <v>76.599999999999994</v>
      </c>
      <c r="AV54" s="37">
        <v>50</v>
      </c>
      <c r="AW54" s="41">
        <v>59.11</v>
      </c>
      <c r="AX54" s="41">
        <v>60.39</v>
      </c>
      <c r="AY54" s="41">
        <v>61.68</v>
      </c>
      <c r="AZ54" s="41">
        <v>62.96</v>
      </c>
      <c r="BA54" s="41">
        <v>64.25</v>
      </c>
      <c r="BB54" s="41">
        <v>65.53</v>
      </c>
      <c r="BC54" s="41">
        <v>66.819999999999993</v>
      </c>
      <c r="BD54" s="41">
        <v>68.099999999999994</v>
      </c>
      <c r="BE54" s="42">
        <v>69.39</v>
      </c>
      <c r="BF54" s="62">
        <v>70.67</v>
      </c>
      <c r="BG54" s="62">
        <v>71.959999999999994</v>
      </c>
      <c r="BH54" s="68">
        <v>73.239999999999995</v>
      </c>
      <c r="BI54" s="42">
        <v>74.53</v>
      </c>
      <c r="BJ54" s="34">
        <v>75.81</v>
      </c>
      <c r="BK54" s="43">
        <v>77.099999999999994</v>
      </c>
      <c r="BL54" s="5">
        <v>78.38</v>
      </c>
      <c r="BM54" s="5">
        <v>79.67</v>
      </c>
      <c r="BN54" s="5">
        <v>80.95</v>
      </c>
      <c r="BO54" s="5">
        <v>82.24</v>
      </c>
      <c r="BP54" s="5">
        <v>83.52</v>
      </c>
      <c r="BQ54" s="5">
        <v>84.81</v>
      </c>
      <c r="BR54" s="144">
        <v>86.09</v>
      </c>
      <c r="BS54" s="144">
        <v>87.38</v>
      </c>
      <c r="BT54" s="144">
        <v>88.66</v>
      </c>
      <c r="BU54" s="144">
        <v>89.95</v>
      </c>
      <c r="BV54" s="144">
        <v>91.23</v>
      </c>
      <c r="BW54" s="5">
        <v>52.68</v>
      </c>
      <c r="BX54" s="5">
        <v>51.39</v>
      </c>
      <c r="BY54" s="5">
        <v>50.11</v>
      </c>
      <c r="BZ54" s="5">
        <v>48.82</v>
      </c>
    </row>
    <row r="55" spans="1:78" x14ac:dyDescent="0.45">
      <c r="A55" s="119" t="s">
        <v>512</v>
      </c>
      <c r="B55" s="41">
        <v>109.89</v>
      </c>
      <c r="C55" s="81">
        <v>153.84</v>
      </c>
      <c r="D55" s="41">
        <v>111.74</v>
      </c>
      <c r="E55" s="81">
        <v>156.44</v>
      </c>
      <c r="F55" s="41">
        <v>113.6</v>
      </c>
      <c r="G55" s="88">
        <v>159.04</v>
      </c>
      <c r="H55" s="42">
        <v>115.46</v>
      </c>
      <c r="I55" s="94">
        <v>161.63999999999999</v>
      </c>
      <c r="J55" s="62">
        <v>117.31</v>
      </c>
      <c r="K55" s="100">
        <v>164.24</v>
      </c>
      <c r="L55" s="62">
        <v>119.17</v>
      </c>
      <c r="M55" s="100">
        <v>166.84</v>
      </c>
      <c r="N55" s="68">
        <v>121.03</v>
      </c>
      <c r="O55" s="106">
        <v>169.44</v>
      </c>
      <c r="P55" s="42">
        <v>122.88</v>
      </c>
      <c r="Q55" s="94">
        <v>172.04</v>
      </c>
      <c r="R55" s="42">
        <v>124.74</v>
      </c>
      <c r="S55" s="112">
        <v>174.63</v>
      </c>
      <c r="T55" s="43">
        <v>126.59</v>
      </c>
      <c r="U55" s="45">
        <v>177.23</v>
      </c>
      <c r="V55" s="5">
        <v>128.44999999999999</v>
      </c>
      <c r="W55" s="45">
        <v>179.83</v>
      </c>
      <c r="X55" s="5">
        <v>130.31</v>
      </c>
      <c r="Y55" s="126">
        <v>182.43</v>
      </c>
      <c r="Z55" s="5">
        <v>132.16</v>
      </c>
      <c r="AA55" s="126">
        <v>185.02</v>
      </c>
      <c r="AB55" s="5">
        <v>134.02000000000001</v>
      </c>
      <c r="AC55" s="134">
        <v>187.63</v>
      </c>
      <c r="AD55" s="5">
        <v>135.88</v>
      </c>
      <c r="AE55" s="134">
        <v>190.23</v>
      </c>
      <c r="AF55" s="5">
        <v>137.72999999999999</v>
      </c>
      <c r="AG55" s="134">
        <v>192.83</v>
      </c>
      <c r="AH55" s="144">
        <v>139.59</v>
      </c>
      <c r="AI55" s="134">
        <v>195.43</v>
      </c>
      <c r="AJ55" s="144">
        <v>141.44999999999999</v>
      </c>
      <c r="AK55" s="134">
        <v>198.02</v>
      </c>
      <c r="AL55" s="144">
        <v>143.30000000000001</v>
      </c>
      <c r="AM55" s="134">
        <v>200.62</v>
      </c>
      <c r="AN55" s="144">
        <v>145.16</v>
      </c>
      <c r="AO55" s="144">
        <v>203.22</v>
      </c>
      <c r="AP55" s="5">
        <v>147.02000000000001</v>
      </c>
      <c r="AQ55" s="120">
        <v>208.82</v>
      </c>
      <c r="AR55" s="5">
        <v>83.7</v>
      </c>
      <c r="AS55" s="5">
        <v>81.84</v>
      </c>
      <c r="AT55" s="5">
        <v>79.98</v>
      </c>
      <c r="AU55" s="5">
        <v>78.13</v>
      </c>
      <c r="AV55" s="37">
        <v>51</v>
      </c>
      <c r="AW55" s="41">
        <v>60.28</v>
      </c>
      <c r="AX55" s="41">
        <v>61.59</v>
      </c>
      <c r="AY55" s="41">
        <v>62.9</v>
      </c>
      <c r="AZ55" s="41">
        <v>64.209999999999994</v>
      </c>
      <c r="BA55" s="41">
        <v>65.52</v>
      </c>
      <c r="BB55" s="41">
        <v>66.83</v>
      </c>
      <c r="BC55" s="41">
        <v>68.14</v>
      </c>
      <c r="BD55" s="41">
        <v>69.45</v>
      </c>
      <c r="BE55" s="42">
        <v>70.760000000000005</v>
      </c>
      <c r="BF55" s="62">
        <v>72.08</v>
      </c>
      <c r="BG55" s="62">
        <v>73.39</v>
      </c>
      <c r="BH55" s="68">
        <v>74.7</v>
      </c>
      <c r="BI55" s="42">
        <v>76.010000000000005</v>
      </c>
      <c r="BJ55" s="34">
        <v>77.319999999999993</v>
      </c>
      <c r="BK55" s="43">
        <v>78.63</v>
      </c>
      <c r="BL55" s="5">
        <v>79.94</v>
      </c>
      <c r="BM55" s="5">
        <v>81.25</v>
      </c>
      <c r="BN55" s="5">
        <v>82.56</v>
      </c>
      <c r="BO55" s="5">
        <v>83.87</v>
      </c>
      <c r="BP55" s="5">
        <v>85.18</v>
      </c>
      <c r="BQ55" s="5">
        <v>86.49</v>
      </c>
      <c r="BR55" s="144">
        <v>87.8</v>
      </c>
      <c r="BS55" s="144">
        <v>89.11</v>
      </c>
      <c r="BT55" s="144">
        <v>90.43</v>
      </c>
      <c r="BU55" s="144">
        <v>91.74</v>
      </c>
      <c r="BV55" s="144">
        <v>93.05</v>
      </c>
      <c r="BW55" s="5">
        <v>53.72</v>
      </c>
      <c r="BX55" s="5">
        <v>52.41</v>
      </c>
      <c r="BY55" s="5">
        <v>51.1</v>
      </c>
      <c r="BZ55" s="5">
        <v>49.79</v>
      </c>
    </row>
    <row r="56" spans="1:78" x14ac:dyDescent="0.45">
      <c r="A56" s="119" t="s">
        <v>513</v>
      </c>
      <c r="B56" s="41">
        <v>112</v>
      </c>
      <c r="C56" s="81">
        <v>156.80000000000001</v>
      </c>
      <c r="D56" s="41">
        <v>113.9</v>
      </c>
      <c r="E56" s="81">
        <v>159.44999999999999</v>
      </c>
      <c r="F56" s="41">
        <v>115.79</v>
      </c>
      <c r="G56" s="88">
        <v>162.1</v>
      </c>
      <c r="H56" s="42">
        <v>117.68</v>
      </c>
      <c r="I56" s="94">
        <v>164.75</v>
      </c>
      <c r="J56" s="62">
        <v>119.57</v>
      </c>
      <c r="K56" s="100">
        <v>167.4</v>
      </c>
      <c r="L56" s="62">
        <v>121.47</v>
      </c>
      <c r="M56" s="100">
        <v>170.05</v>
      </c>
      <c r="N56" s="68">
        <v>123.36</v>
      </c>
      <c r="O56" s="106">
        <v>172.7</v>
      </c>
      <c r="P56" s="42">
        <v>125.25</v>
      </c>
      <c r="Q56" s="94">
        <v>175.35</v>
      </c>
      <c r="R56" s="42">
        <v>127.15</v>
      </c>
      <c r="S56" s="112">
        <v>178</v>
      </c>
      <c r="T56" s="43" t="s">
        <v>118</v>
      </c>
      <c r="U56" s="45">
        <v>180.65</v>
      </c>
      <c r="V56" s="5">
        <v>130.93</v>
      </c>
      <c r="W56" s="45">
        <v>183.3</v>
      </c>
      <c r="X56" s="5">
        <v>132.82</v>
      </c>
      <c r="Y56" s="126">
        <v>185.95</v>
      </c>
      <c r="Z56" s="5">
        <v>134.72</v>
      </c>
      <c r="AA56" s="126">
        <v>188.61</v>
      </c>
      <c r="AB56" s="5">
        <v>136.61000000000001</v>
      </c>
      <c r="AC56" s="134">
        <v>191.25</v>
      </c>
      <c r="AD56" s="5">
        <v>138.5</v>
      </c>
      <c r="AE56" s="134">
        <v>193.9</v>
      </c>
      <c r="AF56" s="5">
        <v>140.38999999999999</v>
      </c>
      <c r="AG56" s="134">
        <v>196.55</v>
      </c>
      <c r="AH56" s="144">
        <v>142.29</v>
      </c>
      <c r="AI56" s="134">
        <v>199.2</v>
      </c>
      <c r="AJ56" s="144">
        <v>144.18</v>
      </c>
      <c r="AK56" s="134">
        <v>201.85</v>
      </c>
      <c r="AL56" s="144">
        <v>146.07</v>
      </c>
      <c r="AM56" s="134">
        <v>204.5</v>
      </c>
      <c r="AN56" s="144">
        <v>147.97</v>
      </c>
      <c r="AO56" s="144">
        <v>207.15</v>
      </c>
      <c r="AP56" s="5">
        <v>149.86000000000001</v>
      </c>
      <c r="AQ56" s="120">
        <v>209.8</v>
      </c>
      <c r="AR56" s="5">
        <v>85.31</v>
      </c>
      <c r="AS56" s="5">
        <v>83.42</v>
      </c>
      <c r="AT56" s="5">
        <v>81.53</v>
      </c>
      <c r="AU56" s="5">
        <v>79.63</v>
      </c>
      <c r="AV56" s="37">
        <v>52</v>
      </c>
      <c r="AW56" s="41">
        <v>41.44</v>
      </c>
      <c r="AX56" s="41">
        <v>62.78</v>
      </c>
      <c r="AY56" s="41">
        <v>64.12</v>
      </c>
      <c r="AZ56" s="41">
        <v>65.45</v>
      </c>
      <c r="BA56" s="41">
        <v>66.790000000000006</v>
      </c>
      <c r="BB56" s="41">
        <v>68.12</v>
      </c>
      <c r="BC56" s="41">
        <v>69.459999999999994</v>
      </c>
      <c r="BD56" s="41">
        <v>70.8</v>
      </c>
      <c r="BE56" s="42">
        <v>72.13</v>
      </c>
      <c r="BF56" s="62">
        <v>73.47</v>
      </c>
      <c r="BG56" s="62">
        <v>74.81</v>
      </c>
      <c r="BH56" s="68">
        <v>76.14</v>
      </c>
      <c r="BI56" s="42">
        <v>77.48</v>
      </c>
      <c r="BJ56" s="34">
        <v>78.819999999999993</v>
      </c>
      <c r="BK56" s="43">
        <v>80.150000000000006</v>
      </c>
      <c r="BL56" s="5">
        <v>81.489999999999995</v>
      </c>
      <c r="BM56" s="5">
        <v>82.82</v>
      </c>
      <c r="BN56" s="5">
        <v>84.16</v>
      </c>
      <c r="BO56" s="5">
        <v>85.5</v>
      </c>
      <c r="BP56" s="5">
        <v>86.83</v>
      </c>
      <c r="BQ56" s="5">
        <v>88.17</v>
      </c>
      <c r="BR56" s="144">
        <v>89.51</v>
      </c>
      <c r="BS56" s="144">
        <v>90.84</v>
      </c>
      <c r="BT56" s="144">
        <v>92.18</v>
      </c>
      <c r="BU56" s="144">
        <v>93.52</v>
      </c>
      <c r="BV56" s="144">
        <v>94.85</v>
      </c>
      <c r="BW56" s="5">
        <v>54.77</v>
      </c>
      <c r="BX56" s="5">
        <v>53.43</v>
      </c>
      <c r="BY56" s="5">
        <v>52.09</v>
      </c>
      <c r="BZ56" s="5">
        <v>50.76</v>
      </c>
    </row>
    <row r="57" spans="1:78" x14ac:dyDescent="0.45">
      <c r="A57" s="119" t="s">
        <v>514</v>
      </c>
      <c r="B57" s="41">
        <v>114.13</v>
      </c>
      <c r="C57" s="81">
        <v>159.79</v>
      </c>
      <c r="D57" s="41">
        <v>116.06</v>
      </c>
      <c r="E57" s="81">
        <v>162.49</v>
      </c>
      <c r="F57" s="41">
        <v>117.99</v>
      </c>
      <c r="G57" s="88">
        <v>165.19</v>
      </c>
      <c r="H57" s="42">
        <v>119.92</v>
      </c>
      <c r="I57" s="94">
        <v>167.89</v>
      </c>
      <c r="J57" s="62">
        <v>121.85</v>
      </c>
      <c r="K57" s="100">
        <v>170.59</v>
      </c>
      <c r="L57" s="62">
        <v>123.78</v>
      </c>
      <c r="M57" s="100">
        <v>173.29</v>
      </c>
      <c r="N57" s="68">
        <v>125.71</v>
      </c>
      <c r="O57" s="106">
        <v>175.99</v>
      </c>
      <c r="P57" s="42">
        <v>127.64</v>
      </c>
      <c r="Q57" s="94">
        <v>178.69</v>
      </c>
      <c r="R57" s="42">
        <v>129.57</v>
      </c>
      <c r="S57" s="112">
        <v>181.39</v>
      </c>
      <c r="T57" s="43">
        <v>131.5</v>
      </c>
      <c r="U57" s="45">
        <v>184.1</v>
      </c>
      <c r="V57" s="5">
        <v>133.43</v>
      </c>
      <c r="W57" s="45">
        <v>186.8</v>
      </c>
      <c r="X57" s="5">
        <v>135.36000000000001</v>
      </c>
      <c r="Y57" s="126">
        <v>189.5</v>
      </c>
      <c r="Z57" s="5">
        <v>137.28</v>
      </c>
      <c r="AA57" s="126">
        <v>192.19</v>
      </c>
      <c r="AB57" s="5">
        <v>139.21</v>
      </c>
      <c r="AC57" s="134">
        <v>194.9</v>
      </c>
      <c r="AD57" s="5">
        <v>141.13999999999999</v>
      </c>
      <c r="AE57" s="134">
        <v>197.6</v>
      </c>
      <c r="AF57" s="5">
        <v>143.07</v>
      </c>
      <c r="AG57" s="134">
        <v>200.3</v>
      </c>
      <c r="AH57" s="144">
        <v>145</v>
      </c>
      <c r="AI57" s="134">
        <v>203</v>
      </c>
      <c r="AJ57" s="144">
        <v>146.93</v>
      </c>
      <c r="AK57" s="134">
        <v>205.7</v>
      </c>
      <c r="AL57" s="144">
        <v>148.86000000000001</v>
      </c>
      <c r="AM57" s="134">
        <v>208.4</v>
      </c>
      <c r="AN57" s="144">
        <v>150.79</v>
      </c>
      <c r="AO57" s="144">
        <v>211.1</v>
      </c>
      <c r="AP57" s="5">
        <v>152.72</v>
      </c>
      <c r="AQ57" s="121">
        <v>213.81</v>
      </c>
      <c r="AR57" s="5">
        <v>86.94</v>
      </c>
      <c r="AS57" s="5">
        <v>85.01</v>
      </c>
      <c r="AT57" s="5">
        <v>83.08</v>
      </c>
      <c r="AU57" s="5">
        <v>81.150000000000006</v>
      </c>
      <c r="AV57" s="37">
        <v>53</v>
      </c>
      <c r="AW57" s="41">
        <v>62.61</v>
      </c>
      <c r="AX57" s="41">
        <v>63.97</v>
      </c>
      <c r="AY57" s="41">
        <v>65.33</v>
      </c>
      <c r="AZ57" s="41">
        <v>66.7</v>
      </c>
      <c r="BA57" s="41">
        <v>68.06</v>
      </c>
      <c r="BB57" s="41">
        <v>69.42</v>
      </c>
      <c r="BC57" s="41">
        <v>70.78</v>
      </c>
      <c r="BD57" s="41">
        <v>72.14</v>
      </c>
      <c r="BE57" s="42">
        <v>73.510000000000005</v>
      </c>
      <c r="BF57" s="62">
        <v>74.87</v>
      </c>
      <c r="BG57" s="62">
        <v>76.23</v>
      </c>
      <c r="BH57" s="68">
        <v>77.59</v>
      </c>
      <c r="BI57" s="42">
        <v>78.95</v>
      </c>
      <c r="BJ57" s="34">
        <v>80.319999999999993</v>
      </c>
      <c r="BK57" s="43">
        <v>81.680000000000007</v>
      </c>
      <c r="BL57" s="5">
        <v>83.04</v>
      </c>
      <c r="BM57" s="5">
        <v>84.4</v>
      </c>
      <c r="BN57" s="5">
        <v>85.77</v>
      </c>
      <c r="BO57" s="5">
        <v>87.13</v>
      </c>
      <c r="BP57" s="5">
        <v>88.49</v>
      </c>
      <c r="BQ57" s="5">
        <v>89.85</v>
      </c>
      <c r="BR57" s="144">
        <v>91.21</v>
      </c>
      <c r="BS57" s="144">
        <v>92.58</v>
      </c>
      <c r="BT57" s="144">
        <v>93.94</v>
      </c>
      <c r="BU57" s="144">
        <v>95.3</v>
      </c>
      <c r="BV57" s="144">
        <v>99.66</v>
      </c>
      <c r="BW57" s="5">
        <v>55.81</v>
      </c>
      <c r="BX57" s="5">
        <v>54.45</v>
      </c>
      <c r="BY57" s="5">
        <v>53.09</v>
      </c>
      <c r="BZ57" s="5">
        <v>51.72</v>
      </c>
    </row>
    <row r="58" spans="1:78" x14ac:dyDescent="0.45">
      <c r="A58" s="119" t="s">
        <v>515</v>
      </c>
      <c r="B58" s="41">
        <v>116.28</v>
      </c>
      <c r="C58" s="81">
        <v>162</v>
      </c>
      <c r="D58" s="41">
        <v>118.25</v>
      </c>
      <c r="E58" s="81">
        <v>165.55</v>
      </c>
      <c r="F58" s="41">
        <v>120.21</v>
      </c>
      <c r="G58" s="88">
        <v>168.3</v>
      </c>
      <c r="H58" s="42">
        <v>122.18</v>
      </c>
      <c r="I58" s="94">
        <v>171.05</v>
      </c>
      <c r="J58" s="62">
        <v>124.14</v>
      </c>
      <c r="K58" s="100">
        <v>173.8</v>
      </c>
      <c r="L58" s="62">
        <v>126.11</v>
      </c>
      <c r="M58" s="100">
        <v>176.55</v>
      </c>
      <c r="N58" s="68">
        <v>128.08000000000001</v>
      </c>
      <c r="O58" s="106">
        <v>179.31</v>
      </c>
      <c r="P58" s="42">
        <v>130.04</v>
      </c>
      <c r="Q58" s="94">
        <v>182.06</v>
      </c>
      <c r="R58" s="42">
        <v>132.01</v>
      </c>
      <c r="S58" s="112">
        <v>184.81</v>
      </c>
      <c r="T58" s="43">
        <v>133.97</v>
      </c>
      <c r="U58" s="45">
        <v>187.56</v>
      </c>
      <c r="V58" s="5">
        <v>135.94</v>
      </c>
      <c r="W58" s="45">
        <v>190.31</v>
      </c>
      <c r="X58" s="5">
        <v>137.9</v>
      </c>
      <c r="Y58" s="126">
        <v>193.06</v>
      </c>
      <c r="Z58" s="5">
        <v>139.87</v>
      </c>
      <c r="AA58" s="126">
        <v>195.82</v>
      </c>
      <c r="AB58" s="5">
        <v>141.83000000000001</v>
      </c>
      <c r="AC58" s="134">
        <v>198.57</v>
      </c>
      <c r="AD58" s="5">
        <v>143.80000000000001</v>
      </c>
      <c r="AE58" s="134">
        <v>201.32</v>
      </c>
      <c r="AF58" s="5">
        <v>145.77000000000001</v>
      </c>
      <c r="AG58" s="134">
        <v>204.07</v>
      </c>
      <c r="AH58" s="144">
        <v>147.72999999999999</v>
      </c>
      <c r="AI58" s="134">
        <v>206.82</v>
      </c>
      <c r="AJ58" s="144">
        <v>149.69999999999999</v>
      </c>
      <c r="AK58" s="134">
        <v>209.58</v>
      </c>
      <c r="AL58" s="144">
        <v>151.66</v>
      </c>
      <c r="AM58" s="134">
        <v>212.33</v>
      </c>
      <c r="AN58" s="144">
        <v>153.63</v>
      </c>
      <c r="AO58" s="144">
        <v>215.08</v>
      </c>
      <c r="AP58" s="5">
        <v>155.59</v>
      </c>
      <c r="AQ58" s="121">
        <v>217.83</v>
      </c>
      <c r="AR58" s="5">
        <v>88.58</v>
      </c>
      <c r="AS58" s="5">
        <v>86.61</v>
      </c>
      <c r="AT58" s="5">
        <v>84.65</v>
      </c>
      <c r="AU58" s="5">
        <v>82.68</v>
      </c>
      <c r="AV58" s="37">
        <v>54</v>
      </c>
      <c r="AW58" s="41">
        <v>63.78</v>
      </c>
      <c r="AX58" s="41">
        <v>65.17</v>
      </c>
      <c r="AY58" s="41">
        <v>66.56</v>
      </c>
      <c r="AZ58" s="41">
        <v>67.94</v>
      </c>
      <c r="BA58" s="41">
        <v>69.33</v>
      </c>
      <c r="BB58" s="41">
        <v>70.72</v>
      </c>
      <c r="BC58" s="41">
        <v>72.11</v>
      </c>
      <c r="BD58" s="41">
        <v>73.5</v>
      </c>
      <c r="BE58" s="42">
        <v>74.88</v>
      </c>
      <c r="BF58" s="62">
        <v>76.27</v>
      </c>
      <c r="BG58" s="62">
        <v>77.66</v>
      </c>
      <c r="BH58" s="68">
        <v>79.05</v>
      </c>
      <c r="BI58" s="42">
        <v>80.430000000000007</v>
      </c>
      <c r="BJ58" s="34">
        <v>81.819999999999993</v>
      </c>
      <c r="BK58" s="43">
        <v>83.21</v>
      </c>
      <c r="BL58" s="5">
        <v>84.6</v>
      </c>
      <c r="BM58" s="5">
        <v>85.99</v>
      </c>
      <c r="BN58" s="5">
        <v>87.37</v>
      </c>
      <c r="BO58" s="5">
        <v>88.76</v>
      </c>
      <c r="BP58" s="5">
        <v>90.15</v>
      </c>
      <c r="BQ58" s="5">
        <v>91.54</v>
      </c>
      <c r="BR58" s="144">
        <v>92.92</v>
      </c>
      <c r="BS58" s="144">
        <v>94.31</v>
      </c>
      <c r="BT58" s="144">
        <v>95.7</v>
      </c>
      <c r="BU58" s="144">
        <v>97.09</v>
      </c>
      <c r="BV58" s="144">
        <v>98.48</v>
      </c>
      <c r="BW58" s="5">
        <v>56.86</v>
      </c>
      <c r="BX58" s="5">
        <v>55.47</v>
      </c>
      <c r="BY58" s="5">
        <v>54.08</v>
      </c>
      <c r="BZ58" s="5">
        <v>52.69</v>
      </c>
    </row>
    <row r="59" spans="1:78" x14ac:dyDescent="0.45">
      <c r="A59" s="119" t="s">
        <v>516</v>
      </c>
      <c r="B59" s="41">
        <v>118.39</v>
      </c>
      <c r="C59" s="81">
        <v>79</v>
      </c>
      <c r="D59" s="41">
        <v>120.4</v>
      </c>
      <c r="E59" s="81">
        <v>168.55</v>
      </c>
      <c r="F59" s="41">
        <v>122.4</v>
      </c>
      <c r="G59" s="88">
        <v>171.36</v>
      </c>
      <c r="H59" s="42">
        <v>124.4</v>
      </c>
      <c r="I59" s="94">
        <v>174.16</v>
      </c>
      <c r="J59" s="62">
        <v>126.4</v>
      </c>
      <c r="K59" s="100">
        <v>176.96</v>
      </c>
      <c r="L59" s="62">
        <v>128.4</v>
      </c>
      <c r="M59" s="100">
        <v>179.76</v>
      </c>
      <c r="N59" s="68">
        <v>130.41</v>
      </c>
      <c r="O59" s="106">
        <v>182.57</v>
      </c>
      <c r="P59" s="42">
        <v>132.41</v>
      </c>
      <c r="Q59" s="94">
        <v>185.37</v>
      </c>
      <c r="R59" s="42">
        <v>134.41</v>
      </c>
      <c r="S59" s="112">
        <v>188.17</v>
      </c>
      <c r="T59" s="43">
        <v>136.41</v>
      </c>
      <c r="U59" s="45">
        <v>190.98</v>
      </c>
      <c r="V59" s="5">
        <v>138.41</v>
      </c>
      <c r="W59" s="45">
        <v>193.78</v>
      </c>
      <c r="X59" s="5">
        <v>140.41999999999999</v>
      </c>
      <c r="Y59" s="126">
        <v>196.58</v>
      </c>
      <c r="Z59" s="5">
        <v>142.41999999999999</v>
      </c>
      <c r="AA59" s="126">
        <v>199.39</v>
      </c>
      <c r="AB59" s="5">
        <v>144.41999999999999</v>
      </c>
      <c r="AC59" s="134">
        <v>202.19</v>
      </c>
      <c r="AD59" s="5">
        <v>146.41999999999999</v>
      </c>
      <c r="AE59" s="134">
        <v>204.99</v>
      </c>
      <c r="AF59" s="5">
        <v>148.41999999999999</v>
      </c>
      <c r="AG59" s="134">
        <v>207.79</v>
      </c>
      <c r="AH59" s="144">
        <v>150.43</v>
      </c>
      <c r="AI59" s="134">
        <v>210.6</v>
      </c>
      <c r="AJ59" s="144">
        <v>152.43</v>
      </c>
      <c r="AK59" s="134">
        <v>213.4</v>
      </c>
      <c r="AL59" s="144">
        <v>154.43</v>
      </c>
      <c r="AM59" s="134">
        <v>216.2</v>
      </c>
      <c r="AN59" s="144">
        <v>156.43</v>
      </c>
      <c r="AO59" s="144">
        <v>219</v>
      </c>
      <c r="AP59" s="5">
        <v>158.43</v>
      </c>
      <c r="AQ59" s="121">
        <v>221.81</v>
      </c>
      <c r="AR59" s="5">
        <v>90.19</v>
      </c>
      <c r="AS59" s="5">
        <v>88.19</v>
      </c>
      <c r="AT59" s="5">
        <v>86.19</v>
      </c>
      <c r="AU59" s="5">
        <v>84.19</v>
      </c>
      <c r="AV59" s="37">
        <v>55</v>
      </c>
      <c r="AW59" s="41">
        <v>64.959999999999994</v>
      </c>
      <c r="AX59" s="41">
        <v>66.37</v>
      </c>
      <c r="AY59" s="41">
        <v>67.78</v>
      </c>
      <c r="AZ59" s="41">
        <v>69.2</v>
      </c>
      <c r="BA59" s="41">
        <v>70.61</v>
      </c>
      <c r="BB59" s="41">
        <v>72.02</v>
      </c>
      <c r="BC59" s="41">
        <v>73.44</v>
      </c>
      <c r="BD59" s="41">
        <v>74.849999999999994</v>
      </c>
      <c r="BE59" s="42">
        <v>76.260000000000005</v>
      </c>
      <c r="BF59" s="62">
        <v>77.680000000000007</v>
      </c>
      <c r="BG59" s="62">
        <v>79.09</v>
      </c>
      <c r="BH59" s="68">
        <v>80.5</v>
      </c>
      <c r="BI59" s="42">
        <v>81.92</v>
      </c>
      <c r="BJ59" s="34">
        <v>83.33</v>
      </c>
      <c r="BK59" s="43">
        <v>84.74</v>
      </c>
      <c r="BL59" s="5">
        <v>86.16</v>
      </c>
      <c r="BM59" s="5">
        <v>87.57</v>
      </c>
      <c r="BN59" s="5">
        <v>88.99</v>
      </c>
      <c r="BO59" s="5">
        <v>90.4</v>
      </c>
      <c r="BP59" s="5">
        <v>91.81</v>
      </c>
      <c r="BQ59" s="5">
        <v>93.23</v>
      </c>
      <c r="BR59" s="144">
        <v>94.64</v>
      </c>
      <c r="BS59" s="144">
        <v>96.05</v>
      </c>
      <c r="BT59" s="144">
        <v>97.47</v>
      </c>
      <c r="BU59" s="144">
        <v>98.88</v>
      </c>
      <c r="BV59" s="144">
        <v>100.29</v>
      </c>
      <c r="BW59" s="5">
        <v>57.91</v>
      </c>
      <c r="BX59" s="5">
        <v>56.49</v>
      </c>
      <c r="BY59" s="5">
        <v>55.08</v>
      </c>
      <c r="BZ59" s="5">
        <v>53.67</v>
      </c>
    </row>
    <row r="60" spans="1:78" x14ac:dyDescent="0.45">
      <c r="A60" s="119" t="s">
        <v>517</v>
      </c>
      <c r="B60" s="41">
        <v>120.52</v>
      </c>
      <c r="C60" s="81">
        <v>165.75</v>
      </c>
      <c r="D60" s="41">
        <v>122.56</v>
      </c>
      <c r="E60" s="81">
        <v>171.58</v>
      </c>
      <c r="F60" s="41">
        <v>124.6</v>
      </c>
      <c r="G60" s="88">
        <v>174.43</v>
      </c>
      <c r="H60" s="42">
        <v>126.63</v>
      </c>
      <c r="I60" s="94">
        <v>177.29</v>
      </c>
      <c r="J60" s="62">
        <v>128.66999999999999</v>
      </c>
      <c r="K60" s="100">
        <v>180.14</v>
      </c>
      <c r="L60" s="62">
        <v>130.71</v>
      </c>
      <c r="M60" s="100">
        <v>183</v>
      </c>
      <c r="N60" s="68">
        <v>132.75</v>
      </c>
      <c r="O60" s="106">
        <v>185.85</v>
      </c>
      <c r="P60" s="42">
        <v>134.79</v>
      </c>
      <c r="Q60" s="94">
        <v>188.7</v>
      </c>
      <c r="R60" s="42">
        <v>136.83000000000001</v>
      </c>
      <c r="S60" s="112">
        <v>191.56</v>
      </c>
      <c r="T60" s="43">
        <v>138.86000000000001</v>
      </c>
      <c r="U60" s="45">
        <v>194.41</v>
      </c>
      <c r="V60" s="5">
        <v>140.9</v>
      </c>
      <c r="W60" s="45">
        <v>197.26</v>
      </c>
      <c r="X60" s="5">
        <v>142.94</v>
      </c>
      <c r="Y60" s="126">
        <v>200.12</v>
      </c>
      <c r="Z60" s="5">
        <v>144.97999999999999</v>
      </c>
      <c r="AA60" s="126">
        <v>202.97</v>
      </c>
      <c r="AB60" s="5">
        <v>147.02000000000001</v>
      </c>
      <c r="AC60" s="134">
        <v>205.83</v>
      </c>
      <c r="AD60" s="5">
        <v>149.06</v>
      </c>
      <c r="AE60" s="134">
        <v>208.68</v>
      </c>
      <c r="AF60" s="5">
        <v>151.1</v>
      </c>
      <c r="AG60" s="134">
        <v>211.53</v>
      </c>
      <c r="AH60" s="144">
        <v>153.13</v>
      </c>
      <c r="AI60" s="134">
        <v>214.39</v>
      </c>
      <c r="AJ60" s="144">
        <v>155.16999999999999</v>
      </c>
      <c r="AK60" s="134">
        <v>217.24</v>
      </c>
      <c r="AL60" s="144">
        <v>157.21</v>
      </c>
      <c r="AM60" s="134">
        <v>220.09</v>
      </c>
      <c r="AN60" s="144">
        <v>159.25</v>
      </c>
      <c r="AO60" s="144">
        <v>222.95</v>
      </c>
      <c r="AP60" s="5">
        <v>161.29</v>
      </c>
      <c r="AQ60" s="121">
        <v>225.8</v>
      </c>
      <c r="AR60" s="5">
        <v>91.82</v>
      </c>
      <c r="AS60" s="5">
        <v>89.78</v>
      </c>
      <c r="AT60" s="5">
        <v>87.74</v>
      </c>
      <c r="AU60" s="5">
        <v>85.7</v>
      </c>
      <c r="AV60" s="37">
        <v>56</v>
      </c>
      <c r="AW60" s="41">
        <v>66.12</v>
      </c>
      <c r="AX60" s="41">
        <v>67.56</v>
      </c>
      <c r="AY60" s="41">
        <v>69</v>
      </c>
      <c r="AZ60" s="41">
        <v>70.44</v>
      </c>
      <c r="BA60" s="41">
        <v>72.88</v>
      </c>
      <c r="BB60" s="41">
        <v>73.319999999999993</v>
      </c>
      <c r="BC60" s="41">
        <v>74.75</v>
      </c>
      <c r="BD60" s="41">
        <v>76.19</v>
      </c>
      <c r="BE60" s="42">
        <v>77.63</v>
      </c>
      <c r="BF60" s="62">
        <v>79.069999999999993</v>
      </c>
      <c r="BG60" s="62">
        <v>80.510000000000005</v>
      </c>
      <c r="BH60" s="68">
        <v>81.95</v>
      </c>
      <c r="BI60" s="42">
        <v>83.39</v>
      </c>
      <c r="BJ60" s="34">
        <v>84.83</v>
      </c>
      <c r="BK60" s="43">
        <v>86.27</v>
      </c>
      <c r="BL60" s="5">
        <v>87.71</v>
      </c>
      <c r="BM60" s="5">
        <v>89.15</v>
      </c>
      <c r="BN60" s="5">
        <v>90.59</v>
      </c>
      <c r="BO60" s="5">
        <v>92.03</v>
      </c>
      <c r="BP60" s="5">
        <v>93.46</v>
      </c>
      <c r="BQ60" s="5">
        <v>94.9</v>
      </c>
      <c r="BR60" s="144">
        <v>96.34</v>
      </c>
      <c r="BS60" s="144">
        <v>97.78</v>
      </c>
      <c r="BT60" s="144">
        <v>99.22</v>
      </c>
      <c r="BU60" s="144">
        <v>100.66</v>
      </c>
      <c r="BV60" s="144">
        <v>102.1</v>
      </c>
      <c r="BW60" s="5">
        <v>58.95</v>
      </c>
      <c r="BX60" s="5">
        <v>57.51</v>
      </c>
      <c r="BY60" s="5">
        <v>56.07</v>
      </c>
      <c r="BZ60" s="5">
        <v>54.63</v>
      </c>
    </row>
    <row r="61" spans="1:78" x14ac:dyDescent="0.45">
      <c r="A61" s="119" t="s">
        <v>518</v>
      </c>
      <c r="B61" s="41">
        <v>122.66</v>
      </c>
      <c r="C61" s="81">
        <v>168.73</v>
      </c>
      <c r="D61" s="41">
        <v>124.73</v>
      </c>
      <c r="E61" s="81">
        <v>174.63</v>
      </c>
      <c r="F61" s="41">
        <v>126.81</v>
      </c>
      <c r="G61" s="88">
        <v>177.53</v>
      </c>
      <c r="H61" s="42">
        <v>128.88</v>
      </c>
      <c r="I61" s="94">
        <v>180.44</v>
      </c>
      <c r="J61" s="62">
        <v>130.96</v>
      </c>
      <c r="K61" s="100">
        <v>183.34</v>
      </c>
      <c r="L61" s="62">
        <v>133.03</v>
      </c>
      <c r="M61" s="100">
        <v>186.25</v>
      </c>
      <c r="N61" s="68">
        <v>135.11000000000001</v>
      </c>
      <c r="O61" s="106">
        <v>189.15</v>
      </c>
      <c r="P61" s="42">
        <v>137.18</v>
      </c>
      <c r="Q61" s="94">
        <v>192.06</v>
      </c>
      <c r="R61" s="42">
        <v>139.26</v>
      </c>
      <c r="S61" s="112">
        <v>194.96</v>
      </c>
      <c r="T61" s="43">
        <v>141.33000000000001</v>
      </c>
      <c r="U61" s="45">
        <v>197.87</v>
      </c>
      <c r="V61" s="5">
        <v>143.41</v>
      </c>
      <c r="W61" s="45">
        <v>200.77</v>
      </c>
      <c r="X61" s="5">
        <v>145.47999999999999</v>
      </c>
      <c r="Y61" s="126">
        <v>203.68</v>
      </c>
      <c r="Z61" s="5">
        <v>147.56</v>
      </c>
      <c r="AA61" s="126">
        <v>206.58</v>
      </c>
      <c r="AB61" s="5">
        <v>149.63</v>
      </c>
      <c r="AC61" s="134">
        <v>209.49</v>
      </c>
      <c r="AD61" s="5">
        <v>151.71</v>
      </c>
      <c r="AE61" s="134">
        <v>212.39</v>
      </c>
      <c r="AF61" s="5">
        <v>153.78</v>
      </c>
      <c r="AG61" s="134">
        <v>215.29</v>
      </c>
      <c r="AH61" s="144">
        <v>155.86000000000001</v>
      </c>
      <c r="AI61" s="134">
        <v>218.2</v>
      </c>
      <c r="AJ61" s="144">
        <v>157.93</v>
      </c>
      <c r="AK61" s="134">
        <v>221.1</v>
      </c>
      <c r="AL61" s="144">
        <v>160.01</v>
      </c>
      <c r="AM61" s="134">
        <v>224.01</v>
      </c>
      <c r="AN61" s="144">
        <v>162.08000000000001</v>
      </c>
      <c r="AO61" s="144">
        <v>226.91</v>
      </c>
      <c r="AP61" s="5">
        <v>164.16</v>
      </c>
      <c r="AQ61" s="121">
        <v>229.82</v>
      </c>
      <c r="AR61" s="5">
        <v>93.45</v>
      </c>
      <c r="AS61" s="5">
        <v>91.38</v>
      </c>
      <c r="AT61" s="5">
        <v>89.3</v>
      </c>
      <c r="AU61" s="5">
        <v>87.23</v>
      </c>
      <c r="AV61" s="37">
        <v>57</v>
      </c>
      <c r="AW61" s="41">
        <v>67.290000000000006</v>
      </c>
      <c r="AX61" s="41">
        <v>68.75</v>
      </c>
      <c r="AY61" s="41">
        <v>70.22</v>
      </c>
      <c r="AZ61" s="41">
        <v>71.680000000000007</v>
      </c>
      <c r="BA61" s="41">
        <v>73.150000000000006</v>
      </c>
      <c r="BB61" s="41">
        <v>74.61</v>
      </c>
      <c r="BC61" s="41">
        <v>76.08</v>
      </c>
      <c r="BD61" s="41">
        <v>77.540000000000006</v>
      </c>
      <c r="BE61" s="42">
        <v>79.010000000000005</v>
      </c>
      <c r="BF61" s="62">
        <v>80.47</v>
      </c>
      <c r="BG61" s="62">
        <v>81.94</v>
      </c>
      <c r="BH61" s="68">
        <v>83.4</v>
      </c>
      <c r="BI61" s="42">
        <v>84.87</v>
      </c>
      <c r="BJ61" s="34">
        <v>86.33</v>
      </c>
      <c r="BK61" s="43">
        <v>87.8</v>
      </c>
      <c r="BL61" s="5">
        <v>89.26</v>
      </c>
      <c r="BM61" s="5">
        <v>90.73</v>
      </c>
      <c r="BN61" s="5">
        <v>92.19</v>
      </c>
      <c r="BO61" s="5">
        <v>93.65</v>
      </c>
      <c r="BP61" s="5">
        <v>95.12</v>
      </c>
      <c r="BQ61" s="5">
        <v>96.58</v>
      </c>
      <c r="BR61" s="144">
        <v>98.05</v>
      </c>
      <c r="BS61" s="144">
        <v>99.51</v>
      </c>
      <c r="BT61" s="144">
        <v>100.98</v>
      </c>
      <c r="BU61" s="144">
        <v>102.44</v>
      </c>
      <c r="BV61" s="144">
        <v>103.91</v>
      </c>
      <c r="BW61" s="5">
        <v>59.99</v>
      </c>
      <c r="BX61" s="5">
        <v>58.53</v>
      </c>
      <c r="BY61" s="5">
        <v>57.06</v>
      </c>
      <c r="BZ61" s="5">
        <v>55.6</v>
      </c>
    </row>
    <row r="62" spans="1:78" x14ac:dyDescent="0.45">
      <c r="A62" s="119" t="s">
        <v>519</v>
      </c>
      <c r="B62" s="41">
        <v>124.82</v>
      </c>
      <c r="C62" s="81">
        <v>171.72</v>
      </c>
      <c r="D62" s="41">
        <v>126.93</v>
      </c>
      <c r="E62" s="81">
        <v>177.7</v>
      </c>
      <c r="F62" s="41">
        <v>129.04</v>
      </c>
      <c r="G62" s="88">
        <v>180.66</v>
      </c>
      <c r="H62" s="42">
        <v>131.15</v>
      </c>
      <c r="I62" s="94">
        <v>183.61</v>
      </c>
      <c r="J62" s="62">
        <v>133.26</v>
      </c>
      <c r="K62" s="100">
        <v>186.57</v>
      </c>
      <c r="L62" s="62">
        <v>135.37</v>
      </c>
      <c r="M62" s="100">
        <v>189.52</v>
      </c>
      <c r="N62" s="68">
        <v>137.47999999999999</v>
      </c>
      <c r="O62" s="106">
        <v>192.48</v>
      </c>
      <c r="P62" s="42">
        <v>139.6</v>
      </c>
      <c r="Q62" s="94">
        <v>195.43</v>
      </c>
      <c r="R62" s="42">
        <v>141.71</v>
      </c>
      <c r="S62" s="112">
        <v>198.39</v>
      </c>
      <c r="T62" s="43">
        <v>143.82</v>
      </c>
      <c r="U62" s="45">
        <v>201.35</v>
      </c>
      <c r="V62" s="5">
        <v>145.93</v>
      </c>
      <c r="W62" s="45">
        <v>204.3</v>
      </c>
      <c r="X62" s="5">
        <v>148.04</v>
      </c>
      <c r="Y62" s="126">
        <f>ROUND(X62*1.4,2)</f>
        <v>207.26</v>
      </c>
      <c r="Z62" s="5">
        <v>150.15</v>
      </c>
      <c r="AA62" s="126">
        <v>210.21</v>
      </c>
      <c r="AB62" s="5">
        <v>152.26</v>
      </c>
      <c r="AC62" s="134">
        <v>213.17</v>
      </c>
      <c r="AD62" s="5">
        <v>154.37</v>
      </c>
      <c r="AE62" s="134">
        <v>216.12</v>
      </c>
      <c r="AF62" s="5">
        <v>156.49</v>
      </c>
      <c r="AG62" s="134">
        <v>219.08</v>
      </c>
      <c r="AH62" s="144">
        <v>158.6</v>
      </c>
      <c r="AI62" s="134">
        <v>222.03</v>
      </c>
      <c r="AJ62" s="144">
        <v>160.71</v>
      </c>
      <c r="AK62" s="134">
        <v>224.99</v>
      </c>
      <c r="AL62" s="144">
        <v>162.82</v>
      </c>
      <c r="AM62" s="134">
        <v>227.95</v>
      </c>
      <c r="AN62" s="144">
        <v>164.93</v>
      </c>
      <c r="AO62" s="144">
        <v>230.9</v>
      </c>
      <c r="AP62" s="5">
        <v>167.04</v>
      </c>
      <c r="AQ62" s="121">
        <v>233.86</v>
      </c>
      <c r="AR62" s="5">
        <v>95.09</v>
      </c>
      <c r="AS62" s="5">
        <v>92.98</v>
      </c>
      <c r="AT62" s="5">
        <v>90.87</v>
      </c>
      <c r="AU62" s="5">
        <v>88.76</v>
      </c>
      <c r="AV62" s="37">
        <v>58</v>
      </c>
      <c r="AW62" s="41">
        <v>68.459999999999994</v>
      </c>
      <c r="AX62" s="41">
        <v>69.95</v>
      </c>
      <c r="AY62" s="41">
        <v>71.44</v>
      </c>
      <c r="AZ62" s="41">
        <v>72.930000000000007</v>
      </c>
      <c r="BA62" s="41">
        <v>74.42</v>
      </c>
      <c r="BB62" s="41">
        <v>75.91</v>
      </c>
      <c r="BC62" s="41">
        <v>77.400000000000006</v>
      </c>
      <c r="BD62" s="41">
        <v>78.89</v>
      </c>
      <c r="BE62" s="42">
        <v>80.38</v>
      </c>
      <c r="BF62" s="62">
        <v>81.87</v>
      </c>
      <c r="BG62" s="62">
        <v>83.36</v>
      </c>
      <c r="BH62" s="68">
        <v>84.85</v>
      </c>
      <c r="BI62" s="42">
        <v>86.34</v>
      </c>
      <c r="BJ62" s="34">
        <v>87.84</v>
      </c>
      <c r="BK62" s="43">
        <v>89.33</v>
      </c>
      <c r="BL62" s="5">
        <v>90.82</v>
      </c>
      <c r="BM62" s="5">
        <v>92.31</v>
      </c>
      <c r="BN62" s="5">
        <v>93.8</v>
      </c>
      <c r="BO62" s="5">
        <v>95.29</v>
      </c>
      <c r="BP62" s="5">
        <v>96.78</v>
      </c>
      <c r="BQ62" s="5">
        <v>98.27</v>
      </c>
      <c r="BR62" s="144">
        <v>99.76</v>
      </c>
      <c r="BS62" s="144">
        <v>101.25</v>
      </c>
      <c r="BT62" s="144">
        <v>102.74</v>
      </c>
      <c r="BU62" s="144">
        <v>104.23</v>
      </c>
      <c r="BV62" s="144">
        <v>105.72</v>
      </c>
      <c r="BW62" s="5">
        <v>61.04</v>
      </c>
      <c r="BX62" s="5">
        <v>59.55</v>
      </c>
      <c r="BY62" s="5">
        <v>58.06</v>
      </c>
      <c r="BZ62" s="5">
        <v>56.57</v>
      </c>
    </row>
    <row r="63" spans="1:78" x14ac:dyDescent="0.45">
      <c r="A63" s="119" t="s">
        <v>520</v>
      </c>
      <c r="B63" s="41">
        <v>126.93</v>
      </c>
      <c r="C63" s="81">
        <v>174.74</v>
      </c>
      <c r="D63" s="41">
        <v>129.08000000000001</v>
      </c>
      <c r="E63" s="81">
        <v>180.71</v>
      </c>
      <c r="F63" s="41">
        <v>131.22</v>
      </c>
      <c r="G63" s="88">
        <v>183.71</v>
      </c>
      <c r="H63" s="42">
        <v>133.37</v>
      </c>
      <c r="I63" s="94">
        <v>186.72</v>
      </c>
      <c r="J63" s="62">
        <v>135.52000000000001</v>
      </c>
      <c r="K63" s="100">
        <v>189.73</v>
      </c>
      <c r="L63" s="62">
        <v>137.66999999999999</v>
      </c>
      <c r="M63" s="100">
        <v>192.73</v>
      </c>
      <c r="N63" s="68">
        <v>139.82</v>
      </c>
      <c r="O63" s="106">
        <v>195.74</v>
      </c>
      <c r="P63" s="42">
        <v>141.96</v>
      </c>
      <c r="Q63" s="94">
        <v>198.75</v>
      </c>
      <c r="R63" s="42">
        <v>144.11000000000001</v>
      </c>
      <c r="S63" s="112">
        <v>201.75</v>
      </c>
      <c r="T63" s="43">
        <v>146.26</v>
      </c>
      <c r="U63" s="45">
        <v>204.76</v>
      </c>
      <c r="V63" s="5">
        <v>148.41</v>
      </c>
      <c r="W63" s="45">
        <v>207.77</v>
      </c>
      <c r="X63" s="5">
        <v>150.55000000000001</v>
      </c>
      <c r="Y63" s="126">
        <f>ROUND(X63*1.4,2)</f>
        <v>210.77</v>
      </c>
      <c r="Z63" s="5">
        <v>152.69999999999999</v>
      </c>
      <c r="AA63" s="126">
        <v>213.78</v>
      </c>
      <c r="AB63" s="5">
        <v>154.85</v>
      </c>
      <c r="AC63" s="134">
        <v>216.79</v>
      </c>
      <c r="AD63" s="5">
        <v>157</v>
      </c>
      <c r="AE63" s="134">
        <v>219.79</v>
      </c>
      <c r="AF63" s="5">
        <v>159.13999999999999</v>
      </c>
      <c r="AG63" s="134">
        <v>222.8</v>
      </c>
      <c r="AH63" s="144">
        <v>161.29</v>
      </c>
      <c r="AI63" s="134">
        <v>225.81</v>
      </c>
      <c r="AJ63" s="144">
        <v>163.44</v>
      </c>
      <c r="AK63" s="134">
        <v>228.81</v>
      </c>
      <c r="AL63" s="144">
        <v>165.59</v>
      </c>
      <c r="AM63" s="134">
        <v>231.82</v>
      </c>
      <c r="AN63" s="144">
        <v>167.73</v>
      </c>
      <c r="AO63" s="144">
        <v>234.83</v>
      </c>
      <c r="AP63" s="5">
        <v>169.88</v>
      </c>
      <c r="AQ63" s="121">
        <v>237.83</v>
      </c>
      <c r="AR63" s="5">
        <v>96.71</v>
      </c>
      <c r="AS63" s="5">
        <v>94.56</v>
      </c>
      <c r="AT63" s="5">
        <v>92.41</v>
      </c>
      <c r="AU63" s="5">
        <v>90.27</v>
      </c>
      <c r="AV63" s="37">
        <v>59</v>
      </c>
      <c r="AW63" s="41">
        <v>69.63</v>
      </c>
      <c r="AX63" s="41">
        <v>71.150000000000006</v>
      </c>
      <c r="AY63" s="41">
        <v>72.66</v>
      </c>
      <c r="AZ63" s="41">
        <v>94.18</v>
      </c>
      <c r="BA63" s="41">
        <v>75.7</v>
      </c>
      <c r="BB63" s="41">
        <v>77.209999999999994</v>
      </c>
      <c r="BC63" s="41">
        <v>78.73</v>
      </c>
      <c r="BD63" s="41">
        <v>80.25</v>
      </c>
      <c r="BE63" s="42">
        <v>81.760000000000005</v>
      </c>
      <c r="BF63" s="62">
        <v>83.28</v>
      </c>
      <c r="BG63" s="62">
        <v>84.79</v>
      </c>
      <c r="BH63" s="68">
        <v>86.31</v>
      </c>
      <c r="BI63" s="42">
        <v>87.83</v>
      </c>
      <c r="BJ63" s="34">
        <v>89.34</v>
      </c>
      <c r="BK63" s="43">
        <v>90.86</v>
      </c>
      <c r="BL63" s="5">
        <v>92.38</v>
      </c>
      <c r="BM63" s="5">
        <v>93.89</v>
      </c>
      <c r="BN63" s="5">
        <v>95.41</v>
      </c>
      <c r="BO63" s="5">
        <v>96.93</v>
      </c>
      <c r="BP63" s="5">
        <v>98.44</v>
      </c>
      <c r="BQ63" s="5">
        <v>99.96</v>
      </c>
      <c r="BR63" s="144">
        <v>101.47</v>
      </c>
      <c r="BS63" s="144">
        <v>102.99</v>
      </c>
      <c r="BT63" s="144">
        <v>104.51</v>
      </c>
      <c r="BU63" s="144">
        <v>106.02</v>
      </c>
      <c r="BV63" s="144">
        <v>107.54</v>
      </c>
      <c r="BW63" s="5">
        <v>62.09</v>
      </c>
      <c r="BX63" s="5">
        <v>60.57</v>
      </c>
      <c r="BY63" s="5">
        <v>59.05</v>
      </c>
      <c r="BZ63" s="5">
        <v>57.54</v>
      </c>
    </row>
    <row r="64" spans="1:78" x14ac:dyDescent="0.45">
      <c r="A64" s="119" t="s">
        <v>521</v>
      </c>
      <c r="B64" s="41">
        <v>129.06</v>
      </c>
      <c r="C64" s="81">
        <v>177.7</v>
      </c>
      <c r="D64" s="41">
        <v>131.24</v>
      </c>
      <c r="E64" s="81">
        <v>183.74</v>
      </c>
      <c r="F64" s="41">
        <v>133.41999999999999</v>
      </c>
      <c r="G64" s="88">
        <v>186.79</v>
      </c>
      <c r="H64" s="42">
        <v>135.61000000000001</v>
      </c>
      <c r="I64" s="94">
        <v>189.85</v>
      </c>
      <c r="J64" s="62">
        <v>137.79</v>
      </c>
      <c r="K64" s="100">
        <v>192.91</v>
      </c>
      <c r="L64" s="62">
        <v>139.97999999999999</v>
      </c>
      <c r="M64" s="100">
        <v>195.97</v>
      </c>
      <c r="N64" s="68">
        <v>142.16</v>
      </c>
      <c r="O64" s="106">
        <v>199.02</v>
      </c>
      <c r="P64" s="42">
        <v>144.34</v>
      </c>
      <c r="Q64" s="94">
        <v>202.08</v>
      </c>
      <c r="R64" s="42">
        <v>146.53</v>
      </c>
      <c r="S64" s="112">
        <v>205.14</v>
      </c>
      <c r="T64" s="43">
        <v>148.71</v>
      </c>
      <c r="U64" s="45">
        <v>208.2</v>
      </c>
      <c r="V64" s="5">
        <v>150.9</v>
      </c>
      <c r="W64" s="45">
        <v>211.25</v>
      </c>
      <c r="X64" s="5">
        <v>153.08000000000001</v>
      </c>
      <c r="Y64" s="126">
        <v>214.31</v>
      </c>
      <c r="Z64" s="5">
        <v>155.26</v>
      </c>
      <c r="AA64" s="126">
        <v>217.36</v>
      </c>
      <c r="AB64" s="5">
        <v>157.44999999999999</v>
      </c>
      <c r="AC64" s="134">
        <v>220.43</v>
      </c>
      <c r="AD64" s="5">
        <v>159.63</v>
      </c>
      <c r="AE64" s="134">
        <v>223.48</v>
      </c>
      <c r="AF64" s="5">
        <v>161.82</v>
      </c>
      <c r="AG64" s="134">
        <v>226.54</v>
      </c>
      <c r="AH64" s="144">
        <v>164</v>
      </c>
      <c r="AI64" s="134">
        <v>229.6</v>
      </c>
      <c r="AJ64" s="144">
        <v>166.18</v>
      </c>
      <c r="AK64" s="134">
        <v>232.66</v>
      </c>
      <c r="AL64" s="144">
        <v>168.37</v>
      </c>
      <c r="AM64" s="134">
        <v>235.71</v>
      </c>
      <c r="AN64" s="144">
        <v>170.55</v>
      </c>
      <c r="AO64" s="144">
        <v>238.77</v>
      </c>
      <c r="AP64" s="5">
        <v>172.74</v>
      </c>
      <c r="AQ64" s="121">
        <v>241.83</v>
      </c>
      <c r="AR64" s="5">
        <v>98.33</v>
      </c>
      <c r="AS64" s="5">
        <v>96.15</v>
      </c>
      <c r="AT64" s="5">
        <v>93.97</v>
      </c>
      <c r="AU64" s="5">
        <v>91.78</v>
      </c>
      <c r="AV64" s="37">
        <v>60</v>
      </c>
      <c r="AW64" s="41">
        <v>70.81</v>
      </c>
      <c r="AX64" s="41">
        <v>72.349999999999994</v>
      </c>
      <c r="AY64" s="41">
        <v>73.89</v>
      </c>
      <c r="AZ64" s="41">
        <v>75.44</v>
      </c>
      <c r="BA64" s="41">
        <v>76.98</v>
      </c>
      <c r="BB64" s="41">
        <v>78.52</v>
      </c>
      <c r="BC64" s="41">
        <v>80.06</v>
      </c>
      <c r="BD64" s="41">
        <v>81.599999999999994</v>
      </c>
      <c r="BE64" s="42">
        <v>83.15</v>
      </c>
      <c r="BF64" s="62">
        <v>84.69</v>
      </c>
      <c r="BG64" s="62">
        <v>86.23</v>
      </c>
      <c r="BH64" s="68">
        <v>87.77</v>
      </c>
      <c r="BI64" s="42">
        <v>89.31</v>
      </c>
      <c r="BJ64" s="34">
        <v>90.86</v>
      </c>
      <c r="BK64" s="43">
        <v>92.4</v>
      </c>
      <c r="BL64" s="5">
        <v>93.94</v>
      </c>
      <c r="BM64" s="5">
        <v>95.48</v>
      </c>
      <c r="BN64" s="5">
        <v>97.02</v>
      </c>
      <c r="BO64" s="5">
        <v>98.57</v>
      </c>
      <c r="BP64" s="5">
        <v>100.11</v>
      </c>
      <c r="BQ64" s="5">
        <v>101.65</v>
      </c>
      <c r="BR64" s="144">
        <v>103.19</v>
      </c>
      <c r="BS64" s="144">
        <v>104.73</v>
      </c>
      <c r="BT64" s="144">
        <v>106.28</v>
      </c>
      <c r="BU64" s="144">
        <v>107.82</v>
      </c>
      <c r="BV64" s="144">
        <v>109.36</v>
      </c>
      <c r="BW64" s="5">
        <v>63.14</v>
      </c>
      <c r="BX64" s="5">
        <v>61.6</v>
      </c>
      <c r="BY64" s="5">
        <v>60.05</v>
      </c>
      <c r="BZ64" s="5">
        <v>58.51</v>
      </c>
    </row>
    <row r="65" spans="1:78" x14ac:dyDescent="0.45">
      <c r="A65" s="119" t="s">
        <v>522</v>
      </c>
      <c r="B65" s="41">
        <v>131.19999999999999</v>
      </c>
      <c r="C65" s="81">
        <v>180.68</v>
      </c>
      <c r="D65" s="41">
        <v>133.41999999999999</v>
      </c>
      <c r="E65" s="81">
        <v>186.78</v>
      </c>
      <c r="F65" s="41">
        <v>135.63999999999999</v>
      </c>
      <c r="G65" s="88">
        <v>189.89</v>
      </c>
      <c r="H65" s="42">
        <v>137.86000000000001</v>
      </c>
      <c r="I65" s="94">
        <v>190</v>
      </c>
      <c r="J65" s="62">
        <v>140.08000000000001</v>
      </c>
      <c r="K65" s="100">
        <v>196.11</v>
      </c>
      <c r="L65" s="62">
        <v>142.30000000000001</v>
      </c>
      <c r="M65" s="100">
        <v>199.22</v>
      </c>
      <c r="N65" s="68">
        <v>144.52000000000001</v>
      </c>
      <c r="O65" s="106">
        <v>202.33</v>
      </c>
      <c r="P65" s="42">
        <v>146.74</v>
      </c>
      <c r="Q65" s="94">
        <v>205.43</v>
      </c>
      <c r="R65" s="42">
        <v>148.96</v>
      </c>
      <c r="S65" s="112">
        <v>208.54</v>
      </c>
      <c r="T65" s="43">
        <v>151.18</v>
      </c>
      <c r="U65" s="45">
        <v>211.65</v>
      </c>
      <c r="V65" s="5">
        <v>153.4</v>
      </c>
      <c r="W65" s="45">
        <v>214.76</v>
      </c>
      <c r="X65" s="5">
        <v>155.62</v>
      </c>
      <c r="Y65" s="126">
        <v>217.87</v>
      </c>
      <c r="Z65" s="5">
        <v>157.84</v>
      </c>
      <c r="AA65" s="126">
        <v>220.98</v>
      </c>
      <c r="AB65" s="5">
        <v>160.06</v>
      </c>
      <c r="AC65" s="134">
        <v>224.09</v>
      </c>
      <c r="AD65" s="5">
        <v>162.28</v>
      </c>
      <c r="AE65" s="134">
        <v>227.19</v>
      </c>
      <c r="AF65" s="5">
        <v>164.5</v>
      </c>
      <c r="AG65" s="134">
        <v>230.3</v>
      </c>
      <c r="AH65" s="144">
        <v>166.72</v>
      </c>
      <c r="AI65" s="134">
        <v>233.41</v>
      </c>
      <c r="AJ65" s="144">
        <v>168.94</v>
      </c>
      <c r="AK65" s="134">
        <v>236.52</v>
      </c>
      <c r="AL65" s="144">
        <v>171.16</v>
      </c>
      <c r="AM65" s="134">
        <v>239.63</v>
      </c>
      <c r="AN65" s="144">
        <v>173.38</v>
      </c>
      <c r="AO65" s="144">
        <v>242.74</v>
      </c>
      <c r="AP65" s="5">
        <v>175.6</v>
      </c>
      <c r="AQ65" s="121">
        <v>245.85</v>
      </c>
      <c r="AR65" s="5">
        <v>99.97</v>
      </c>
      <c r="AS65" s="5">
        <v>97.75</v>
      </c>
      <c r="AT65" s="5">
        <v>95.53</v>
      </c>
      <c r="AU65" s="5">
        <v>93.31</v>
      </c>
      <c r="AV65" s="37">
        <v>61</v>
      </c>
      <c r="AW65" s="41">
        <v>71.97</v>
      </c>
      <c r="AX65" s="41">
        <v>73.540000000000006</v>
      </c>
      <c r="AY65" s="41">
        <v>75.11</v>
      </c>
      <c r="AZ65" s="41">
        <v>76.680000000000007</v>
      </c>
      <c r="BA65" s="41">
        <v>78.25</v>
      </c>
      <c r="BB65" s="41">
        <v>79.81</v>
      </c>
      <c r="BC65" s="41">
        <v>81.38</v>
      </c>
      <c r="BD65" s="41">
        <v>82.95</v>
      </c>
      <c r="BE65" s="42">
        <v>84.52</v>
      </c>
      <c r="BF65" s="62">
        <v>86.08</v>
      </c>
      <c r="BG65" s="62">
        <v>87.65</v>
      </c>
      <c r="BH65" s="68">
        <v>89.22</v>
      </c>
      <c r="BI65" s="42">
        <v>90.79</v>
      </c>
      <c r="BJ65" s="34">
        <v>92.35</v>
      </c>
      <c r="BK65" s="43">
        <v>93.92</v>
      </c>
      <c r="BL65" s="5">
        <v>95.49</v>
      </c>
      <c r="BM65" s="5">
        <v>97.06</v>
      </c>
      <c r="BN65" s="5">
        <v>98.63</v>
      </c>
      <c r="BO65" s="5">
        <v>100.19</v>
      </c>
      <c r="BP65" s="5">
        <v>101.76</v>
      </c>
      <c r="BQ65" s="5">
        <v>103.33</v>
      </c>
      <c r="BR65" s="144">
        <v>104.9</v>
      </c>
      <c r="BS65" s="144">
        <v>106.46</v>
      </c>
      <c r="BT65" s="144">
        <v>108.03</v>
      </c>
      <c r="BU65" s="144">
        <v>109.6</v>
      </c>
      <c r="BV65" s="144">
        <v>111.17</v>
      </c>
      <c r="BW65" s="5">
        <v>64.180000000000007</v>
      </c>
      <c r="BX65" s="5">
        <v>62.61</v>
      </c>
      <c r="BY65" s="5">
        <v>61.05</v>
      </c>
      <c r="BZ65" s="5">
        <v>59.48</v>
      </c>
    </row>
    <row r="66" spans="1:78" x14ac:dyDescent="0.45">
      <c r="A66" s="119" t="s">
        <v>523</v>
      </c>
      <c r="B66" s="44">
        <v>133.35</v>
      </c>
      <c r="C66" s="82">
        <v>186.67</v>
      </c>
      <c r="D66" s="41">
        <v>135.61000000000001</v>
      </c>
      <c r="E66" s="81">
        <v>189.85</v>
      </c>
      <c r="F66" s="41">
        <v>137.86000000000001</v>
      </c>
      <c r="G66" s="88">
        <v>193.01</v>
      </c>
      <c r="H66" s="42">
        <v>140.12</v>
      </c>
      <c r="I66" s="94">
        <v>196.17</v>
      </c>
      <c r="J66" s="62">
        <v>142.38</v>
      </c>
      <c r="K66" s="100">
        <v>199.33</v>
      </c>
      <c r="L66" s="62">
        <v>144.63</v>
      </c>
      <c r="M66" s="100">
        <v>202.49</v>
      </c>
      <c r="N66" s="68">
        <v>146.88999999999999</v>
      </c>
      <c r="O66" s="106">
        <v>205.65</v>
      </c>
      <c r="P66" s="42">
        <v>149.15</v>
      </c>
      <c r="Q66" s="94">
        <v>208.81</v>
      </c>
      <c r="R66" s="42">
        <v>151.41</v>
      </c>
      <c r="S66" s="112">
        <v>211.97</v>
      </c>
      <c r="T66" s="43">
        <v>153.66</v>
      </c>
      <c r="U66" s="45">
        <v>215.13</v>
      </c>
      <c r="V66" s="5">
        <v>155.91999999999999</v>
      </c>
      <c r="W66" s="45">
        <v>218.29</v>
      </c>
      <c r="X66" s="5">
        <v>158.18</v>
      </c>
      <c r="Y66" s="126">
        <v>221.45</v>
      </c>
      <c r="Z66" s="5">
        <v>160.43</v>
      </c>
      <c r="AA66" s="126">
        <v>224.6</v>
      </c>
      <c r="AB66" s="5">
        <v>162.69</v>
      </c>
      <c r="AC66" s="134">
        <v>227.76</v>
      </c>
      <c r="AD66" s="5">
        <v>164.95</v>
      </c>
      <c r="AE66" s="134">
        <v>230.92</v>
      </c>
      <c r="AF66" s="5">
        <v>167.2</v>
      </c>
      <c r="AG66" s="134">
        <v>234.08</v>
      </c>
      <c r="AH66" s="144">
        <v>169.46</v>
      </c>
      <c r="AI66" s="134">
        <v>237.24</v>
      </c>
      <c r="AJ66" s="144">
        <v>171.72</v>
      </c>
      <c r="AK66" s="134">
        <v>240.4</v>
      </c>
      <c r="AL66" s="144">
        <v>173.97</v>
      </c>
      <c r="AM66" s="134">
        <v>243.56</v>
      </c>
      <c r="AN66" s="144">
        <v>176.23</v>
      </c>
      <c r="AO66" s="144">
        <v>246.72</v>
      </c>
      <c r="AP66" s="5">
        <v>178.49</v>
      </c>
      <c r="AQ66" s="121">
        <v>249.88</v>
      </c>
      <c r="AR66" s="5">
        <v>101.61</v>
      </c>
      <c r="AS66" s="5">
        <v>99.35</v>
      </c>
      <c r="AT66" s="5">
        <v>97.09</v>
      </c>
      <c r="AU66" s="5">
        <v>94.84</v>
      </c>
      <c r="AV66" s="37">
        <v>62</v>
      </c>
      <c r="AW66" s="41">
        <v>73.14</v>
      </c>
      <c r="AX66" s="41">
        <v>74.739999999999995</v>
      </c>
      <c r="AY66" s="41">
        <v>76.33</v>
      </c>
      <c r="AZ66" s="41">
        <v>77.92</v>
      </c>
      <c r="BA66" s="41">
        <v>79.52</v>
      </c>
      <c r="BB66" s="41">
        <v>81.11</v>
      </c>
      <c r="BC66" s="41">
        <v>82.7</v>
      </c>
      <c r="BD66" s="41">
        <v>84.3</v>
      </c>
      <c r="BE66" s="42">
        <v>85.89</v>
      </c>
      <c r="BF66" s="62">
        <v>87.48</v>
      </c>
      <c r="BG66" s="62">
        <v>89.08</v>
      </c>
      <c r="BH66" s="68">
        <v>90.67</v>
      </c>
      <c r="BI66" s="42">
        <v>92.26</v>
      </c>
      <c r="BJ66" s="34">
        <v>93.86</v>
      </c>
      <c r="BK66" s="43">
        <v>95.45</v>
      </c>
      <c r="BL66" s="5">
        <v>97.04</v>
      </c>
      <c r="BM66" s="5">
        <v>98.64</v>
      </c>
      <c r="BN66" s="5">
        <v>100.23</v>
      </c>
      <c r="BO66" s="5">
        <v>101.82</v>
      </c>
      <c r="BP66" s="5">
        <v>103.42</v>
      </c>
      <c r="BQ66" s="5">
        <v>105.01</v>
      </c>
      <c r="BR66" s="144">
        <v>106.6</v>
      </c>
      <c r="BS66" s="144">
        <v>108.2</v>
      </c>
      <c r="BT66" s="144">
        <v>109.79</v>
      </c>
      <c r="BU66" s="144">
        <v>111.38</v>
      </c>
      <c r="BV66" s="144">
        <v>112.98</v>
      </c>
      <c r="BW66" s="5">
        <v>65.23</v>
      </c>
      <c r="BX66" s="5">
        <v>63.63</v>
      </c>
      <c r="BY66" s="5">
        <v>62.04</v>
      </c>
      <c r="BZ66" s="5">
        <v>60.44</v>
      </c>
    </row>
    <row r="67" spans="1:78" x14ac:dyDescent="0.45">
      <c r="A67" s="119" t="s">
        <v>524</v>
      </c>
      <c r="B67" s="41">
        <v>135.44999999999999</v>
      </c>
      <c r="C67" s="81">
        <v>186.69</v>
      </c>
      <c r="D67" s="41">
        <v>137.75</v>
      </c>
      <c r="E67" s="81">
        <v>192.84</v>
      </c>
      <c r="F67" s="41">
        <v>140.04</v>
      </c>
      <c r="G67" s="88">
        <v>196.05</v>
      </c>
      <c r="H67" s="42">
        <v>142.33000000000001</v>
      </c>
      <c r="I67" s="94">
        <v>199.26</v>
      </c>
      <c r="J67" s="62">
        <v>144.62</v>
      </c>
      <c r="K67" s="100">
        <v>202.47</v>
      </c>
      <c r="L67" s="62">
        <v>146.91999999999999</v>
      </c>
      <c r="M67" s="100">
        <v>205.68</v>
      </c>
      <c r="N67" s="68">
        <v>149.21</v>
      </c>
      <c r="O67" s="106">
        <v>208.9</v>
      </c>
      <c r="P67" s="42">
        <v>151.5</v>
      </c>
      <c r="Q67" s="94">
        <v>212.11</v>
      </c>
      <c r="R67" s="42">
        <v>153.80000000000001</v>
      </c>
      <c r="S67" s="112">
        <v>215.32</v>
      </c>
      <c r="T67" s="43">
        <v>156.09</v>
      </c>
      <c r="U67" s="45">
        <v>218.53</v>
      </c>
      <c r="V67" s="5">
        <v>158.38</v>
      </c>
      <c r="W67" s="45">
        <v>221.74</v>
      </c>
      <c r="X67" s="5">
        <v>160.68</v>
      </c>
      <c r="Y67" s="126">
        <v>224.95</v>
      </c>
      <c r="Z67" s="5">
        <v>162.97</v>
      </c>
      <c r="AA67" s="126">
        <v>228.16</v>
      </c>
      <c r="AB67" s="5">
        <v>165.26</v>
      </c>
      <c r="AC67" s="134">
        <v>231.37</v>
      </c>
      <c r="AD67" s="5">
        <v>167.56</v>
      </c>
      <c r="AE67" s="134">
        <v>234.58</v>
      </c>
      <c r="AF67" s="5">
        <v>169.85</v>
      </c>
      <c r="AG67" s="134">
        <v>237.79</v>
      </c>
      <c r="AH67" s="144">
        <v>172.14</v>
      </c>
      <c r="AI67" s="134">
        <v>241</v>
      </c>
      <c r="AJ67" s="144">
        <v>174.44</v>
      </c>
      <c r="AK67" s="134">
        <v>244.21</v>
      </c>
      <c r="AL67" s="144">
        <v>176.73</v>
      </c>
      <c r="AM67" s="134">
        <v>247.42</v>
      </c>
      <c r="AN67" s="144">
        <v>179.02</v>
      </c>
      <c r="AO67" s="144">
        <v>250.63</v>
      </c>
      <c r="AP67" s="5">
        <v>181.32</v>
      </c>
      <c r="AQ67" s="121">
        <v>253.84</v>
      </c>
      <c r="AR67" s="5">
        <v>103.22</v>
      </c>
      <c r="AS67" s="5">
        <v>100.92</v>
      </c>
      <c r="AT67" s="5">
        <v>98.63</v>
      </c>
      <c r="AU67" s="5">
        <v>96.34</v>
      </c>
      <c r="AV67" s="37">
        <v>63</v>
      </c>
      <c r="AW67" s="41">
        <v>74.31</v>
      </c>
      <c r="AX67" s="41">
        <v>75.930000000000007</v>
      </c>
      <c r="AY67" s="41">
        <v>77.55</v>
      </c>
      <c r="AZ67" s="41">
        <v>79.17</v>
      </c>
      <c r="BA67" s="41">
        <v>80.790000000000006</v>
      </c>
      <c r="BB67" s="41">
        <v>82.41</v>
      </c>
      <c r="BC67" s="41">
        <v>84.03</v>
      </c>
      <c r="BD67" s="41">
        <v>85.65</v>
      </c>
      <c r="BE67" s="42">
        <v>87.27</v>
      </c>
      <c r="BF67" s="62">
        <v>88.88</v>
      </c>
      <c r="BG67" s="62">
        <v>90.5</v>
      </c>
      <c r="BH67" s="68">
        <v>92.12</v>
      </c>
      <c r="BI67" s="42">
        <v>93.74</v>
      </c>
      <c r="BJ67" s="34">
        <v>95.36</v>
      </c>
      <c r="BK67" s="43">
        <v>96.98</v>
      </c>
      <c r="BL67" s="5">
        <v>98.6</v>
      </c>
      <c r="BM67" s="5">
        <v>100.22</v>
      </c>
      <c r="BN67" s="5">
        <v>101.84</v>
      </c>
      <c r="BO67" s="5">
        <v>103.46</v>
      </c>
      <c r="BP67" s="5">
        <v>105.08</v>
      </c>
      <c r="BQ67" s="5">
        <v>106.69</v>
      </c>
      <c r="BR67" s="144">
        <v>108.31</v>
      </c>
      <c r="BS67" s="144">
        <v>109.93</v>
      </c>
      <c r="BT67" s="144">
        <v>111.55</v>
      </c>
      <c r="BU67" s="144">
        <v>113.17</v>
      </c>
      <c r="BV67" s="144">
        <v>114.79</v>
      </c>
      <c r="BW67" s="5">
        <v>66.27</v>
      </c>
      <c r="BX67" s="5">
        <v>64.650000000000006</v>
      </c>
      <c r="BY67" s="5">
        <v>63.03</v>
      </c>
      <c r="BZ67" s="5">
        <v>61.41</v>
      </c>
    </row>
    <row r="68" spans="1:78" x14ac:dyDescent="0.45">
      <c r="A68" s="119" t="s">
        <v>525</v>
      </c>
      <c r="B68" s="41">
        <v>137.56</v>
      </c>
      <c r="C68" s="81">
        <v>189.63</v>
      </c>
      <c r="D68" s="41">
        <v>139.88999999999999</v>
      </c>
      <c r="E68" s="81">
        <v>195.85</v>
      </c>
      <c r="F68" s="41">
        <v>142.22</v>
      </c>
      <c r="G68" s="88">
        <v>199.11</v>
      </c>
      <c r="H68" s="42">
        <v>144.55000000000001</v>
      </c>
      <c r="I68" s="94">
        <v>202.38</v>
      </c>
      <c r="J68" s="62">
        <v>146.88</v>
      </c>
      <c r="K68" s="100">
        <v>205.64</v>
      </c>
      <c r="L68" s="62">
        <v>149.21</v>
      </c>
      <c r="M68" s="100">
        <v>208.9</v>
      </c>
      <c r="N68" s="68">
        <v>151.54</v>
      </c>
      <c r="O68" s="106">
        <v>212.16</v>
      </c>
      <c r="P68" s="42">
        <v>153.87</v>
      </c>
      <c r="Q68" s="94">
        <v>215.42</v>
      </c>
      <c r="R68" s="42">
        <v>156.19999999999999</v>
      </c>
      <c r="S68" s="112">
        <v>218.68</v>
      </c>
      <c r="T68" s="43">
        <v>158.53</v>
      </c>
      <c r="U68" s="45">
        <v>221.94</v>
      </c>
      <c r="V68" s="5">
        <v>160.86000000000001</v>
      </c>
      <c r="W68" s="45">
        <v>225.21</v>
      </c>
      <c r="X68" s="5">
        <v>163.19</v>
      </c>
      <c r="Y68" s="126">
        <v>228.47</v>
      </c>
      <c r="Z68" s="5">
        <v>165.52</v>
      </c>
      <c r="AA68" s="126">
        <v>231.73</v>
      </c>
      <c r="AB68" s="5">
        <v>167.85</v>
      </c>
      <c r="AC68" s="134">
        <v>234.99</v>
      </c>
      <c r="AD68" s="5">
        <v>170.18</v>
      </c>
      <c r="AE68" s="134">
        <v>238.25</v>
      </c>
      <c r="AF68" s="5">
        <v>172.51</v>
      </c>
      <c r="AG68" s="134">
        <v>241.51</v>
      </c>
      <c r="AH68" s="144">
        <v>174.84</v>
      </c>
      <c r="AI68" s="134">
        <v>244.77</v>
      </c>
      <c r="AJ68" s="144">
        <v>177.17</v>
      </c>
      <c r="AK68" s="134">
        <v>248.04</v>
      </c>
      <c r="AL68" s="144">
        <v>179.5</v>
      </c>
      <c r="AM68" s="134">
        <v>251.3</v>
      </c>
      <c r="AN68" s="144">
        <v>181.83</v>
      </c>
      <c r="AO68" s="144">
        <v>254.56</v>
      </c>
      <c r="AP68" s="5">
        <v>184.16</v>
      </c>
      <c r="AQ68" s="121">
        <v>257.82</v>
      </c>
      <c r="AR68" s="5">
        <v>104.83</v>
      </c>
      <c r="AS68" s="5">
        <v>102.51</v>
      </c>
      <c r="AT68" s="5">
        <v>100.18</v>
      </c>
      <c r="AU68" s="5">
        <v>97.85</v>
      </c>
      <c r="AV68" s="37">
        <v>64</v>
      </c>
      <c r="AW68" s="41">
        <v>75.489999999999995</v>
      </c>
      <c r="AX68" s="41">
        <v>77.13</v>
      </c>
      <c r="AY68" s="41">
        <v>78.78</v>
      </c>
      <c r="AZ68" s="41">
        <v>8.42</v>
      </c>
      <c r="BA68" s="41">
        <v>82.07</v>
      </c>
      <c r="BB68" s="41">
        <v>83.71</v>
      </c>
      <c r="BC68" s="41">
        <v>85.36</v>
      </c>
      <c r="BD68" s="41">
        <v>87</v>
      </c>
      <c r="BE68" s="42">
        <v>88.65</v>
      </c>
      <c r="BF68" s="62">
        <v>90.29</v>
      </c>
      <c r="BG68" s="62">
        <v>91.94</v>
      </c>
      <c r="BH68" s="68">
        <v>93.58</v>
      </c>
      <c r="BI68" s="42">
        <v>95.22</v>
      </c>
      <c r="BJ68" s="34">
        <v>96.87</v>
      </c>
      <c r="BK68" s="43">
        <v>98.51</v>
      </c>
      <c r="BL68" s="5">
        <v>100.16</v>
      </c>
      <c r="BM68" s="5">
        <v>101.8</v>
      </c>
      <c r="BN68" s="5">
        <v>103.45</v>
      </c>
      <c r="BO68" s="5">
        <v>105.09</v>
      </c>
      <c r="BP68" s="5">
        <v>106.74</v>
      </c>
      <c r="BQ68" s="5">
        <v>108.38</v>
      </c>
      <c r="BR68" s="144">
        <v>110.03</v>
      </c>
      <c r="BS68" s="144">
        <v>111.67</v>
      </c>
      <c r="BT68" s="144">
        <v>113.32</v>
      </c>
      <c r="BU68" s="144">
        <v>114.96</v>
      </c>
      <c r="BV68" s="144">
        <v>116.61</v>
      </c>
      <c r="BW68" s="5">
        <v>67.319999999999993</v>
      </c>
      <c r="BX68" s="5">
        <v>65.680000000000007</v>
      </c>
      <c r="BY68" s="5">
        <v>64.03</v>
      </c>
      <c r="BZ68" s="5">
        <v>62.39</v>
      </c>
    </row>
    <row r="69" spans="1:78" x14ac:dyDescent="0.45">
      <c r="A69" s="119" t="s">
        <v>526</v>
      </c>
      <c r="B69" s="41">
        <v>139.69</v>
      </c>
      <c r="C69" s="81">
        <v>192.59</v>
      </c>
      <c r="D69" s="41">
        <v>142.06</v>
      </c>
      <c r="E69" s="81">
        <v>198.88</v>
      </c>
      <c r="F69" s="41">
        <v>144.41999999999999</v>
      </c>
      <c r="G69" s="88">
        <v>202.19</v>
      </c>
      <c r="H69" s="42">
        <v>146.79</v>
      </c>
      <c r="I69" s="94">
        <v>205.5</v>
      </c>
      <c r="J69" s="62">
        <v>149.15</v>
      </c>
      <c r="K69" s="100">
        <v>208.82</v>
      </c>
      <c r="L69" s="62">
        <v>151.52000000000001</v>
      </c>
      <c r="M69" s="100">
        <v>212.13</v>
      </c>
      <c r="N69" s="68">
        <v>153.88999999999999</v>
      </c>
      <c r="O69" s="106">
        <v>215.44</v>
      </c>
      <c r="P69" s="42">
        <v>156.25</v>
      </c>
      <c r="Q69" s="94">
        <v>218.75</v>
      </c>
      <c r="R69" s="42">
        <v>158.62</v>
      </c>
      <c r="S69" s="112">
        <v>222.07</v>
      </c>
      <c r="T69" s="43">
        <v>160.97999999999999</v>
      </c>
      <c r="U69" s="45">
        <v>225.38</v>
      </c>
      <c r="V69" s="5">
        <v>163.35</v>
      </c>
      <c r="W69" s="45">
        <v>228.69</v>
      </c>
      <c r="X69" s="5">
        <v>165.72</v>
      </c>
      <c r="Y69" s="126">
        <v>232</v>
      </c>
      <c r="Z69" s="5">
        <v>168.08</v>
      </c>
      <c r="AA69" s="126">
        <v>235.31</v>
      </c>
      <c r="AB69" s="5">
        <v>170.45</v>
      </c>
      <c r="AC69" s="134">
        <v>238.63</v>
      </c>
      <c r="AD69" s="5">
        <v>172.81</v>
      </c>
      <c r="AE69" s="134">
        <v>241.94</v>
      </c>
      <c r="AF69" s="5">
        <v>175.18</v>
      </c>
      <c r="AG69" s="134">
        <v>245.25</v>
      </c>
      <c r="AH69" s="144">
        <v>177.55</v>
      </c>
      <c r="AI69" s="134">
        <v>248.57</v>
      </c>
      <c r="AJ69" s="144">
        <v>179.91</v>
      </c>
      <c r="AK69" s="134">
        <v>251.88</v>
      </c>
      <c r="AL69" s="144">
        <v>182.28</v>
      </c>
      <c r="AM69" s="134">
        <v>255.19</v>
      </c>
      <c r="AN69" s="144">
        <v>184.64</v>
      </c>
      <c r="AO69" s="144">
        <v>258.5</v>
      </c>
      <c r="AP69" s="5">
        <v>187.01</v>
      </c>
      <c r="AQ69" s="121">
        <v>261.81</v>
      </c>
      <c r="AR69" s="5">
        <v>106.46</v>
      </c>
      <c r="AS69" s="5">
        <v>104.09</v>
      </c>
      <c r="AT69" s="5">
        <v>101.73</v>
      </c>
      <c r="AU69" s="5">
        <v>99.36</v>
      </c>
      <c r="AV69" s="37">
        <v>65</v>
      </c>
      <c r="AW69" s="41">
        <v>76.64</v>
      </c>
      <c r="AX69" s="41">
        <v>78.31</v>
      </c>
      <c r="AY69" s="41">
        <v>79.989999999999995</v>
      </c>
      <c r="AZ69" s="41">
        <v>81.66</v>
      </c>
      <c r="BA69" s="41">
        <v>83.33</v>
      </c>
      <c r="BB69" s="41">
        <v>85</v>
      </c>
      <c r="BC69" s="41">
        <v>86.67</v>
      </c>
      <c r="BD69" s="41">
        <v>88.34</v>
      </c>
      <c r="BE69" s="42">
        <v>90.01</v>
      </c>
      <c r="BF69" s="62">
        <v>91.68</v>
      </c>
      <c r="BG69" s="62">
        <v>93.35</v>
      </c>
      <c r="BH69" s="68">
        <v>95.02</v>
      </c>
      <c r="BI69" s="42">
        <v>96.69</v>
      </c>
      <c r="BJ69" s="34">
        <v>98.36</v>
      </c>
      <c r="BK69" s="43">
        <v>100.03</v>
      </c>
      <c r="BL69" s="5">
        <v>101.7</v>
      </c>
      <c r="BM69" s="5">
        <v>103.37</v>
      </c>
      <c r="BN69" s="5">
        <v>105.04</v>
      </c>
      <c r="BO69" s="5">
        <v>106.71</v>
      </c>
      <c r="BP69" s="5">
        <v>108.38</v>
      </c>
      <c r="BQ69" s="5">
        <v>110.05</v>
      </c>
      <c r="BR69" s="144">
        <v>111.72</v>
      </c>
      <c r="BS69" s="144">
        <v>113.4</v>
      </c>
      <c r="BT69" s="144">
        <v>115.07</v>
      </c>
      <c r="BU69" s="144">
        <v>116.74</v>
      </c>
      <c r="BV69" s="144">
        <v>118.41</v>
      </c>
      <c r="BW69" s="5">
        <v>68.36</v>
      </c>
      <c r="BX69" s="5">
        <v>66.69</v>
      </c>
      <c r="BY69" s="5">
        <v>65.02</v>
      </c>
      <c r="BZ69" s="5">
        <v>63.35</v>
      </c>
    </row>
    <row r="70" spans="1:78" x14ac:dyDescent="0.45">
      <c r="A70" s="119" t="s">
        <v>527</v>
      </c>
      <c r="B70" s="41">
        <v>141.83000000000001</v>
      </c>
      <c r="C70" s="81">
        <v>195.57</v>
      </c>
      <c r="D70" s="41">
        <v>144.22999999999999</v>
      </c>
      <c r="E70" s="81">
        <v>201.92</v>
      </c>
      <c r="F70" s="41">
        <v>146.63</v>
      </c>
      <c r="G70" s="88">
        <v>205.29</v>
      </c>
      <c r="H70" s="42">
        <v>149.04</v>
      </c>
      <c r="I70" s="94">
        <v>208.65</v>
      </c>
      <c r="J70" s="62">
        <v>151.44</v>
      </c>
      <c r="K70" s="100">
        <v>212.01</v>
      </c>
      <c r="L70" s="62">
        <v>153.84</v>
      </c>
      <c r="M70" s="100">
        <v>215.38</v>
      </c>
      <c r="N70" s="68">
        <v>156.24</v>
      </c>
      <c r="O70" s="106">
        <v>218.74</v>
      </c>
      <c r="P70" s="42">
        <v>158.65</v>
      </c>
      <c r="Q70" s="94">
        <v>222.1</v>
      </c>
      <c r="R70" s="42">
        <v>161.05000000000001</v>
      </c>
      <c r="S70" s="112">
        <v>225.47</v>
      </c>
      <c r="T70" s="43">
        <v>163.44999999999999</v>
      </c>
      <c r="U70" s="45">
        <v>228.83</v>
      </c>
      <c r="V70" s="5">
        <v>165.85</v>
      </c>
      <c r="W70" s="45">
        <v>232.19</v>
      </c>
      <c r="X70" s="5">
        <v>168.26</v>
      </c>
      <c r="Y70" s="126">
        <v>235.56</v>
      </c>
      <c r="Z70" s="5">
        <v>170.66</v>
      </c>
      <c r="AA70" s="126">
        <v>238.92</v>
      </c>
      <c r="AB70" s="5">
        <v>173.06</v>
      </c>
      <c r="AC70" s="134">
        <v>242.28</v>
      </c>
      <c r="AD70" s="5">
        <v>175.46</v>
      </c>
      <c r="AE70" s="134">
        <v>245.65</v>
      </c>
      <c r="AF70" s="5">
        <v>177.87</v>
      </c>
      <c r="AG70" s="134">
        <v>249.01</v>
      </c>
      <c r="AH70" s="144">
        <v>180.27</v>
      </c>
      <c r="AI70" s="134">
        <v>252.37</v>
      </c>
      <c r="AJ70" s="144">
        <v>182.67</v>
      </c>
      <c r="AK70" s="134">
        <v>255.74</v>
      </c>
      <c r="AL70" s="144">
        <v>185.07</v>
      </c>
      <c r="AM70" s="134">
        <v>259.10000000000002</v>
      </c>
      <c r="AN70" s="144">
        <v>187.47</v>
      </c>
      <c r="AO70" s="144">
        <v>262.45999999999998</v>
      </c>
      <c r="AP70" s="5">
        <v>189.88</v>
      </c>
      <c r="AQ70" s="121">
        <v>265.83</v>
      </c>
      <c r="AR70" s="5">
        <v>108.09</v>
      </c>
      <c r="AS70" s="5">
        <v>105.69</v>
      </c>
      <c r="AT70" s="5">
        <v>103.29</v>
      </c>
      <c r="AU70" s="5">
        <v>100.88</v>
      </c>
      <c r="AV70" s="37">
        <v>66</v>
      </c>
      <c r="AW70" s="41">
        <v>77.83</v>
      </c>
      <c r="AX70" s="41">
        <v>79.52</v>
      </c>
      <c r="AY70" s="41">
        <v>81.22</v>
      </c>
      <c r="AZ70" s="41">
        <v>82.91</v>
      </c>
      <c r="BA70" s="41">
        <v>84.61</v>
      </c>
      <c r="BB70" s="41">
        <v>86.31</v>
      </c>
      <c r="BC70" s="41">
        <v>88</v>
      </c>
      <c r="BD70" s="41">
        <v>89.7</v>
      </c>
      <c r="BE70" s="42">
        <v>91.4</v>
      </c>
      <c r="BF70" s="62">
        <v>93.09</v>
      </c>
      <c r="BG70" s="62">
        <v>94.79</v>
      </c>
      <c r="BH70" s="68">
        <v>96.48</v>
      </c>
      <c r="BI70" s="42">
        <v>98.18</v>
      </c>
      <c r="BJ70" s="34">
        <v>99.88</v>
      </c>
      <c r="BK70" s="43">
        <v>101.57</v>
      </c>
      <c r="BL70" s="5">
        <v>103.27</v>
      </c>
      <c r="BM70" s="5">
        <v>104.96</v>
      </c>
      <c r="BN70" s="5">
        <v>106.66</v>
      </c>
      <c r="BO70" s="5">
        <v>108.36</v>
      </c>
      <c r="BP70" s="5">
        <v>110.05</v>
      </c>
      <c r="BQ70" s="5">
        <v>111.75</v>
      </c>
      <c r="BR70" s="144">
        <v>113.45</v>
      </c>
      <c r="BS70" s="144">
        <v>115.14</v>
      </c>
      <c r="BT70" s="144">
        <v>116.84</v>
      </c>
      <c r="BU70" s="144">
        <v>118.53</v>
      </c>
      <c r="BV70" s="144" t="s">
        <v>663</v>
      </c>
      <c r="BW70" s="5">
        <v>69.41</v>
      </c>
      <c r="BX70" s="5">
        <v>67.709999999999994</v>
      </c>
      <c r="BY70" s="5">
        <v>66.02</v>
      </c>
      <c r="BZ70" s="5">
        <v>64.319999999999993</v>
      </c>
    </row>
    <row r="71" spans="1:78" x14ac:dyDescent="0.45">
      <c r="A71" s="119" t="s">
        <v>528</v>
      </c>
      <c r="B71" s="41">
        <v>143.97999999999999</v>
      </c>
      <c r="C71" s="81">
        <v>198.56</v>
      </c>
      <c r="D71" s="41">
        <v>146.41999999999999</v>
      </c>
      <c r="E71" s="81">
        <v>204.99</v>
      </c>
      <c r="F71" s="41">
        <v>148.86000000000001</v>
      </c>
      <c r="G71" s="88">
        <v>208.4</v>
      </c>
      <c r="H71" s="42">
        <v>151.30000000000001</v>
      </c>
      <c r="I71" s="94">
        <v>211.82</v>
      </c>
      <c r="J71" s="62">
        <v>153.74</v>
      </c>
      <c r="K71" s="100">
        <v>215.23</v>
      </c>
      <c r="L71" s="62">
        <v>156.18</v>
      </c>
      <c r="M71" s="100">
        <v>218.65</v>
      </c>
      <c r="N71" s="68">
        <v>158.61000000000001</v>
      </c>
      <c r="O71" s="106">
        <v>222.06</v>
      </c>
      <c r="P71" s="42">
        <v>161.05000000000001</v>
      </c>
      <c r="Q71" s="94">
        <v>225.47</v>
      </c>
      <c r="R71" s="42">
        <v>163.49</v>
      </c>
      <c r="S71" s="112">
        <v>228.89</v>
      </c>
      <c r="T71" s="43">
        <v>165.93</v>
      </c>
      <c r="U71" s="45">
        <v>232.3</v>
      </c>
      <c r="V71" s="5">
        <v>168.37</v>
      </c>
      <c r="W71" s="45">
        <v>235.72</v>
      </c>
      <c r="X71" s="5">
        <v>170.81</v>
      </c>
      <c r="Y71" s="126">
        <v>239.13</v>
      </c>
      <c r="Z71" s="5">
        <v>173.25</v>
      </c>
      <c r="AA71" s="126">
        <v>242.55</v>
      </c>
      <c r="AB71" s="5">
        <v>175.69</v>
      </c>
      <c r="AC71" s="134">
        <v>245.96</v>
      </c>
      <c r="AD71" s="5">
        <v>178.12</v>
      </c>
      <c r="AE71" s="134">
        <v>249.37</v>
      </c>
      <c r="AF71" s="5">
        <v>180.56</v>
      </c>
      <c r="AG71" s="134">
        <v>252.79</v>
      </c>
      <c r="AH71" s="144">
        <v>183</v>
      </c>
      <c r="AI71" s="134">
        <v>256.2</v>
      </c>
      <c r="AJ71" s="144">
        <v>185.44</v>
      </c>
      <c r="AK71" s="134">
        <v>259.62</v>
      </c>
      <c r="AL71" s="144">
        <v>187.88</v>
      </c>
      <c r="AM71" s="134">
        <v>263.02999999999997</v>
      </c>
      <c r="AN71" s="144">
        <v>190.32</v>
      </c>
      <c r="AO71" s="144">
        <v>266.45</v>
      </c>
      <c r="AP71" s="5">
        <v>192.76</v>
      </c>
      <c r="AQ71" s="121">
        <v>269.86</v>
      </c>
      <c r="AR71" s="5">
        <v>109.73</v>
      </c>
      <c r="AS71" s="5">
        <v>107.29</v>
      </c>
      <c r="AT71" s="5">
        <v>104.85</v>
      </c>
      <c r="AU71" s="5">
        <v>102.41</v>
      </c>
      <c r="AV71" s="37">
        <v>67</v>
      </c>
      <c r="AW71" s="41">
        <v>78.989999999999995</v>
      </c>
      <c r="AX71" s="41">
        <v>80.709999999999994</v>
      </c>
      <c r="AY71" s="41">
        <v>82.43</v>
      </c>
      <c r="AZ71" s="41">
        <v>84.15</v>
      </c>
      <c r="BA71" s="41">
        <v>85.88</v>
      </c>
      <c r="BB71" s="41">
        <v>87.6</v>
      </c>
      <c r="BC71" s="41">
        <v>89.32</v>
      </c>
      <c r="BD71" s="41">
        <v>91.04</v>
      </c>
      <c r="BE71" s="42">
        <v>92.76</v>
      </c>
      <c r="BF71" s="62">
        <v>94.49</v>
      </c>
      <c r="BG71" s="62">
        <v>96.21</v>
      </c>
      <c r="BH71" s="68">
        <v>97.93</v>
      </c>
      <c r="BI71" s="42">
        <v>99.65</v>
      </c>
      <c r="BJ71" s="34">
        <v>101.37</v>
      </c>
      <c r="BK71" s="43">
        <v>103.01</v>
      </c>
      <c r="BL71" s="5">
        <v>104.82</v>
      </c>
      <c r="BM71" s="5">
        <v>106.54</v>
      </c>
      <c r="BN71" s="5">
        <v>108.26</v>
      </c>
      <c r="BO71" s="5">
        <v>109.98</v>
      </c>
      <c r="BP71" s="5">
        <v>111.7</v>
      </c>
      <c r="BQ71" s="5">
        <v>113.43</v>
      </c>
      <c r="BR71" s="144">
        <v>115.15</v>
      </c>
      <c r="BS71" s="144">
        <v>116.87</v>
      </c>
      <c r="BT71" s="144">
        <v>118.84</v>
      </c>
      <c r="BU71" s="144">
        <v>120.31</v>
      </c>
      <c r="BV71" s="144">
        <v>122.04</v>
      </c>
      <c r="BW71" s="5">
        <v>70.45</v>
      </c>
      <c r="BX71" s="5">
        <v>68.73</v>
      </c>
      <c r="BY71" s="5">
        <v>67.010000000000005</v>
      </c>
      <c r="BZ71" s="5">
        <v>35.29</v>
      </c>
    </row>
    <row r="72" spans="1:78" x14ac:dyDescent="0.45">
      <c r="A72" s="119" t="s">
        <v>529</v>
      </c>
      <c r="B72" s="41">
        <v>146.07</v>
      </c>
      <c r="C72" s="81">
        <v>201.57</v>
      </c>
      <c r="D72" s="41">
        <v>148.54</v>
      </c>
      <c r="E72" s="81">
        <v>207.96</v>
      </c>
      <c r="F72" s="41">
        <v>151.02000000000001</v>
      </c>
      <c r="G72" s="88">
        <v>211.43</v>
      </c>
      <c r="H72" s="42">
        <v>153.49</v>
      </c>
      <c r="I72" s="94">
        <v>214.89</v>
      </c>
      <c r="J72" s="62">
        <v>155.97</v>
      </c>
      <c r="K72" s="100">
        <v>218.36</v>
      </c>
      <c r="L72" s="62">
        <v>158.44</v>
      </c>
      <c r="M72" s="100">
        <v>221.82</v>
      </c>
      <c r="N72" s="68">
        <v>160.91999999999999</v>
      </c>
      <c r="O72" s="106">
        <v>225.29</v>
      </c>
      <c r="P72" s="42">
        <v>163.38999999999999</v>
      </c>
      <c r="Q72" s="94">
        <v>228.75</v>
      </c>
      <c r="R72" s="42">
        <v>165.87</v>
      </c>
      <c r="S72" s="112">
        <v>232.22</v>
      </c>
      <c r="T72" s="43">
        <v>168.34</v>
      </c>
      <c r="U72" s="45">
        <v>235.68</v>
      </c>
      <c r="V72" s="5">
        <v>170.82</v>
      </c>
      <c r="W72" s="45">
        <v>239.15</v>
      </c>
      <c r="X72" s="5">
        <v>173.29</v>
      </c>
      <c r="Y72" s="126">
        <v>242.61</v>
      </c>
      <c r="Z72" s="5">
        <v>175.77</v>
      </c>
      <c r="AA72" s="126">
        <v>246.08</v>
      </c>
      <c r="AB72" s="5">
        <v>178.25</v>
      </c>
      <c r="AC72" s="134">
        <v>249.54</v>
      </c>
      <c r="AD72" s="5">
        <v>180.72</v>
      </c>
      <c r="AE72" s="134">
        <v>253.01</v>
      </c>
      <c r="AF72" s="5">
        <v>183.2</v>
      </c>
      <c r="AG72" s="134">
        <v>256.47000000000003</v>
      </c>
      <c r="AH72" s="144">
        <v>185.67</v>
      </c>
      <c r="AI72" s="134">
        <v>259.94</v>
      </c>
      <c r="AJ72" s="144">
        <v>188.15</v>
      </c>
      <c r="AK72" s="134">
        <v>263.39999999999998</v>
      </c>
      <c r="AL72" s="144">
        <v>190.62</v>
      </c>
      <c r="AM72" s="134">
        <v>266.87</v>
      </c>
      <c r="AN72" s="144">
        <v>193.1</v>
      </c>
      <c r="AO72" s="144">
        <v>270.33999999999997</v>
      </c>
      <c r="AP72" s="5">
        <v>195.57</v>
      </c>
      <c r="AQ72" s="121">
        <v>273.8</v>
      </c>
      <c r="AR72" s="5">
        <v>111.33</v>
      </c>
      <c r="AS72" s="5">
        <v>108.86</v>
      </c>
      <c r="AT72" s="5">
        <v>106.38</v>
      </c>
      <c r="AU72" s="5">
        <v>103.91</v>
      </c>
      <c r="AV72" s="37">
        <v>68</v>
      </c>
      <c r="AW72" s="41">
        <v>80.16</v>
      </c>
      <c r="AX72" s="41">
        <v>81.900000000000006</v>
      </c>
      <c r="AY72" s="41">
        <v>83.65</v>
      </c>
      <c r="AZ72" s="41">
        <v>85.4</v>
      </c>
      <c r="BA72" s="41">
        <v>87.15</v>
      </c>
      <c r="BB72" s="41">
        <v>88.89</v>
      </c>
      <c r="BC72" s="41">
        <v>90.64</v>
      </c>
      <c r="BD72" s="41">
        <v>92.39</v>
      </c>
      <c r="BE72" s="42">
        <v>94.14</v>
      </c>
      <c r="BF72" s="62">
        <v>95.88</v>
      </c>
      <c r="BG72" s="62">
        <v>97.63</v>
      </c>
      <c r="BH72" s="68">
        <v>99.38</v>
      </c>
      <c r="BI72" s="42">
        <v>101.13</v>
      </c>
      <c r="BJ72" s="34">
        <v>102.87</v>
      </c>
      <c r="BK72" s="43">
        <v>104.62</v>
      </c>
      <c r="BL72" s="5">
        <v>106.37</v>
      </c>
      <c r="BM72" s="5">
        <v>108.12</v>
      </c>
      <c r="BN72" s="5">
        <v>109.86</v>
      </c>
      <c r="BO72" s="5">
        <v>111.61</v>
      </c>
      <c r="BP72" s="5">
        <v>113.36</v>
      </c>
      <c r="BQ72" s="5">
        <v>115.11</v>
      </c>
      <c r="BR72" s="144">
        <v>116.85</v>
      </c>
      <c r="BS72" s="144">
        <v>118.6</v>
      </c>
      <c r="BT72" s="144">
        <v>120.35</v>
      </c>
      <c r="BU72" s="144">
        <v>122.1</v>
      </c>
      <c r="BV72" s="144">
        <v>123.85</v>
      </c>
      <c r="BW72" s="5">
        <v>71.5</v>
      </c>
      <c r="BX72" s="5">
        <v>69.75</v>
      </c>
      <c r="BY72" s="5">
        <v>68</v>
      </c>
      <c r="BZ72" s="5">
        <v>66.25</v>
      </c>
    </row>
    <row r="73" spans="1:78" x14ac:dyDescent="0.45">
      <c r="A73" s="119" t="s">
        <v>530</v>
      </c>
      <c r="B73" s="41">
        <v>148.25</v>
      </c>
      <c r="C73" s="81">
        <v>207.58</v>
      </c>
      <c r="D73" s="41">
        <v>150.76</v>
      </c>
      <c r="E73" s="81">
        <v>211.06</v>
      </c>
      <c r="F73" s="41">
        <v>153.27000000000001</v>
      </c>
      <c r="G73" s="88">
        <v>214.58</v>
      </c>
      <c r="H73" s="42">
        <v>155.78</v>
      </c>
      <c r="I73" s="94">
        <v>218.09</v>
      </c>
      <c r="J73" s="62">
        <v>158.29</v>
      </c>
      <c r="K73" s="100">
        <v>221.61</v>
      </c>
      <c r="L73" s="62">
        <v>160.81</v>
      </c>
      <c r="M73" s="100">
        <v>225.13</v>
      </c>
      <c r="N73" s="68">
        <v>163.32</v>
      </c>
      <c r="O73" s="106">
        <v>228.64</v>
      </c>
      <c r="P73" s="42">
        <v>165.83</v>
      </c>
      <c r="Q73" s="94">
        <v>232.16</v>
      </c>
      <c r="R73" s="42">
        <v>168.34</v>
      </c>
      <c r="S73" s="112">
        <v>235.68</v>
      </c>
      <c r="T73" s="43">
        <v>170.85</v>
      </c>
      <c r="U73" s="45">
        <v>239.19</v>
      </c>
      <c r="V73" s="5">
        <v>173.36</v>
      </c>
      <c r="W73" s="45">
        <v>242.71</v>
      </c>
      <c r="X73" s="5">
        <v>175.87</v>
      </c>
      <c r="Y73" s="126">
        <v>246.22</v>
      </c>
      <c r="Z73" s="5">
        <v>178.39</v>
      </c>
      <c r="AA73" s="126">
        <v>249.75</v>
      </c>
      <c r="AB73" s="5">
        <v>180.9</v>
      </c>
      <c r="AC73" s="134">
        <v>253.26</v>
      </c>
      <c r="AD73" s="5">
        <v>183.41</v>
      </c>
      <c r="AE73" s="134">
        <v>256.77</v>
      </c>
      <c r="AF73" s="5">
        <v>185.92</v>
      </c>
      <c r="AG73" s="134">
        <v>260.29000000000002</v>
      </c>
      <c r="AH73" s="144">
        <v>188.43</v>
      </c>
      <c r="AI73" s="134">
        <v>263.81</v>
      </c>
      <c r="AJ73" s="144">
        <v>190.94</v>
      </c>
      <c r="AK73" s="134">
        <v>267.32</v>
      </c>
      <c r="AL73" s="144">
        <v>193.46</v>
      </c>
      <c r="AM73" s="134">
        <v>270.83999999999997</v>
      </c>
      <c r="AN73" s="144">
        <v>195.97</v>
      </c>
      <c r="AO73" s="144">
        <v>274.35000000000002</v>
      </c>
      <c r="AP73" s="5">
        <v>198.48</v>
      </c>
      <c r="AQ73" s="121">
        <v>277.87</v>
      </c>
      <c r="AR73" s="5">
        <v>112.99</v>
      </c>
      <c r="AS73" s="5">
        <v>110.48</v>
      </c>
      <c r="AT73" s="5">
        <v>107.96</v>
      </c>
      <c r="AU73" s="5">
        <v>105.45</v>
      </c>
      <c r="AV73" s="37">
        <v>69</v>
      </c>
      <c r="AW73" s="41">
        <v>81.319999999999993</v>
      </c>
      <c r="AX73" s="41">
        <v>83.1</v>
      </c>
      <c r="AY73" s="41">
        <v>84.87</v>
      </c>
      <c r="AZ73" s="41">
        <v>86.64</v>
      </c>
      <c r="BA73" s="41">
        <v>88.42</v>
      </c>
      <c r="BB73" s="41">
        <v>90.19</v>
      </c>
      <c r="BC73" s="41">
        <v>91.96</v>
      </c>
      <c r="BD73" s="41">
        <v>93.74</v>
      </c>
      <c r="BE73" s="42">
        <v>95.51</v>
      </c>
      <c r="BF73" s="62">
        <v>97.28</v>
      </c>
      <c r="BG73" s="62">
        <v>99.06</v>
      </c>
      <c r="BH73" s="68">
        <v>100.83</v>
      </c>
      <c r="BI73" s="42">
        <v>102.6</v>
      </c>
      <c r="BJ73" s="34">
        <v>104.38</v>
      </c>
      <c r="BK73" s="43">
        <v>106.15</v>
      </c>
      <c r="BL73" s="5">
        <v>107.92</v>
      </c>
      <c r="BM73" s="5">
        <v>109.7</v>
      </c>
      <c r="BN73" s="5">
        <v>111.47</v>
      </c>
      <c r="BO73" s="5">
        <v>113.24</v>
      </c>
      <c r="BP73" s="5">
        <v>115.02</v>
      </c>
      <c r="BQ73" s="5">
        <v>116.79</v>
      </c>
      <c r="BR73" s="144">
        <v>118.56</v>
      </c>
      <c r="BS73" s="144">
        <v>120.34</v>
      </c>
      <c r="BT73" s="144">
        <v>122.11</v>
      </c>
      <c r="BU73" s="144">
        <v>123.88</v>
      </c>
      <c r="BV73" s="144">
        <v>125.66</v>
      </c>
      <c r="BW73" s="5">
        <v>72.540000000000006</v>
      </c>
      <c r="BX73" s="5">
        <v>70.77</v>
      </c>
      <c r="BY73" s="5">
        <v>69</v>
      </c>
      <c r="BZ73" s="5">
        <v>67.22</v>
      </c>
    </row>
    <row r="74" spans="1:78" x14ac:dyDescent="0.45">
      <c r="A74" s="119" t="s">
        <v>531</v>
      </c>
      <c r="B74" s="41">
        <v>150.36000000000001</v>
      </c>
      <c r="C74" s="81">
        <v>210.5</v>
      </c>
      <c r="D74" s="41">
        <v>152.9</v>
      </c>
      <c r="E74" s="81">
        <v>214.07</v>
      </c>
      <c r="F74" s="41">
        <v>155.44999999999999</v>
      </c>
      <c r="G74" s="88">
        <v>217.63</v>
      </c>
      <c r="H74" s="42">
        <v>158</v>
      </c>
      <c r="I74" s="94">
        <v>221.2</v>
      </c>
      <c r="J74" s="62">
        <v>160.55000000000001</v>
      </c>
      <c r="K74" s="100">
        <v>224.77</v>
      </c>
      <c r="L74" s="62">
        <v>163.1</v>
      </c>
      <c r="M74" s="100">
        <v>228.34</v>
      </c>
      <c r="N74" s="68">
        <v>165.64</v>
      </c>
      <c r="O74" s="106">
        <v>231.9</v>
      </c>
      <c r="P74" s="42">
        <v>168.19</v>
      </c>
      <c r="Q74" s="94">
        <v>235.47</v>
      </c>
      <c r="R74" s="42">
        <v>170.74</v>
      </c>
      <c r="S74" s="112">
        <v>239.04</v>
      </c>
      <c r="T74" s="43">
        <v>173.29</v>
      </c>
      <c r="U74" s="45">
        <v>242.6</v>
      </c>
      <c r="V74" s="5">
        <v>175.84</v>
      </c>
      <c r="W74" s="45">
        <v>246.17</v>
      </c>
      <c r="X74" s="5">
        <v>178.38</v>
      </c>
      <c r="Y74" s="126">
        <v>249.74</v>
      </c>
      <c r="Z74" s="5">
        <v>180.93</v>
      </c>
      <c r="AA74" s="126">
        <v>253.3</v>
      </c>
      <c r="AB74" s="5">
        <v>183.48</v>
      </c>
      <c r="AC74" s="134">
        <v>256.87</v>
      </c>
      <c r="AD74" s="5">
        <v>186.03</v>
      </c>
      <c r="AE74" s="134">
        <v>260.44</v>
      </c>
      <c r="AF74" s="5">
        <v>188.58</v>
      </c>
      <c r="AG74" s="134">
        <v>264.01</v>
      </c>
      <c r="AH74" s="144">
        <v>191.12</v>
      </c>
      <c r="AI74" s="134">
        <v>267.57</v>
      </c>
      <c r="AJ74" s="144">
        <v>193.67</v>
      </c>
      <c r="AK74" s="134">
        <v>271.14</v>
      </c>
      <c r="AL74" s="144">
        <v>196.22</v>
      </c>
      <c r="AM74" s="134">
        <v>274.70999999999998</v>
      </c>
      <c r="AN74" s="144">
        <v>198.77</v>
      </c>
      <c r="AO74" s="144">
        <v>278.27999999999997</v>
      </c>
      <c r="AP74" s="5">
        <v>201.32</v>
      </c>
      <c r="AQ74" s="121">
        <v>281.84000000000003</v>
      </c>
      <c r="AR74" s="5">
        <v>114.6</v>
      </c>
      <c r="AS74" s="5">
        <v>112.05</v>
      </c>
      <c r="AT74" s="5">
        <v>109.51</v>
      </c>
      <c r="AU74" s="5">
        <v>106.96</v>
      </c>
      <c r="AV74" s="37">
        <v>70</v>
      </c>
      <c r="AW74" s="41">
        <v>82.5</v>
      </c>
      <c r="AX74" s="41">
        <v>84.3</v>
      </c>
      <c r="AY74" s="41">
        <v>86.09</v>
      </c>
      <c r="AZ74" s="41">
        <v>87.89</v>
      </c>
      <c r="BA74" s="41">
        <v>89.69</v>
      </c>
      <c r="BB74" s="41">
        <v>91.49</v>
      </c>
      <c r="BC74" s="41">
        <v>93.29</v>
      </c>
      <c r="BD74" s="41">
        <v>95.09</v>
      </c>
      <c r="BE74" s="42">
        <v>96.89</v>
      </c>
      <c r="BF74" s="62">
        <v>98.69</v>
      </c>
      <c r="BG74" s="62">
        <v>100.49</v>
      </c>
      <c r="BH74" s="68">
        <v>102.29</v>
      </c>
      <c r="BI74" s="42">
        <v>104.08</v>
      </c>
      <c r="BJ74" s="34">
        <v>105.88</v>
      </c>
      <c r="BK74" s="43">
        <v>107.68</v>
      </c>
      <c r="BL74" s="5">
        <v>109.48</v>
      </c>
      <c r="BM74" s="5">
        <v>111.28</v>
      </c>
      <c r="BN74" s="5">
        <v>113.08</v>
      </c>
      <c r="BO74" s="5">
        <v>114.88</v>
      </c>
      <c r="BP74" s="5">
        <v>116.68</v>
      </c>
      <c r="BQ74" s="5">
        <v>118.48</v>
      </c>
      <c r="BR74" s="144">
        <v>120.28</v>
      </c>
      <c r="BS74" s="144">
        <v>122.07</v>
      </c>
      <c r="BT74" s="144">
        <v>123.87</v>
      </c>
      <c r="BU74" s="144">
        <v>125.67</v>
      </c>
      <c r="BV74" s="144">
        <v>127.47</v>
      </c>
      <c r="BW74" s="5">
        <v>73.59</v>
      </c>
      <c r="BX74" s="5">
        <v>71.790000000000006</v>
      </c>
      <c r="BY74" s="5">
        <v>69.989999999999995</v>
      </c>
      <c r="BZ74" s="5">
        <v>68.19</v>
      </c>
    </row>
    <row r="75" spans="1:78" x14ac:dyDescent="0.45">
      <c r="A75" s="119" t="s">
        <v>532</v>
      </c>
      <c r="B75" s="41">
        <v>152.47999999999999</v>
      </c>
      <c r="C75" s="81">
        <v>213.47</v>
      </c>
      <c r="D75" s="41">
        <v>155.06</v>
      </c>
      <c r="E75" s="81">
        <v>217.09</v>
      </c>
      <c r="F75" s="41">
        <v>157.65</v>
      </c>
      <c r="G75" s="88">
        <v>220.7</v>
      </c>
      <c r="H75" s="42">
        <v>160.22999999999999</v>
      </c>
      <c r="I75" s="94">
        <v>224.32</v>
      </c>
      <c r="J75" s="62">
        <v>162.82</v>
      </c>
      <c r="K75" s="100">
        <v>227.94</v>
      </c>
      <c r="L75" s="62">
        <v>165.4</v>
      </c>
      <c r="M75" s="100">
        <v>231.56</v>
      </c>
      <c r="N75" s="68">
        <v>167.98</v>
      </c>
      <c r="O75" s="106">
        <v>235.18</v>
      </c>
      <c r="P75" s="42">
        <v>170.57</v>
      </c>
      <c r="Q75" s="94">
        <v>238.8</v>
      </c>
      <c r="R75" s="42">
        <v>173.15</v>
      </c>
      <c r="S75" s="112">
        <v>242.41</v>
      </c>
      <c r="T75" s="43">
        <v>175.74</v>
      </c>
      <c r="U75" s="45">
        <v>246.03</v>
      </c>
      <c r="V75" s="5">
        <v>178.32</v>
      </c>
      <c r="W75" s="45">
        <v>249.65</v>
      </c>
      <c r="X75" s="5">
        <v>180.91</v>
      </c>
      <c r="Y75" s="126">
        <v>253.27</v>
      </c>
      <c r="Z75" s="5">
        <v>183.49</v>
      </c>
      <c r="AA75" s="126">
        <v>256.89</v>
      </c>
      <c r="AB75" s="5">
        <v>186.07</v>
      </c>
      <c r="AC75" s="134">
        <v>260.5</v>
      </c>
      <c r="AD75" s="5">
        <v>188.66</v>
      </c>
      <c r="AE75" s="134">
        <v>264.12</v>
      </c>
      <c r="AF75" s="5">
        <v>191.24</v>
      </c>
      <c r="AG75" s="134">
        <v>267.74</v>
      </c>
      <c r="AH75" s="144">
        <v>193.83</v>
      </c>
      <c r="AI75" s="134">
        <v>271.36</v>
      </c>
      <c r="AJ75" s="144">
        <v>196.41</v>
      </c>
      <c r="AK75" s="134">
        <v>274.98</v>
      </c>
      <c r="AL75" s="144">
        <v>199</v>
      </c>
      <c r="AM75" s="134">
        <v>278.60000000000002</v>
      </c>
      <c r="AN75" s="144">
        <v>201.58</v>
      </c>
      <c r="AO75" s="144">
        <v>282.20999999999998</v>
      </c>
      <c r="AP75" s="5">
        <v>204.17</v>
      </c>
      <c r="AQ75" s="121">
        <v>285.83</v>
      </c>
      <c r="AR75" s="5">
        <v>116.22</v>
      </c>
      <c r="AS75" s="5">
        <v>113.64</v>
      </c>
      <c r="AT75" s="5">
        <v>111.05</v>
      </c>
      <c r="AU75" s="5">
        <v>108.47</v>
      </c>
      <c r="AV75" s="37">
        <v>71</v>
      </c>
      <c r="AW75" s="41">
        <v>83.67</v>
      </c>
      <c r="AX75" s="41">
        <v>85.5</v>
      </c>
      <c r="AY75" s="41">
        <v>87.32</v>
      </c>
      <c r="AZ75" s="41">
        <v>89.15</v>
      </c>
      <c r="BA75" s="41">
        <v>90.97</v>
      </c>
      <c r="BB75" s="41">
        <v>92.8</v>
      </c>
      <c r="BC75" s="41">
        <v>94.62</v>
      </c>
      <c r="BD75" s="41">
        <v>96.44</v>
      </c>
      <c r="BE75" s="42">
        <v>98.27</v>
      </c>
      <c r="BF75" s="62">
        <v>100.09</v>
      </c>
      <c r="BG75" s="62">
        <v>101.92</v>
      </c>
      <c r="BH75" s="68">
        <v>103.74</v>
      </c>
      <c r="BI75" s="42">
        <v>105.57</v>
      </c>
      <c r="BJ75" s="34">
        <v>107.39</v>
      </c>
      <c r="BK75" s="43">
        <v>109.22</v>
      </c>
      <c r="BL75" s="5">
        <v>111.04</v>
      </c>
      <c r="BM75" s="5">
        <v>112.87</v>
      </c>
      <c r="BN75" s="5">
        <v>114.69</v>
      </c>
      <c r="BO75" s="5">
        <v>116.52</v>
      </c>
      <c r="BP75" s="5">
        <v>118.34</v>
      </c>
      <c r="BQ75" s="5">
        <v>120.17</v>
      </c>
      <c r="BR75" s="144">
        <v>121.99</v>
      </c>
      <c r="BS75" s="144">
        <v>123.82</v>
      </c>
      <c r="BT75" s="144">
        <v>125.64</v>
      </c>
      <c r="BU75" s="144">
        <v>127.46</v>
      </c>
      <c r="BV75" s="144">
        <v>129.29</v>
      </c>
      <c r="BW75" s="5">
        <v>74.94</v>
      </c>
      <c r="BX75" s="5">
        <v>72.81</v>
      </c>
      <c r="BY75" s="5">
        <v>70.989999999999995</v>
      </c>
      <c r="BZ75" s="5">
        <v>69.16</v>
      </c>
    </row>
    <row r="76" spans="1:78" x14ac:dyDescent="0.45">
      <c r="A76" s="119" t="s">
        <v>533</v>
      </c>
      <c r="B76" s="41">
        <v>154.61000000000001</v>
      </c>
      <c r="C76" s="81">
        <v>216.45</v>
      </c>
      <c r="D76" s="41">
        <v>157.22999999999999</v>
      </c>
      <c r="E76" s="81">
        <v>220.12</v>
      </c>
      <c r="F76" s="41">
        <v>159.85</v>
      </c>
      <c r="G76" s="88">
        <v>223.79</v>
      </c>
      <c r="H76" s="42">
        <v>162.47</v>
      </c>
      <c r="I76" s="94">
        <v>227.46</v>
      </c>
      <c r="J76" s="62">
        <v>165.09</v>
      </c>
      <c r="K76" s="100">
        <v>231.13</v>
      </c>
      <c r="L76" s="62">
        <v>167.71</v>
      </c>
      <c r="M76" s="100">
        <v>234.8</v>
      </c>
      <c r="N76" s="68">
        <v>170.33</v>
      </c>
      <c r="O76" s="106">
        <v>238.47</v>
      </c>
      <c r="P76" s="42">
        <v>172.96</v>
      </c>
      <c r="Q76" s="94">
        <v>242.14</v>
      </c>
      <c r="R76" s="42">
        <v>175.58</v>
      </c>
      <c r="S76" s="112">
        <v>245.81</v>
      </c>
      <c r="T76" s="43">
        <v>178.2</v>
      </c>
      <c r="U76" s="45">
        <v>249.48</v>
      </c>
      <c r="V76" s="5">
        <v>180.82</v>
      </c>
      <c r="W76" s="45">
        <v>253.15</v>
      </c>
      <c r="X76" s="5">
        <v>183.44</v>
      </c>
      <c r="Y76" s="126">
        <v>256.81</v>
      </c>
      <c r="Z76" s="5">
        <v>186.06</v>
      </c>
      <c r="AA76" s="126">
        <v>260.48</v>
      </c>
      <c r="AB76" s="5">
        <v>188.68</v>
      </c>
      <c r="AC76" s="134">
        <v>264.14999999999998</v>
      </c>
      <c r="AD76" s="5">
        <v>191.3</v>
      </c>
      <c r="AE76" s="134">
        <v>267.82</v>
      </c>
      <c r="AF76" s="5">
        <v>193.92</v>
      </c>
      <c r="AG76" s="134">
        <v>271.49</v>
      </c>
      <c r="AH76" s="144">
        <v>196.54</v>
      </c>
      <c r="AI76" s="134">
        <v>275.16000000000003</v>
      </c>
      <c r="AJ76" s="144">
        <v>199.16</v>
      </c>
      <c r="AK76" s="134">
        <v>278.83</v>
      </c>
      <c r="AL76" s="144">
        <v>201.78</v>
      </c>
      <c r="AM76" s="134">
        <v>282.5</v>
      </c>
      <c r="AN76" s="144">
        <v>204.41</v>
      </c>
      <c r="AO76" s="144">
        <v>286.17</v>
      </c>
      <c r="AP76" s="5">
        <v>207.03</v>
      </c>
      <c r="AQ76" s="121">
        <v>289.83999999999997</v>
      </c>
      <c r="AR76" s="5">
        <v>117.85</v>
      </c>
      <c r="AS76" s="5">
        <v>115.23</v>
      </c>
      <c r="AT76" s="5">
        <v>112.61</v>
      </c>
      <c r="AU76" s="5">
        <v>109.99</v>
      </c>
      <c r="AV76" s="37">
        <v>72</v>
      </c>
      <c r="AW76" s="41">
        <v>84.85</v>
      </c>
      <c r="AX76" s="41">
        <v>86.7</v>
      </c>
      <c r="AY76" s="41">
        <v>88.55</v>
      </c>
      <c r="AZ76" s="41">
        <v>90.4</v>
      </c>
      <c r="BA76" s="41">
        <v>92.25</v>
      </c>
      <c r="BB76" s="41">
        <v>94.1</v>
      </c>
      <c r="BC76" s="41">
        <v>95.95</v>
      </c>
      <c r="BD76" s="41">
        <v>97.8</v>
      </c>
      <c r="BE76" s="42">
        <v>99.65</v>
      </c>
      <c r="BF76" s="62">
        <v>101.5</v>
      </c>
      <c r="BG76" s="62">
        <v>103.35</v>
      </c>
      <c r="BH76" s="68">
        <v>105.21</v>
      </c>
      <c r="BI76" s="42">
        <v>107.06</v>
      </c>
      <c r="BJ76" s="34">
        <v>108.91</v>
      </c>
      <c r="BK76" s="43">
        <v>110.76</v>
      </c>
      <c r="BL76" s="5">
        <v>112.61</v>
      </c>
      <c r="BM76" s="5">
        <v>114.46</v>
      </c>
      <c r="BN76" s="5">
        <v>116.31</v>
      </c>
      <c r="BO76" s="5">
        <v>118.16</v>
      </c>
      <c r="BP76" s="5">
        <v>120.01</v>
      </c>
      <c r="BQ76" s="5">
        <v>121.86</v>
      </c>
      <c r="BR76" s="144">
        <v>123.71</v>
      </c>
      <c r="BS76" s="144">
        <v>125.56</v>
      </c>
      <c r="BT76" s="144">
        <v>127.41</v>
      </c>
      <c r="BU76" s="144">
        <v>129.26</v>
      </c>
      <c r="BV76" s="144">
        <v>131.11000000000001</v>
      </c>
      <c r="BW76" s="5">
        <v>75.69</v>
      </c>
      <c r="BX76" s="5">
        <v>73.84</v>
      </c>
      <c r="BY76" s="5">
        <v>71.989999999999995</v>
      </c>
      <c r="BZ76" s="5">
        <v>70.14</v>
      </c>
    </row>
    <row r="77" spans="1:78" x14ac:dyDescent="0.45">
      <c r="A77" s="119" t="s">
        <v>534</v>
      </c>
      <c r="B77" s="41">
        <v>156.75</v>
      </c>
      <c r="C77" s="81">
        <v>219.46</v>
      </c>
      <c r="D77" s="41">
        <v>159.41</v>
      </c>
      <c r="E77" s="81">
        <v>223.18</v>
      </c>
      <c r="F77" s="41">
        <v>162.07</v>
      </c>
      <c r="G77" s="88">
        <v>226.9</v>
      </c>
      <c r="H77" s="42">
        <v>164.73</v>
      </c>
      <c r="I77" s="94">
        <v>230.62</v>
      </c>
      <c r="J77" s="62">
        <v>167.38</v>
      </c>
      <c r="K77" s="100">
        <v>234.34</v>
      </c>
      <c r="L77" s="62">
        <v>170.04</v>
      </c>
      <c r="M77" s="100">
        <v>238.06</v>
      </c>
      <c r="N77" s="68">
        <v>172.7</v>
      </c>
      <c r="O77" s="106">
        <v>241.78</v>
      </c>
      <c r="P77" s="42">
        <v>175.36</v>
      </c>
      <c r="Q77" s="94">
        <v>245.5</v>
      </c>
      <c r="R77" s="42">
        <v>178.01</v>
      </c>
      <c r="S77" s="112">
        <v>249.22</v>
      </c>
      <c r="T77" s="43">
        <v>180.67</v>
      </c>
      <c r="U77" s="45">
        <v>252.94</v>
      </c>
      <c r="V77" s="5">
        <v>183.33</v>
      </c>
      <c r="W77" s="45">
        <v>256.66000000000003</v>
      </c>
      <c r="X77" s="5">
        <v>185.98</v>
      </c>
      <c r="Y77" s="126">
        <v>260.38</v>
      </c>
      <c r="Z77" s="5">
        <v>188.64</v>
      </c>
      <c r="AA77" s="126">
        <v>264.10000000000002</v>
      </c>
      <c r="AB77" s="5">
        <v>191.3</v>
      </c>
      <c r="AC77" s="134">
        <v>267.82</v>
      </c>
      <c r="AD77" s="5">
        <v>193.96</v>
      </c>
      <c r="AE77" s="134">
        <v>271.54000000000002</v>
      </c>
      <c r="AF77" s="5">
        <v>196.61</v>
      </c>
      <c r="AG77" s="134">
        <v>275.26</v>
      </c>
      <c r="AH77" s="144">
        <v>199.27</v>
      </c>
      <c r="AI77" s="134">
        <v>278.98</v>
      </c>
      <c r="AJ77" s="144">
        <v>201.93</v>
      </c>
      <c r="AK77" s="134">
        <v>282.7</v>
      </c>
      <c r="AL77" s="144">
        <v>204.58</v>
      </c>
      <c r="AM77" s="134">
        <v>286.42</v>
      </c>
      <c r="AN77" s="144">
        <v>207.24</v>
      </c>
      <c r="AO77" s="144">
        <v>290.14</v>
      </c>
      <c r="AP77" s="5">
        <v>209.9</v>
      </c>
      <c r="AQ77" s="121">
        <v>293.86</v>
      </c>
      <c r="AR77" s="5">
        <v>119.49</v>
      </c>
      <c r="AS77" s="5">
        <v>116.83</v>
      </c>
      <c r="AT77" s="5">
        <v>114.17</v>
      </c>
      <c r="AU77" s="5">
        <v>111.52</v>
      </c>
      <c r="AV77" s="37">
        <v>73</v>
      </c>
      <c r="AW77" s="41">
        <v>86.01</v>
      </c>
      <c r="AX77" s="41">
        <v>87.88</v>
      </c>
      <c r="AY77" s="41">
        <v>89.76</v>
      </c>
      <c r="AZ77" s="41">
        <v>91.64</v>
      </c>
      <c r="BA77" s="41">
        <v>93.51</v>
      </c>
      <c r="BB77" s="41">
        <v>95.39</v>
      </c>
      <c r="BC77" s="41">
        <v>97.26</v>
      </c>
      <c r="BD77" s="41">
        <v>99.14</v>
      </c>
      <c r="BE77" s="42">
        <v>101.02</v>
      </c>
      <c r="BF77" s="62">
        <v>102.89</v>
      </c>
      <c r="BG77" s="62">
        <v>104.77</v>
      </c>
      <c r="BH77" s="68">
        <v>106.64</v>
      </c>
      <c r="BI77" s="42">
        <v>108.52</v>
      </c>
      <c r="BJ77" s="34">
        <v>110.4</v>
      </c>
      <c r="BK77" s="43">
        <v>112.27</v>
      </c>
      <c r="BL77" s="5">
        <v>114.15</v>
      </c>
      <c r="BM77" s="5">
        <v>116.03</v>
      </c>
      <c r="BN77" s="5">
        <v>117.9</v>
      </c>
      <c r="BO77" s="5">
        <v>119.78</v>
      </c>
      <c r="BP77" s="5">
        <v>121.65</v>
      </c>
      <c r="BQ77" s="5">
        <v>123.53</v>
      </c>
      <c r="BR77" s="144">
        <v>125.41</v>
      </c>
      <c r="BS77" s="144">
        <v>127.28</v>
      </c>
      <c r="BT77" s="144">
        <v>129.16</v>
      </c>
      <c r="BU77" s="144">
        <v>131.03</v>
      </c>
      <c r="BV77" s="144">
        <v>132.91</v>
      </c>
      <c r="BW77" s="5">
        <v>76.73</v>
      </c>
      <c r="BX77" s="5">
        <v>74.849999999999994</v>
      </c>
      <c r="BY77" s="5">
        <v>72.98</v>
      </c>
      <c r="BZ77" s="5">
        <v>71.099999999999994</v>
      </c>
    </row>
    <row r="78" spans="1:78" x14ac:dyDescent="0.45">
      <c r="A78" s="119" t="s">
        <v>535</v>
      </c>
      <c r="B78" s="41">
        <v>158.91</v>
      </c>
      <c r="C78" s="81">
        <v>222.48</v>
      </c>
      <c r="D78" s="41">
        <v>161.61000000000001</v>
      </c>
      <c r="E78" s="81">
        <v>226.25</v>
      </c>
      <c r="F78" s="41">
        <v>164.3</v>
      </c>
      <c r="G78" s="88">
        <v>230.02</v>
      </c>
      <c r="H78" s="42">
        <v>166.99</v>
      </c>
      <c r="I78" s="94">
        <v>233.79</v>
      </c>
      <c r="J78" s="62">
        <v>169.69</v>
      </c>
      <c r="K78" s="100">
        <v>237.56</v>
      </c>
      <c r="L78" s="62">
        <v>172.38</v>
      </c>
      <c r="M78" s="100">
        <v>241.33</v>
      </c>
      <c r="N78" s="68">
        <v>175.07</v>
      </c>
      <c r="O78" s="106">
        <v>245.1</v>
      </c>
      <c r="P78" s="42">
        <v>177.77</v>
      </c>
      <c r="Q78" s="94">
        <v>248.87</v>
      </c>
      <c r="R78" s="42">
        <v>180.46</v>
      </c>
      <c r="S78" s="112">
        <v>252.65</v>
      </c>
      <c r="T78" s="43">
        <v>183.15</v>
      </c>
      <c r="U78" s="45">
        <v>256.42</v>
      </c>
      <c r="V78" s="5">
        <v>185.85</v>
      </c>
      <c r="W78" s="45">
        <v>260.19</v>
      </c>
      <c r="X78" s="5">
        <v>188.54</v>
      </c>
      <c r="Y78" s="126">
        <v>263.95999999999998</v>
      </c>
      <c r="Z78" s="5">
        <v>191.24</v>
      </c>
      <c r="AA78" s="126">
        <v>267.74</v>
      </c>
      <c r="AB78" s="5">
        <v>193.93</v>
      </c>
      <c r="AC78" s="134">
        <v>271.5</v>
      </c>
      <c r="AD78" s="5">
        <v>196.62</v>
      </c>
      <c r="AE78" s="134">
        <v>275.27</v>
      </c>
      <c r="AF78" s="5">
        <v>199.32</v>
      </c>
      <c r="AG78" s="134">
        <v>279.04000000000002</v>
      </c>
      <c r="AH78" s="144">
        <v>202.01</v>
      </c>
      <c r="AI78" s="134">
        <v>282.81</v>
      </c>
      <c r="AJ78" s="144">
        <v>204.7</v>
      </c>
      <c r="AK78" s="134">
        <v>286.58999999999997</v>
      </c>
      <c r="AL78" s="144">
        <v>207.4</v>
      </c>
      <c r="AM78" s="134">
        <v>290.36</v>
      </c>
      <c r="AN78" s="144">
        <v>210.09</v>
      </c>
      <c r="AO78" s="144">
        <v>294.13</v>
      </c>
      <c r="AP78" s="5">
        <v>212.78</v>
      </c>
      <c r="AQ78" s="121">
        <v>297.89999999999998</v>
      </c>
      <c r="AR78" s="5">
        <v>121.13</v>
      </c>
      <c r="AS78" s="5">
        <v>118.44</v>
      </c>
      <c r="AT78" s="5">
        <v>115.74</v>
      </c>
      <c r="AU78" s="5">
        <v>113.05</v>
      </c>
      <c r="AV78" s="37">
        <v>74</v>
      </c>
      <c r="AW78" s="41">
        <v>87.19</v>
      </c>
      <c r="AX78" s="41">
        <v>89.09</v>
      </c>
      <c r="AY78" s="41">
        <v>91</v>
      </c>
      <c r="AZ78" s="41">
        <v>92.9</v>
      </c>
      <c r="BA78" s="41">
        <v>94.8</v>
      </c>
      <c r="BB78" s="41">
        <v>96.7</v>
      </c>
      <c r="BC78" s="41">
        <v>98.6</v>
      </c>
      <c r="BD78" s="41">
        <v>100.51</v>
      </c>
      <c r="BE78" s="42">
        <v>102.41</v>
      </c>
      <c r="BF78" s="62">
        <v>104.31</v>
      </c>
      <c r="BG78" s="62">
        <v>106.21</v>
      </c>
      <c r="BH78" s="68">
        <v>108.11</v>
      </c>
      <c r="BI78" s="42">
        <v>110.01</v>
      </c>
      <c r="BJ78" s="34">
        <v>111.92</v>
      </c>
      <c r="BK78" s="43">
        <v>113.82</v>
      </c>
      <c r="BL78" s="5">
        <v>115.72</v>
      </c>
      <c r="BM78" s="5">
        <v>117.62</v>
      </c>
      <c r="BN78" s="5">
        <v>119.52</v>
      </c>
      <c r="BO78" s="5">
        <v>121.43</v>
      </c>
      <c r="BP78" s="5">
        <v>123.33</v>
      </c>
      <c r="BQ78" s="5">
        <v>125.23</v>
      </c>
      <c r="BR78" s="144">
        <v>127.13</v>
      </c>
      <c r="BS78" s="144">
        <v>129.03</v>
      </c>
      <c r="BT78" s="144">
        <v>130.93</v>
      </c>
      <c r="BU78" s="144">
        <v>132.84</v>
      </c>
      <c r="BV78" s="144">
        <v>134.74</v>
      </c>
      <c r="BW78" s="5">
        <v>77.78</v>
      </c>
      <c r="BX78" s="5">
        <v>75.88</v>
      </c>
      <c r="BY78" s="5">
        <v>73.98</v>
      </c>
      <c r="BZ78" s="5">
        <v>72.08</v>
      </c>
    </row>
    <row r="79" spans="1:78" x14ac:dyDescent="0.45">
      <c r="A79" s="119" t="s">
        <v>536</v>
      </c>
      <c r="B79" s="41">
        <v>160.99</v>
      </c>
      <c r="C79" s="81">
        <v>225.38</v>
      </c>
      <c r="D79" s="41">
        <v>163.72</v>
      </c>
      <c r="E79" s="81">
        <v>229.2</v>
      </c>
      <c r="F79" s="41">
        <v>166.45</v>
      </c>
      <c r="G79" s="88">
        <v>233.02</v>
      </c>
      <c r="H79" s="42">
        <v>169.18</v>
      </c>
      <c r="I79" s="94">
        <v>236.85</v>
      </c>
      <c r="J79" s="62">
        <v>171.91</v>
      </c>
      <c r="K79" s="100">
        <v>240.67</v>
      </c>
      <c r="L79" s="62">
        <v>174.64</v>
      </c>
      <c r="M79" s="100">
        <v>244.49</v>
      </c>
      <c r="N79" s="68">
        <v>177.37</v>
      </c>
      <c r="O79" s="106">
        <v>248.31</v>
      </c>
      <c r="P79" s="42">
        <v>180.1</v>
      </c>
      <c r="Q79" s="94">
        <v>252.13</v>
      </c>
      <c r="R79" s="42">
        <v>182.83</v>
      </c>
      <c r="S79" s="112">
        <v>255.96</v>
      </c>
      <c r="T79" s="43">
        <v>185.56</v>
      </c>
      <c r="U79" s="45">
        <v>259.77999999999997</v>
      </c>
      <c r="V79" s="5">
        <v>188.29</v>
      </c>
      <c r="W79" s="45">
        <v>263.60000000000002</v>
      </c>
      <c r="X79" s="5">
        <v>191.02</v>
      </c>
      <c r="Y79" s="126">
        <v>267.42</v>
      </c>
      <c r="Z79" s="5">
        <v>193.75</v>
      </c>
      <c r="AA79" s="126">
        <v>271.25</v>
      </c>
      <c r="AB79" s="5">
        <v>196.48</v>
      </c>
      <c r="AC79" s="134">
        <v>275.07</v>
      </c>
      <c r="AD79" s="5">
        <v>199.21</v>
      </c>
      <c r="AE79" s="134">
        <v>278.89</v>
      </c>
      <c r="AF79" s="5">
        <v>201.94</v>
      </c>
      <c r="AG79" s="134">
        <v>282.70999999999998</v>
      </c>
      <c r="AH79" s="144">
        <v>204.67</v>
      </c>
      <c r="AI79" s="134">
        <v>286.52999999999997</v>
      </c>
      <c r="AJ79" s="144">
        <v>207.4</v>
      </c>
      <c r="AK79" s="134">
        <v>290.35000000000002</v>
      </c>
      <c r="AL79" s="144">
        <v>210.13</v>
      </c>
      <c r="AM79" s="134">
        <v>294.18</v>
      </c>
      <c r="AN79" s="144">
        <v>212.86</v>
      </c>
      <c r="AO79" s="144">
        <v>298</v>
      </c>
      <c r="AP79" s="5">
        <v>215.59</v>
      </c>
      <c r="AQ79" s="121">
        <v>301.82</v>
      </c>
      <c r="AR79" s="5">
        <v>122.72</v>
      </c>
      <c r="AS79" s="5">
        <v>119.99</v>
      </c>
      <c r="AT79" s="5">
        <v>117.26</v>
      </c>
      <c r="AU79" s="5">
        <v>114.53</v>
      </c>
      <c r="AV79" s="37">
        <v>75</v>
      </c>
      <c r="AW79" s="41">
        <v>88.35</v>
      </c>
      <c r="AX79" s="41">
        <v>90.8</v>
      </c>
      <c r="AY79" s="41">
        <v>92.21</v>
      </c>
      <c r="AZ79" s="41">
        <v>94.14</v>
      </c>
      <c r="BA79" s="41">
        <v>96.06</v>
      </c>
      <c r="BB79" s="41">
        <v>97.99</v>
      </c>
      <c r="BC79" s="41">
        <v>99.92</v>
      </c>
      <c r="BD79" s="41">
        <v>101.85</v>
      </c>
      <c r="BE79" s="42">
        <v>103.77</v>
      </c>
      <c r="BF79" s="62">
        <v>105.7</v>
      </c>
      <c r="BG79" s="62">
        <v>107.63</v>
      </c>
      <c r="BH79" s="68">
        <v>109.56</v>
      </c>
      <c r="BI79" s="42">
        <v>111.48</v>
      </c>
      <c r="BJ79" s="34">
        <v>113.41</v>
      </c>
      <c r="BK79" s="43">
        <v>115.34</v>
      </c>
      <c r="BL79" s="5">
        <v>117.27</v>
      </c>
      <c r="BM79" s="5">
        <v>119.19</v>
      </c>
      <c r="BN79" s="5">
        <v>121.12</v>
      </c>
      <c r="BO79" s="5">
        <v>123.05</v>
      </c>
      <c r="BP79" s="5">
        <v>124.98</v>
      </c>
      <c r="BQ79" s="5">
        <v>126.9</v>
      </c>
      <c r="BR79" s="144">
        <v>128.83000000000001</v>
      </c>
      <c r="BS79" s="144">
        <v>130.76</v>
      </c>
      <c r="BT79" s="144">
        <v>132.69</v>
      </c>
      <c r="BU79" s="144">
        <v>134.61000000000001</v>
      </c>
      <c r="BV79" s="144">
        <v>136.54</v>
      </c>
      <c r="BW79" s="5">
        <v>78.819999999999993</v>
      </c>
      <c r="BX79" s="5">
        <v>76.900000000000006</v>
      </c>
      <c r="BY79" s="5">
        <v>74.97</v>
      </c>
      <c r="BZ79" s="5">
        <v>73.040000000000006</v>
      </c>
    </row>
    <row r="80" spans="1:78" x14ac:dyDescent="0.45">
      <c r="A80" s="119" t="s">
        <v>537</v>
      </c>
      <c r="B80" s="41">
        <v>163.16999999999999</v>
      </c>
      <c r="C80" s="81">
        <v>228.43</v>
      </c>
      <c r="D80" s="41">
        <v>165.93</v>
      </c>
      <c r="E80" s="81">
        <v>232.31</v>
      </c>
      <c r="F80" s="41">
        <v>168.7</v>
      </c>
      <c r="G80" s="88">
        <v>236.18</v>
      </c>
      <c r="H80" s="42">
        <v>171.47</v>
      </c>
      <c r="I80" s="94">
        <v>240.05</v>
      </c>
      <c r="J80" s="62">
        <v>174.23</v>
      </c>
      <c r="K80" s="100">
        <v>243.93</v>
      </c>
      <c r="L80" s="62">
        <v>177</v>
      </c>
      <c r="M80" s="100">
        <v>247.8</v>
      </c>
      <c r="N80" s="68">
        <v>179.77</v>
      </c>
      <c r="O80" s="106">
        <v>251.67</v>
      </c>
      <c r="P80" s="42">
        <v>182.53</v>
      </c>
      <c r="Q80" s="94">
        <v>255.55</v>
      </c>
      <c r="R80" s="42">
        <v>185.3</v>
      </c>
      <c r="S80" s="112">
        <v>259.42</v>
      </c>
      <c r="T80" s="43">
        <v>188.07</v>
      </c>
      <c r="U80" s="45">
        <v>263.29000000000002</v>
      </c>
      <c r="V80" s="5">
        <v>190.83</v>
      </c>
      <c r="W80" s="45">
        <v>267.16000000000003</v>
      </c>
      <c r="X80" s="5">
        <v>193.6</v>
      </c>
      <c r="Y80" s="126">
        <v>271.04000000000002</v>
      </c>
      <c r="Z80" s="5">
        <v>196.36</v>
      </c>
      <c r="AA80" s="126">
        <v>274.89999999999998</v>
      </c>
      <c r="AB80" s="5">
        <v>199.13</v>
      </c>
      <c r="AC80" s="134">
        <v>278.77999999999997</v>
      </c>
      <c r="AD80" s="5">
        <v>201.9</v>
      </c>
      <c r="AE80" s="134">
        <v>282.66000000000003</v>
      </c>
      <c r="AF80" s="5">
        <v>204.66</v>
      </c>
      <c r="AG80" s="134">
        <v>286.52999999999997</v>
      </c>
      <c r="AH80" s="144">
        <v>207.43</v>
      </c>
      <c r="AI80" s="134">
        <v>290.39999999999998</v>
      </c>
      <c r="AJ80" s="144">
        <v>210.2</v>
      </c>
      <c r="AK80" s="134">
        <v>294.27999999999997</v>
      </c>
      <c r="AL80" s="144">
        <v>212.96</v>
      </c>
      <c r="AM80" s="134">
        <v>298.14999999999998</v>
      </c>
      <c r="AN80" s="144">
        <v>215.73</v>
      </c>
      <c r="AO80" s="144">
        <v>302.02</v>
      </c>
      <c r="AP80" s="5">
        <v>218.5</v>
      </c>
      <c r="AQ80" s="121">
        <v>305.89</v>
      </c>
      <c r="AR80" s="5">
        <v>124.38</v>
      </c>
      <c r="AS80" s="5">
        <v>121.61</v>
      </c>
      <c r="AT80" s="5">
        <v>118.85</v>
      </c>
      <c r="AU80" s="5">
        <v>116.08</v>
      </c>
      <c r="AV80" s="37">
        <v>76</v>
      </c>
      <c r="AW80" s="41">
        <v>89.52</v>
      </c>
      <c r="AX80" s="41">
        <v>91.47</v>
      </c>
      <c r="AY80" s="41">
        <v>93.43</v>
      </c>
      <c r="AZ80" s="41">
        <v>95.38</v>
      </c>
      <c r="BA80" s="41">
        <v>97.33</v>
      </c>
      <c r="BB80" s="41">
        <v>99.29</v>
      </c>
      <c r="BC80" s="41">
        <v>101.24</v>
      </c>
      <c r="BD80" s="41">
        <v>103.19</v>
      </c>
      <c r="BE80" s="42">
        <v>105.15</v>
      </c>
      <c r="BF80" s="62">
        <v>107.1</v>
      </c>
      <c r="BG80" s="62">
        <v>109.05</v>
      </c>
      <c r="BH80" s="68">
        <v>111</v>
      </c>
      <c r="BI80" s="42">
        <v>112.96</v>
      </c>
      <c r="BJ80" s="34">
        <v>114.91</v>
      </c>
      <c r="BK80" s="43">
        <v>116.86</v>
      </c>
      <c r="BL80" s="5">
        <v>118.82</v>
      </c>
      <c r="BM80" s="5">
        <v>120.77</v>
      </c>
      <c r="BN80" s="5">
        <v>122.72</v>
      </c>
      <c r="BO80" s="5">
        <v>124.68</v>
      </c>
      <c r="BP80" s="5">
        <v>126.63</v>
      </c>
      <c r="BQ80" s="5">
        <v>128.58000000000001</v>
      </c>
      <c r="BR80" s="144">
        <v>130.54</v>
      </c>
      <c r="BS80" s="144">
        <v>132.49</v>
      </c>
      <c r="BT80" s="144">
        <v>134.44</v>
      </c>
      <c r="BU80" s="144">
        <v>136.4</v>
      </c>
      <c r="BV80" s="144">
        <v>138.35</v>
      </c>
      <c r="BW80" s="5">
        <v>79.87</v>
      </c>
      <c r="BX80" s="5">
        <v>77.91</v>
      </c>
      <c r="BY80" s="5">
        <v>75.959999999999994</v>
      </c>
      <c r="BZ80" s="5">
        <v>74.010000000000005</v>
      </c>
    </row>
    <row r="81" spans="1:78" x14ac:dyDescent="0.45">
      <c r="A81" s="119" t="s">
        <v>538</v>
      </c>
      <c r="B81" s="41">
        <v>165.26</v>
      </c>
      <c r="C81" s="81">
        <v>231.37</v>
      </c>
      <c r="D81" s="41">
        <v>168.06</v>
      </c>
      <c r="E81" s="81">
        <v>235.29</v>
      </c>
      <c r="F81" s="41">
        <v>170.87</v>
      </c>
      <c r="G81" s="88">
        <v>239.21</v>
      </c>
      <c r="H81" s="42">
        <v>173.67</v>
      </c>
      <c r="I81" s="94">
        <v>243.14</v>
      </c>
      <c r="J81" s="62">
        <v>176.47</v>
      </c>
      <c r="K81" s="100">
        <v>247.06</v>
      </c>
      <c r="L81" s="62">
        <v>179.28</v>
      </c>
      <c r="M81" s="100">
        <v>250.99</v>
      </c>
      <c r="N81" s="68">
        <v>182.08</v>
      </c>
      <c r="O81" s="106">
        <v>254.91</v>
      </c>
      <c r="P81" s="42">
        <v>184.88</v>
      </c>
      <c r="Q81" s="94">
        <v>258.83</v>
      </c>
      <c r="R81" s="42">
        <v>187.68</v>
      </c>
      <c r="S81" s="112">
        <v>262.76</v>
      </c>
      <c r="T81" s="43">
        <v>190.49</v>
      </c>
      <c r="U81" s="45">
        <v>266.68</v>
      </c>
      <c r="V81" s="5">
        <v>193.29</v>
      </c>
      <c r="W81" s="45">
        <v>270.61</v>
      </c>
      <c r="X81" s="5">
        <v>196.09</v>
      </c>
      <c r="Y81" s="126">
        <v>274.52999999999997</v>
      </c>
      <c r="Z81" s="5">
        <v>198.9</v>
      </c>
      <c r="AA81" s="126">
        <v>278.45999999999998</v>
      </c>
      <c r="AB81" s="5">
        <v>201.7</v>
      </c>
      <c r="AC81" s="134">
        <v>282.38</v>
      </c>
      <c r="AD81" s="5">
        <v>204.5</v>
      </c>
      <c r="AE81" s="134">
        <v>286.3</v>
      </c>
      <c r="AF81" s="5">
        <v>207.3</v>
      </c>
      <c r="AG81" s="134">
        <v>290.22000000000003</v>
      </c>
      <c r="AH81" s="144">
        <v>210.11</v>
      </c>
      <c r="AI81" s="134">
        <v>294.14999999999998</v>
      </c>
      <c r="AJ81" s="144">
        <v>212.91</v>
      </c>
      <c r="AK81" s="134">
        <v>298.07</v>
      </c>
      <c r="AL81" s="144">
        <v>215.71</v>
      </c>
      <c r="AM81" s="134">
        <v>302</v>
      </c>
      <c r="AN81" s="144">
        <v>218.51</v>
      </c>
      <c r="AO81" s="144">
        <v>305.92</v>
      </c>
      <c r="AP81" s="5">
        <v>221.32</v>
      </c>
      <c r="AQ81" s="121">
        <v>309.84000000000003</v>
      </c>
      <c r="AR81" s="5">
        <v>125.99</v>
      </c>
      <c r="AS81" s="5">
        <v>123.18</v>
      </c>
      <c r="AT81" s="5">
        <v>120.38</v>
      </c>
      <c r="AU81" s="5">
        <v>117.58</v>
      </c>
      <c r="AV81" s="37">
        <v>77</v>
      </c>
      <c r="AW81" s="41">
        <v>90.69</v>
      </c>
      <c r="AX81" s="41">
        <v>92.67</v>
      </c>
      <c r="AY81" s="41">
        <v>94.64</v>
      </c>
      <c r="AZ81" s="41">
        <v>96.62</v>
      </c>
      <c r="BA81" s="41">
        <v>98.6</v>
      </c>
      <c r="BB81" s="41">
        <v>100.58</v>
      </c>
      <c r="BC81" s="41">
        <v>102.56</v>
      </c>
      <c r="BD81" s="41">
        <v>104.54</v>
      </c>
      <c r="BE81" s="42">
        <v>106.52</v>
      </c>
      <c r="BF81" s="62">
        <v>108.5</v>
      </c>
      <c r="BG81" s="62">
        <v>110.48</v>
      </c>
      <c r="BH81" s="68">
        <v>112.45</v>
      </c>
      <c r="BI81" s="42">
        <v>114.43</v>
      </c>
      <c r="BJ81" s="34">
        <v>116.41</v>
      </c>
      <c r="BK81" s="43">
        <v>118.39</v>
      </c>
      <c r="BL81" s="5">
        <v>120.37</v>
      </c>
      <c r="BM81" s="5">
        <v>122.35</v>
      </c>
      <c r="BN81" s="5">
        <v>124.33</v>
      </c>
      <c r="BO81" s="5">
        <v>126.31</v>
      </c>
      <c r="BP81" s="5">
        <v>128.29</v>
      </c>
      <c r="BQ81" s="5">
        <v>130.26</v>
      </c>
      <c r="BR81" s="144">
        <v>132.24</v>
      </c>
      <c r="BS81" s="144">
        <v>134.22</v>
      </c>
      <c r="BT81" s="144">
        <v>136.19999999999999</v>
      </c>
      <c r="BU81" s="144">
        <v>138.18</v>
      </c>
      <c r="BV81" s="144">
        <v>140.16</v>
      </c>
      <c r="BW81" s="5">
        <v>80.91</v>
      </c>
      <c r="BX81" s="5">
        <v>78.930000000000007</v>
      </c>
      <c r="BY81" s="5">
        <v>76.95</v>
      </c>
      <c r="BZ81" s="5">
        <v>74.97</v>
      </c>
    </row>
    <row r="82" spans="1:78" x14ac:dyDescent="0.45">
      <c r="A82" s="119" t="s">
        <v>539</v>
      </c>
      <c r="B82" s="41">
        <v>167.36</v>
      </c>
      <c r="C82" s="81">
        <v>234.31</v>
      </c>
      <c r="D82" s="41">
        <v>170.2</v>
      </c>
      <c r="E82" s="81">
        <v>238.29</v>
      </c>
      <c r="F82" s="41">
        <v>173.04</v>
      </c>
      <c r="G82" s="88">
        <v>242.26</v>
      </c>
      <c r="H82" s="42">
        <v>175.88</v>
      </c>
      <c r="I82" s="94">
        <v>246.24</v>
      </c>
      <c r="J82" s="62">
        <v>178.72</v>
      </c>
      <c r="K82" s="100">
        <v>250.21</v>
      </c>
      <c r="L82" s="62">
        <v>181.56</v>
      </c>
      <c r="M82" s="100">
        <v>254.19</v>
      </c>
      <c r="N82" s="68">
        <v>184.4</v>
      </c>
      <c r="O82" s="106">
        <v>258.16000000000003</v>
      </c>
      <c r="P82" s="42">
        <v>187.24</v>
      </c>
      <c r="Q82" s="94">
        <v>262.13</v>
      </c>
      <c r="R82" s="42">
        <v>190.08</v>
      </c>
      <c r="S82" s="112">
        <v>266.11</v>
      </c>
      <c r="T82" s="43">
        <v>192.92</v>
      </c>
      <c r="U82" s="45">
        <v>270.08</v>
      </c>
      <c r="V82" s="5">
        <v>195.76</v>
      </c>
      <c r="W82" s="45">
        <v>274.06</v>
      </c>
      <c r="X82" s="5">
        <v>198.6</v>
      </c>
      <c r="Y82" s="126">
        <v>278.02999999999997</v>
      </c>
      <c r="Z82" s="5">
        <v>201.44</v>
      </c>
      <c r="AA82" s="126">
        <v>282.02</v>
      </c>
      <c r="AB82" s="5">
        <v>204.27</v>
      </c>
      <c r="AC82" s="134">
        <v>285.98</v>
      </c>
      <c r="AD82" s="5">
        <v>207.11</v>
      </c>
      <c r="AE82" s="134">
        <v>289.95999999999998</v>
      </c>
      <c r="AF82" s="5">
        <v>209.95</v>
      </c>
      <c r="AG82" s="134">
        <v>293.93</v>
      </c>
      <c r="AH82" s="144">
        <v>212.79</v>
      </c>
      <c r="AI82" s="134">
        <v>297.91000000000003</v>
      </c>
      <c r="AJ82" s="144">
        <v>215.63</v>
      </c>
      <c r="AK82" s="134">
        <v>301.88</v>
      </c>
      <c r="AL82" s="144">
        <v>218.47</v>
      </c>
      <c r="AM82" s="134">
        <v>305.86</v>
      </c>
      <c r="AN82" s="144">
        <v>221.31</v>
      </c>
      <c r="AO82" s="144">
        <v>309.83</v>
      </c>
      <c r="AP82" s="5">
        <v>224.15</v>
      </c>
      <c r="AQ82" s="121">
        <v>313.81</v>
      </c>
      <c r="AR82" s="5">
        <v>127.6</v>
      </c>
      <c r="AS82" s="5">
        <v>124.76</v>
      </c>
      <c r="AT82" s="5">
        <v>121.92</v>
      </c>
      <c r="AU82" s="5">
        <v>119.08</v>
      </c>
      <c r="AV82" s="37">
        <v>78</v>
      </c>
      <c r="AW82" s="41">
        <v>91.69</v>
      </c>
      <c r="AX82" s="41">
        <v>93.86</v>
      </c>
      <c r="AY82" s="41">
        <v>95.87</v>
      </c>
      <c r="AZ82" s="41">
        <v>97.87</v>
      </c>
      <c r="BA82" s="41">
        <v>99.88</v>
      </c>
      <c r="BB82" s="41">
        <v>101.88</v>
      </c>
      <c r="BC82" s="41">
        <v>103.88</v>
      </c>
      <c r="BD82" s="41">
        <v>105.89</v>
      </c>
      <c r="BE82" s="42">
        <v>107.89</v>
      </c>
      <c r="BF82" s="62">
        <v>109.9</v>
      </c>
      <c r="BG82" s="62">
        <v>111.9</v>
      </c>
      <c r="BH82" s="68">
        <v>113.91</v>
      </c>
      <c r="BI82" s="42">
        <v>115.91</v>
      </c>
      <c r="BJ82" s="34">
        <v>117.92</v>
      </c>
      <c r="BK82" s="43">
        <v>119.92</v>
      </c>
      <c r="BL82" s="5">
        <v>121.93</v>
      </c>
      <c r="BM82" s="5">
        <v>123.93</v>
      </c>
      <c r="BN82" s="5">
        <v>125.94</v>
      </c>
      <c r="BO82" s="5">
        <v>127.94</v>
      </c>
      <c r="BP82" s="5">
        <v>129.94</v>
      </c>
      <c r="BQ82" s="5">
        <v>131.94999999999999</v>
      </c>
      <c r="BR82" s="144">
        <v>133.94999999999999</v>
      </c>
      <c r="BS82" s="144">
        <v>135.96</v>
      </c>
      <c r="BT82" s="144">
        <v>137.96</v>
      </c>
      <c r="BU82" s="144">
        <v>139.97</v>
      </c>
      <c r="BV82" s="144">
        <v>141.97</v>
      </c>
      <c r="BW82" s="5">
        <v>81.96</v>
      </c>
      <c r="BX82" s="5">
        <v>79.95</v>
      </c>
      <c r="BY82" s="5">
        <v>77.95</v>
      </c>
      <c r="BZ82" s="5">
        <v>75.94</v>
      </c>
    </row>
    <row r="83" spans="1:78" x14ac:dyDescent="0.45">
      <c r="A83" s="119" t="s">
        <v>540</v>
      </c>
      <c r="B83" s="41">
        <v>169.59</v>
      </c>
      <c r="C83" s="81">
        <v>237.42</v>
      </c>
      <c r="D83" s="41">
        <v>172.46</v>
      </c>
      <c r="E83" s="81">
        <v>241.45</v>
      </c>
      <c r="F83" s="41">
        <v>175.34</v>
      </c>
      <c r="G83" s="88">
        <v>245.47</v>
      </c>
      <c r="H83" s="42">
        <v>178.21</v>
      </c>
      <c r="I83" s="94">
        <v>249.5</v>
      </c>
      <c r="J83" s="62">
        <v>181.09</v>
      </c>
      <c r="K83" s="100">
        <v>253.52</v>
      </c>
      <c r="L83" s="62">
        <v>183.96</v>
      </c>
      <c r="M83" s="100">
        <v>257.55</v>
      </c>
      <c r="N83" s="68">
        <v>186.84</v>
      </c>
      <c r="O83" s="106">
        <v>261.57</v>
      </c>
      <c r="P83" s="42">
        <v>189.71</v>
      </c>
      <c r="Q83" s="94">
        <v>265.60000000000002</v>
      </c>
      <c r="R83" s="42">
        <v>192.59</v>
      </c>
      <c r="S83" s="112">
        <v>269.63</v>
      </c>
      <c r="T83" s="43">
        <v>195.47</v>
      </c>
      <c r="U83" s="45">
        <v>273.64999999999998</v>
      </c>
      <c r="V83" s="5">
        <v>198.34</v>
      </c>
      <c r="W83" s="45">
        <v>277.68</v>
      </c>
      <c r="X83" s="5">
        <v>201.22</v>
      </c>
      <c r="Y83" s="126">
        <v>281.7</v>
      </c>
      <c r="Z83" s="5">
        <v>204.09</v>
      </c>
      <c r="AA83" s="126">
        <v>285.73</v>
      </c>
      <c r="AB83" s="5">
        <v>206.97</v>
      </c>
      <c r="AC83" s="134">
        <v>289.76</v>
      </c>
      <c r="AD83" s="5">
        <v>209.84</v>
      </c>
      <c r="AE83" s="134">
        <v>293.77999999999997</v>
      </c>
      <c r="AF83" s="5">
        <v>212.72</v>
      </c>
      <c r="AG83" s="134">
        <v>297.81</v>
      </c>
      <c r="AH83" s="144">
        <v>215.6</v>
      </c>
      <c r="AI83" s="134">
        <v>301.83</v>
      </c>
      <c r="AJ83" s="144">
        <v>218.47</v>
      </c>
      <c r="AK83" s="134">
        <v>305.86</v>
      </c>
      <c r="AL83" s="144">
        <v>221.35</v>
      </c>
      <c r="AM83" s="134">
        <v>309.88</v>
      </c>
      <c r="AN83" s="144">
        <v>221.22</v>
      </c>
      <c r="AO83" s="144">
        <v>313.91000000000003</v>
      </c>
      <c r="AP83" s="5">
        <v>227.1</v>
      </c>
      <c r="AQ83" s="121">
        <v>317.94</v>
      </c>
      <c r="AR83" s="5">
        <v>129.28</v>
      </c>
      <c r="AS83" s="5">
        <v>126.4</v>
      </c>
      <c r="AT83" s="5">
        <v>123.53</v>
      </c>
      <c r="AU83" s="5">
        <v>120.65</v>
      </c>
      <c r="AV83" s="37">
        <v>79</v>
      </c>
      <c r="AW83" s="41">
        <v>93.03</v>
      </c>
      <c r="AX83" s="41">
        <v>95.06</v>
      </c>
      <c r="AY83" s="41">
        <v>97.09</v>
      </c>
      <c r="AZ83" s="41">
        <v>99.12</v>
      </c>
      <c r="BA83" s="41">
        <v>101.15</v>
      </c>
      <c r="BB83" s="41">
        <v>103.18</v>
      </c>
      <c r="BC83" s="41">
        <v>105.21</v>
      </c>
      <c r="BD83" s="41">
        <v>107.24</v>
      </c>
      <c r="BE83" s="42">
        <v>109.27</v>
      </c>
      <c r="BF83" s="62">
        <v>111.3</v>
      </c>
      <c r="BG83" s="62">
        <v>113.33</v>
      </c>
      <c r="BH83" s="68">
        <v>115.36</v>
      </c>
      <c r="BI83" s="42">
        <v>117.39</v>
      </c>
      <c r="BJ83" s="34">
        <v>119.42</v>
      </c>
      <c r="BK83" s="43">
        <v>121.45</v>
      </c>
      <c r="BL83" s="5">
        <v>123.48</v>
      </c>
      <c r="BM83" s="5">
        <v>125.51</v>
      </c>
      <c r="BN83" s="5">
        <v>127.54</v>
      </c>
      <c r="BO83" s="5">
        <v>129.58000000000001</v>
      </c>
      <c r="BP83" s="5">
        <v>131.61000000000001</v>
      </c>
      <c r="BQ83" s="5">
        <v>133.63999999999999</v>
      </c>
      <c r="BR83" s="144">
        <v>135.66999999999999</v>
      </c>
      <c r="BS83" s="144">
        <v>137.69999999999999</v>
      </c>
      <c r="BT83" s="144">
        <v>139.72999999999999</v>
      </c>
      <c r="BU83" s="144">
        <v>141.76</v>
      </c>
      <c r="BV83" s="144">
        <v>143.79</v>
      </c>
      <c r="BW83" s="5">
        <v>83</v>
      </c>
      <c r="BX83" s="5">
        <v>80.97</v>
      </c>
      <c r="BY83" s="5">
        <v>78.94</v>
      </c>
      <c r="BZ83" s="5">
        <v>76.91</v>
      </c>
    </row>
    <row r="84" spans="1:78" x14ac:dyDescent="0.45">
      <c r="A84" s="119" t="s">
        <v>541</v>
      </c>
      <c r="B84" s="41">
        <v>171.71</v>
      </c>
      <c r="C84" s="81">
        <v>240.4</v>
      </c>
      <c r="D84" s="41">
        <v>174.62</v>
      </c>
      <c r="E84" s="81">
        <v>244.47</v>
      </c>
      <c r="F84" s="41">
        <v>177.54</v>
      </c>
      <c r="G84" s="88">
        <v>248.55</v>
      </c>
      <c r="H84" s="42">
        <v>180.45</v>
      </c>
      <c r="I84" s="94">
        <v>252.63</v>
      </c>
      <c r="J84" s="62">
        <v>183.36</v>
      </c>
      <c r="K84" s="100">
        <v>256.7</v>
      </c>
      <c r="L84" s="62">
        <v>186.27</v>
      </c>
      <c r="M84" s="100">
        <v>260.77999999999997</v>
      </c>
      <c r="N84" s="68">
        <v>189.18</v>
      </c>
      <c r="O84" s="106">
        <v>264.86</v>
      </c>
      <c r="P84" s="42">
        <v>192.1</v>
      </c>
      <c r="Q84" s="94">
        <v>268.93</v>
      </c>
      <c r="R84" s="42">
        <v>195.01</v>
      </c>
      <c r="S84" s="112">
        <v>273.01</v>
      </c>
      <c r="T84" s="43">
        <v>197.92</v>
      </c>
      <c r="U84" s="45">
        <v>277.08999999999997</v>
      </c>
      <c r="V84" s="5">
        <v>200.83</v>
      </c>
      <c r="W84" s="45">
        <v>281.16000000000003</v>
      </c>
      <c r="X84" s="5">
        <v>203.74</v>
      </c>
      <c r="Y84" s="126">
        <v>285.24</v>
      </c>
      <c r="Z84" s="5">
        <v>206.66</v>
      </c>
      <c r="AA84" s="126">
        <v>289.32</v>
      </c>
      <c r="AB84" s="5">
        <v>209.57</v>
      </c>
      <c r="AC84" s="134">
        <v>293.39</v>
      </c>
      <c r="AD84" s="5">
        <v>212.48</v>
      </c>
      <c r="AE84" s="134">
        <v>297.47000000000003</v>
      </c>
      <c r="AF84" s="5">
        <v>215.39</v>
      </c>
      <c r="AG84" s="134">
        <v>301.55</v>
      </c>
      <c r="AH84" s="144">
        <v>218.3</v>
      </c>
      <c r="AI84" s="134">
        <v>305.62</v>
      </c>
      <c r="AJ84" s="144">
        <v>221.22</v>
      </c>
      <c r="AK84" s="134">
        <v>309.7</v>
      </c>
      <c r="AL84" s="144">
        <v>224.13</v>
      </c>
      <c r="AM84" s="134">
        <v>313.77999999999997</v>
      </c>
      <c r="AN84" s="144">
        <v>227.04</v>
      </c>
      <c r="AO84" s="144">
        <v>317.86</v>
      </c>
      <c r="AP84" s="5">
        <v>229.95</v>
      </c>
      <c r="AQ84" s="121">
        <v>321.93</v>
      </c>
      <c r="AR84" s="5">
        <v>130.9</v>
      </c>
      <c r="AS84" s="5">
        <v>127.99</v>
      </c>
      <c r="AT84" s="5">
        <v>125.08</v>
      </c>
      <c r="AU84" s="5">
        <v>122.16</v>
      </c>
      <c r="AV84" s="37">
        <v>80</v>
      </c>
      <c r="AW84" s="41">
        <v>94.21</v>
      </c>
      <c r="AX84" s="41">
        <v>96.26</v>
      </c>
      <c r="AY84" s="41">
        <v>98.32</v>
      </c>
      <c r="AZ84" s="41">
        <v>100.37</v>
      </c>
      <c r="BA84" s="41">
        <v>102.43</v>
      </c>
      <c r="BB84" s="41">
        <v>104.49</v>
      </c>
      <c r="BC84" s="41">
        <v>106.54</v>
      </c>
      <c r="BD84" s="41">
        <v>108.6</v>
      </c>
      <c r="BE84" s="42">
        <v>110.65</v>
      </c>
      <c r="BF84" s="62">
        <v>112.71</v>
      </c>
      <c r="BG84" s="62">
        <v>114.77</v>
      </c>
      <c r="BH84" s="68">
        <v>116.82</v>
      </c>
      <c r="BI84" s="42">
        <v>118.88</v>
      </c>
      <c r="BJ84" s="34">
        <v>120.93</v>
      </c>
      <c r="BK84" s="43">
        <v>122.19</v>
      </c>
      <c r="BL84" s="5">
        <v>125.05</v>
      </c>
      <c r="BM84" s="5">
        <v>127.1</v>
      </c>
      <c r="BN84" s="5">
        <v>129.16</v>
      </c>
      <c r="BO84" s="5">
        <v>131.21</v>
      </c>
      <c r="BP84" s="5">
        <v>133.27000000000001</v>
      </c>
      <c r="BQ84" s="5">
        <v>135.33000000000001</v>
      </c>
      <c r="BR84" s="144">
        <v>137.38</v>
      </c>
      <c r="BS84" s="144">
        <v>139.44</v>
      </c>
      <c r="BT84" s="144">
        <v>141.49</v>
      </c>
      <c r="BU84" s="144">
        <v>143.55000000000001</v>
      </c>
      <c r="BV84" s="144">
        <v>145.61000000000001</v>
      </c>
      <c r="BW84" s="5">
        <v>84.05</v>
      </c>
      <c r="BX84" s="5">
        <v>82</v>
      </c>
      <c r="BY84" s="5">
        <v>79.94</v>
      </c>
      <c r="BZ84" s="5">
        <v>77.89</v>
      </c>
    </row>
    <row r="85" spans="1:78" x14ac:dyDescent="0.45">
      <c r="A85" s="119" t="s">
        <v>542</v>
      </c>
      <c r="B85" s="41">
        <v>173.85</v>
      </c>
      <c r="C85" s="81">
        <v>243.41</v>
      </c>
      <c r="D85" s="41">
        <v>176.8</v>
      </c>
      <c r="E85" s="81">
        <v>247.51</v>
      </c>
      <c r="F85" s="41">
        <v>179.74</v>
      </c>
      <c r="G85" s="88">
        <v>251.64</v>
      </c>
      <c r="H85" s="42">
        <v>182.69</v>
      </c>
      <c r="I85" s="94">
        <v>255.77</v>
      </c>
      <c r="J85" s="62">
        <v>185.64</v>
      </c>
      <c r="K85" s="100">
        <v>259.89999999999998</v>
      </c>
      <c r="L85" s="62">
        <v>188.59</v>
      </c>
      <c r="M85" s="100">
        <v>264.02999999999997</v>
      </c>
      <c r="N85" s="68">
        <v>191.54</v>
      </c>
      <c r="O85" s="106">
        <v>268.14999999999998</v>
      </c>
      <c r="P85" s="42">
        <v>194.49</v>
      </c>
      <c r="Q85" s="94">
        <v>272.27999999999997</v>
      </c>
      <c r="R85" s="42">
        <v>197.44</v>
      </c>
      <c r="S85" s="112">
        <v>276.41000000000003</v>
      </c>
      <c r="T85" s="43">
        <v>200.38</v>
      </c>
      <c r="U85" s="45">
        <v>280.54000000000002</v>
      </c>
      <c r="V85" s="5">
        <v>203.33</v>
      </c>
      <c r="W85" s="45">
        <v>284.66000000000003</v>
      </c>
      <c r="X85" s="5">
        <v>206.28</v>
      </c>
      <c r="Y85" s="126">
        <v>288.79000000000002</v>
      </c>
      <c r="Z85" s="5">
        <v>209.23</v>
      </c>
      <c r="AA85" s="126">
        <v>292.92</v>
      </c>
      <c r="AB85" s="5">
        <v>212.18</v>
      </c>
      <c r="AC85" s="134">
        <v>297.05</v>
      </c>
      <c r="AD85" s="5">
        <v>215.13</v>
      </c>
      <c r="AE85" s="134">
        <v>301.18</v>
      </c>
      <c r="AF85" s="5">
        <v>218.07</v>
      </c>
      <c r="AG85" s="134">
        <v>305.3</v>
      </c>
      <c r="AH85" s="144">
        <v>221.02</v>
      </c>
      <c r="AI85" s="134">
        <v>309.43</v>
      </c>
      <c r="AJ85" s="144">
        <v>223.97</v>
      </c>
      <c r="AK85" s="134">
        <v>313.56</v>
      </c>
      <c r="AL85" s="144">
        <v>226.92</v>
      </c>
      <c r="AM85" s="134">
        <v>317.69</v>
      </c>
      <c r="AN85" s="144">
        <v>229.87</v>
      </c>
      <c r="AO85" s="144">
        <v>321.81</v>
      </c>
      <c r="AP85" s="5">
        <v>232.82</v>
      </c>
      <c r="AQ85" s="121">
        <v>325.94</v>
      </c>
      <c r="AR85" s="5">
        <v>132.53</v>
      </c>
      <c r="AS85" s="5">
        <v>129.58000000000001</v>
      </c>
      <c r="AT85" s="5">
        <v>126.63</v>
      </c>
      <c r="AU85" s="5">
        <v>123.69</v>
      </c>
      <c r="AV85" s="37">
        <v>81</v>
      </c>
      <c r="AW85" s="41">
        <v>95.38</v>
      </c>
      <c r="AX85" s="41">
        <v>97.47</v>
      </c>
      <c r="AY85" s="41">
        <v>99.55</v>
      </c>
      <c r="AZ85" s="41">
        <v>101.63</v>
      </c>
      <c r="BA85" s="41">
        <v>103.71</v>
      </c>
      <c r="BB85" s="41">
        <v>105.79</v>
      </c>
      <c r="BC85" s="41">
        <v>107.87</v>
      </c>
      <c r="BD85" s="41">
        <v>109.96</v>
      </c>
      <c r="BE85" s="42">
        <v>112.04</v>
      </c>
      <c r="BF85" s="62">
        <v>114.12</v>
      </c>
      <c r="BG85" s="62">
        <v>116.2</v>
      </c>
      <c r="BH85" s="68">
        <v>118.28</v>
      </c>
      <c r="BI85" s="42">
        <v>120.36</v>
      </c>
      <c r="BJ85" s="34">
        <v>122.45</v>
      </c>
      <c r="BK85" s="43">
        <v>124.53</v>
      </c>
      <c r="BL85" s="5">
        <v>126.61</v>
      </c>
      <c r="BM85" s="5">
        <v>128.69</v>
      </c>
      <c r="BN85" s="5">
        <v>130.77000000000001</v>
      </c>
      <c r="BO85" s="5">
        <v>132.85</v>
      </c>
      <c r="BP85" s="5">
        <v>134.94</v>
      </c>
      <c r="BQ85" s="5">
        <v>137.02000000000001</v>
      </c>
      <c r="BR85" s="144">
        <v>139.1</v>
      </c>
      <c r="BS85" s="144">
        <v>141.18</v>
      </c>
      <c r="BT85" s="144">
        <v>143.26</v>
      </c>
      <c r="BU85" s="144">
        <v>145.34</v>
      </c>
      <c r="BV85" s="144">
        <v>147.43</v>
      </c>
      <c r="BW85" s="5">
        <v>85.11</v>
      </c>
      <c r="BX85" s="5">
        <v>83.02</v>
      </c>
      <c r="BY85" s="5">
        <v>80.94</v>
      </c>
      <c r="BZ85" s="5">
        <v>78.86</v>
      </c>
    </row>
    <row r="86" spans="1:78" x14ac:dyDescent="0.45">
      <c r="A86" s="119" t="s">
        <v>543</v>
      </c>
      <c r="B86" s="41">
        <v>175.88</v>
      </c>
      <c r="C86" s="81">
        <v>246.23</v>
      </c>
      <c r="D86" s="41">
        <v>178.86</v>
      </c>
      <c r="E86" s="81">
        <v>250.41</v>
      </c>
      <c r="F86" s="41">
        <v>181.85</v>
      </c>
      <c r="G86" s="88">
        <v>254.59</v>
      </c>
      <c r="H86" s="42">
        <v>184.83</v>
      </c>
      <c r="I86" s="94">
        <v>258.77</v>
      </c>
      <c r="J86" s="62">
        <v>187.82</v>
      </c>
      <c r="K86" s="100">
        <v>262.95</v>
      </c>
      <c r="L86" s="62">
        <v>190.8</v>
      </c>
      <c r="M86" s="100">
        <v>267.13</v>
      </c>
      <c r="N86" s="68">
        <v>193.79</v>
      </c>
      <c r="O86" s="106">
        <v>271.3</v>
      </c>
      <c r="P86" s="42">
        <v>196.77</v>
      </c>
      <c r="Q86" s="94">
        <v>275.48</v>
      </c>
      <c r="R86" s="42">
        <v>199.76</v>
      </c>
      <c r="S86" s="112">
        <v>279.66000000000003</v>
      </c>
      <c r="T86" s="43">
        <v>202.74</v>
      </c>
      <c r="U86" s="45">
        <v>283.83999999999997</v>
      </c>
      <c r="V86" s="5">
        <v>205.73</v>
      </c>
      <c r="W86" s="45">
        <v>288.02</v>
      </c>
      <c r="X86" s="5">
        <v>208.71</v>
      </c>
      <c r="Y86" s="126">
        <v>292.2</v>
      </c>
      <c r="Z86" s="5">
        <v>211.7</v>
      </c>
      <c r="AA86" s="126">
        <v>296.38</v>
      </c>
      <c r="AB86" s="5">
        <v>214.68</v>
      </c>
      <c r="AC86" s="134">
        <v>300.56</v>
      </c>
      <c r="AD86" s="5">
        <v>217.67</v>
      </c>
      <c r="AE86" s="134">
        <v>304.73</v>
      </c>
      <c r="AF86" s="5">
        <v>220.65</v>
      </c>
      <c r="AG86" s="134">
        <v>308.91000000000003</v>
      </c>
      <c r="AH86" s="144">
        <v>223.64</v>
      </c>
      <c r="AI86" s="134">
        <v>313.08999999999997</v>
      </c>
      <c r="AJ86" s="144">
        <v>226.62</v>
      </c>
      <c r="AK86" s="134">
        <v>317.27</v>
      </c>
      <c r="AL86" s="144">
        <v>229.61</v>
      </c>
      <c r="AM86" s="134">
        <v>321.45</v>
      </c>
      <c r="AN86" s="144">
        <v>232.59</v>
      </c>
      <c r="AO86" s="144">
        <v>325.63</v>
      </c>
      <c r="AP86" s="5">
        <v>235.58</v>
      </c>
      <c r="AQ86" s="121">
        <v>329.81</v>
      </c>
      <c r="AR86" s="5">
        <v>134.1</v>
      </c>
      <c r="AS86" s="5">
        <v>131.12</v>
      </c>
      <c r="AT86" s="5">
        <v>128.13</v>
      </c>
      <c r="AU86" s="5">
        <v>125.15</v>
      </c>
      <c r="AV86" s="37">
        <v>82</v>
      </c>
      <c r="AW86" s="41">
        <v>96.53</v>
      </c>
      <c r="AX86" s="41">
        <v>98.64</v>
      </c>
      <c r="AY86" s="41">
        <v>100.75</v>
      </c>
      <c r="AZ86" s="41">
        <v>102.86</v>
      </c>
      <c r="BA86" s="41">
        <v>104.96</v>
      </c>
      <c r="BB86" s="41">
        <v>107.07</v>
      </c>
      <c r="BC86" s="41">
        <v>109.18</v>
      </c>
      <c r="BD86" s="41">
        <v>111.29</v>
      </c>
      <c r="BE86" s="42">
        <v>113.39</v>
      </c>
      <c r="BF86" s="62">
        <v>115.5</v>
      </c>
      <c r="BG86" s="62">
        <v>117.61</v>
      </c>
      <c r="BH86" s="68">
        <v>119.72</v>
      </c>
      <c r="BI86" s="42">
        <v>121.82</v>
      </c>
      <c r="BJ86" s="34">
        <v>123.93</v>
      </c>
      <c r="BK86" s="43">
        <v>126.04</v>
      </c>
      <c r="BL86" s="5">
        <v>128.15</v>
      </c>
      <c r="BM86" s="5">
        <v>130.25</v>
      </c>
      <c r="BN86" s="5">
        <v>132.36000000000001</v>
      </c>
      <c r="BO86" s="5">
        <v>134.47</v>
      </c>
      <c r="BP86" s="5">
        <v>136.57</v>
      </c>
      <c r="BQ86" s="5">
        <v>138.68</v>
      </c>
      <c r="BR86" s="144">
        <v>140.79</v>
      </c>
      <c r="BS86" s="144">
        <v>142.9</v>
      </c>
      <c r="BT86" s="144">
        <v>145</v>
      </c>
      <c r="BU86" s="144">
        <v>147.11000000000001</v>
      </c>
      <c r="BV86" s="144">
        <v>149.22</v>
      </c>
      <c r="BW86" s="5">
        <v>86.14</v>
      </c>
      <c r="BX86" s="5">
        <v>84.03</v>
      </c>
      <c r="BY86" s="5">
        <v>81.92</v>
      </c>
      <c r="BZ86" s="5">
        <v>79.819999999999993</v>
      </c>
    </row>
    <row r="87" spans="1:78" x14ac:dyDescent="0.45">
      <c r="A87" s="119" t="s">
        <v>544</v>
      </c>
      <c r="B87" s="41">
        <v>178.04</v>
      </c>
      <c r="C87" s="81">
        <v>249.25</v>
      </c>
      <c r="D87" s="41">
        <v>181.06</v>
      </c>
      <c r="E87" s="81">
        <v>253.48</v>
      </c>
      <c r="F87" s="41">
        <v>184.08</v>
      </c>
      <c r="G87" s="88">
        <v>257.70999999999998</v>
      </c>
      <c r="H87" s="42">
        <v>187.1</v>
      </c>
      <c r="I87" s="94">
        <v>261.94</v>
      </c>
      <c r="J87" s="62">
        <v>190.12</v>
      </c>
      <c r="K87" s="100">
        <v>266.17</v>
      </c>
      <c r="L87" s="62">
        <v>193.14</v>
      </c>
      <c r="M87" s="100">
        <v>270.39999999999998</v>
      </c>
      <c r="N87" s="68">
        <v>196.16</v>
      </c>
      <c r="O87" s="106">
        <v>274.63</v>
      </c>
      <c r="P87" s="42">
        <v>199.18</v>
      </c>
      <c r="Q87" s="94">
        <v>278.86</v>
      </c>
      <c r="R87" s="42">
        <v>202.21</v>
      </c>
      <c r="S87" s="112">
        <v>283.08999999999997</v>
      </c>
      <c r="T87" s="43">
        <v>205.23</v>
      </c>
      <c r="U87" s="45">
        <v>287.32</v>
      </c>
      <c r="V87" s="5">
        <v>208.25</v>
      </c>
      <c r="W87" s="45">
        <v>291.55</v>
      </c>
      <c r="X87" s="5">
        <v>211.27</v>
      </c>
      <c r="Y87" s="126">
        <v>295.77999999999997</v>
      </c>
      <c r="Z87" s="5">
        <v>214.29</v>
      </c>
      <c r="AA87" s="126">
        <v>300.01</v>
      </c>
      <c r="AB87" s="5">
        <v>217.31</v>
      </c>
      <c r="AC87" s="134">
        <v>304.24</v>
      </c>
      <c r="AD87" s="5">
        <v>220.33</v>
      </c>
      <c r="AE87" s="134">
        <v>308.47000000000003</v>
      </c>
      <c r="AF87" s="5">
        <v>223.35</v>
      </c>
      <c r="AG87" s="134">
        <v>312.7</v>
      </c>
      <c r="AH87" s="144">
        <v>226.38</v>
      </c>
      <c r="AI87" s="134">
        <v>316.93</v>
      </c>
      <c r="AJ87" s="144">
        <v>229.4</v>
      </c>
      <c r="AK87" s="134">
        <v>321.16000000000003</v>
      </c>
      <c r="AL87" s="144">
        <v>232.42</v>
      </c>
      <c r="AM87" s="134">
        <v>325.38</v>
      </c>
      <c r="AN87" s="144">
        <v>235.44</v>
      </c>
      <c r="AO87" s="144">
        <v>329.61</v>
      </c>
      <c r="AP87" s="5">
        <v>238.46</v>
      </c>
      <c r="AQ87" s="121">
        <v>333.84</v>
      </c>
      <c r="AR87" s="5">
        <v>135.74</v>
      </c>
      <c r="AS87" s="5">
        <v>132.72</v>
      </c>
      <c r="AT87" s="5">
        <v>129.69999999999999</v>
      </c>
      <c r="AU87" s="5">
        <v>126.68</v>
      </c>
      <c r="AV87" s="37">
        <v>83</v>
      </c>
      <c r="AW87" s="41">
        <v>97.72</v>
      </c>
      <c r="AX87" s="41">
        <v>99.85</v>
      </c>
      <c r="AY87" s="41">
        <v>101.98</v>
      </c>
      <c r="AZ87" s="41">
        <v>104.12</v>
      </c>
      <c r="BA87" s="41">
        <v>106.25</v>
      </c>
      <c r="BB87" s="41">
        <v>108.38</v>
      </c>
      <c r="BC87" s="41">
        <v>110.52</v>
      </c>
      <c r="BD87" s="41">
        <v>112.65</v>
      </c>
      <c r="BE87" s="42">
        <v>114.78</v>
      </c>
      <c r="BF87" s="62">
        <v>116.92</v>
      </c>
      <c r="BG87" s="62">
        <v>119.05</v>
      </c>
      <c r="BH87" s="68">
        <v>121.18</v>
      </c>
      <c r="BI87" s="42">
        <v>123.32</v>
      </c>
      <c r="BJ87" s="34">
        <v>125.45</v>
      </c>
      <c r="BK87" s="43">
        <v>127.58</v>
      </c>
      <c r="BL87" s="5">
        <v>129.72</v>
      </c>
      <c r="BM87" s="5">
        <v>131.85</v>
      </c>
      <c r="BN87" s="5">
        <v>133.97999999999999</v>
      </c>
      <c r="BO87" s="5">
        <v>136.11000000000001</v>
      </c>
      <c r="BP87" s="5">
        <v>138.25</v>
      </c>
      <c r="BQ87" s="5">
        <v>140.38</v>
      </c>
      <c r="BR87" s="144">
        <v>142.51</v>
      </c>
      <c r="BS87" s="144">
        <v>144.65</v>
      </c>
      <c r="BT87" s="144">
        <v>146.78</v>
      </c>
      <c r="BU87" s="144">
        <v>148.91</v>
      </c>
      <c r="BV87" s="144">
        <v>151.05000000000001</v>
      </c>
      <c r="BW87" s="5">
        <v>87.19</v>
      </c>
      <c r="BX87" s="5">
        <v>85.06</v>
      </c>
      <c r="BY87" s="5">
        <v>82.93</v>
      </c>
      <c r="BZ87" s="5">
        <v>80.8</v>
      </c>
    </row>
    <row r="88" spans="1:78" x14ac:dyDescent="0.45">
      <c r="A88" s="119" t="s">
        <v>545</v>
      </c>
      <c r="B88" s="44">
        <v>180.2</v>
      </c>
      <c r="C88" s="82">
        <v>252.29</v>
      </c>
      <c r="D88" s="41">
        <v>183.26</v>
      </c>
      <c r="E88" s="81">
        <v>256.57</v>
      </c>
      <c r="F88" s="41">
        <v>186.32</v>
      </c>
      <c r="G88" s="88">
        <v>260.85000000000002</v>
      </c>
      <c r="H88" s="42">
        <v>189.38</v>
      </c>
      <c r="I88" s="94">
        <v>265.13</v>
      </c>
      <c r="J88" s="62">
        <v>192.43</v>
      </c>
      <c r="K88" s="100">
        <v>269.41000000000003</v>
      </c>
      <c r="L88" s="62">
        <v>195.49</v>
      </c>
      <c r="M88" s="100">
        <v>273.69</v>
      </c>
      <c r="N88" s="68">
        <v>198.55</v>
      </c>
      <c r="O88" s="106">
        <v>277.97000000000003</v>
      </c>
      <c r="P88" s="42">
        <v>201.61</v>
      </c>
      <c r="Q88" s="94">
        <v>282.25</v>
      </c>
      <c r="R88" s="42">
        <v>204.67</v>
      </c>
      <c r="S88" s="112">
        <v>286.52999999999997</v>
      </c>
      <c r="T88" s="43">
        <v>207.72</v>
      </c>
      <c r="U88" s="45">
        <v>290.81</v>
      </c>
      <c r="V88" s="5">
        <v>210.78</v>
      </c>
      <c r="W88" s="45">
        <v>295.08999999999997</v>
      </c>
      <c r="X88" s="5">
        <v>213.84</v>
      </c>
      <c r="Y88" s="126">
        <v>299.37</v>
      </c>
      <c r="Z88" s="5">
        <v>216.9</v>
      </c>
      <c r="AA88" s="126">
        <v>303.66000000000003</v>
      </c>
      <c r="AB88" s="5">
        <v>219.95</v>
      </c>
      <c r="AC88" s="134">
        <v>307.93</v>
      </c>
      <c r="AD88" s="5">
        <v>223.01</v>
      </c>
      <c r="AE88" s="134">
        <v>312.22000000000003</v>
      </c>
      <c r="AF88" s="5">
        <v>226.07</v>
      </c>
      <c r="AG88" s="134">
        <v>316.5</v>
      </c>
      <c r="AH88" s="144">
        <v>229.13</v>
      </c>
      <c r="AI88" s="134">
        <v>320.77999999999997</v>
      </c>
      <c r="AJ88" s="144">
        <v>232.18</v>
      </c>
      <c r="AK88" s="134">
        <v>325.06</v>
      </c>
      <c r="AL88" s="144">
        <v>235.24</v>
      </c>
      <c r="AM88" s="134">
        <v>329.34</v>
      </c>
      <c r="AN88" s="144">
        <v>238.3</v>
      </c>
      <c r="AO88" s="144">
        <v>333.62</v>
      </c>
      <c r="AP88" s="5">
        <v>241.36</v>
      </c>
      <c r="AQ88" s="121">
        <v>337.9</v>
      </c>
      <c r="AR88" s="5">
        <v>137.38999999999999</v>
      </c>
      <c r="AS88" s="5">
        <v>134.33000000000001</v>
      </c>
      <c r="AT88" s="5">
        <v>131.28</v>
      </c>
      <c r="AU88" s="5">
        <v>128.22</v>
      </c>
      <c r="AV88" s="37">
        <v>84</v>
      </c>
      <c r="AW88" s="41">
        <v>98.87</v>
      </c>
      <c r="AX88" s="41">
        <v>101.03</v>
      </c>
      <c r="AY88" s="41">
        <v>103.19</v>
      </c>
      <c r="AZ88" s="41">
        <v>105.35</v>
      </c>
      <c r="BA88" s="41">
        <v>107.51</v>
      </c>
      <c r="BB88" s="41">
        <v>109.67</v>
      </c>
      <c r="BC88" s="41">
        <v>111.83</v>
      </c>
      <c r="BD88" s="41">
        <v>113.98</v>
      </c>
      <c r="BE88" s="42">
        <v>116.14</v>
      </c>
      <c r="BF88" s="62">
        <v>118.3</v>
      </c>
      <c r="BG88" s="62">
        <v>120.46</v>
      </c>
      <c r="BH88" s="68">
        <v>122.62</v>
      </c>
      <c r="BI88" s="42">
        <v>124.78</v>
      </c>
      <c r="BJ88" s="34">
        <v>126.94</v>
      </c>
      <c r="BK88" s="43">
        <v>129.1</v>
      </c>
      <c r="BL88" s="5">
        <v>131.26</v>
      </c>
      <c r="BM88" s="5">
        <v>133.41</v>
      </c>
      <c r="BN88" s="5">
        <v>135.57</v>
      </c>
      <c r="BO88" s="5">
        <v>137.72999999999999</v>
      </c>
      <c r="BP88" s="5">
        <v>139.88999999999999</v>
      </c>
      <c r="BQ88" s="5">
        <v>142.05000000000001</v>
      </c>
      <c r="BR88" s="144">
        <v>144.21</v>
      </c>
      <c r="BS88" s="144">
        <v>146.37</v>
      </c>
      <c r="BT88" s="144">
        <v>148.53</v>
      </c>
      <c r="BU88" s="144">
        <v>150.68</v>
      </c>
      <c r="BV88" s="144">
        <v>152.84</v>
      </c>
      <c r="BW88" s="5">
        <v>88.23</v>
      </c>
      <c r="BX88" s="5">
        <v>86.07</v>
      </c>
      <c r="BY88" s="5">
        <v>83.91</v>
      </c>
      <c r="BZ88" s="5">
        <v>81.75</v>
      </c>
    </row>
    <row r="89" spans="1:78" x14ac:dyDescent="0.45">
      <c r="A89" s="119" t="s">
        <v>546</v>
      </c>
      <c r="B89" s="41">
        <v>182.38</v>
      </c>
      <c r="C89" s="81">
        <v>255.34</v>
      </c>
      <c r="D89" s="41">
        <v>185.48</v>
      </c>
      <c r="E89" s="81">
        <v>259.67</v>
      </c>
      <c r="F89" s="41">
        <v>188.57</v>
      </c>
      <c r="G89" s="88">
        <v>264</v>
      </c>
      <c r="H89" s="42">
        <v>191.67</v>
      </c>
      <c r="I89" s="94">
        <v>268.33</v>
      </c>
      <c r="J89" s="62">
        <v>194.76</v>
      </c>
      <c r="K89" s="100">
        <v>272.67</v>
      </c>
      <c r="L89" s="62">
        <v>197.85</v>
      </c>
      <c r="M89" s="100">
        <v>277</v>
      </c>
      <c r="N89" s="68">
        <v>200.95</v>
      </c>
      <c r="O89" s="106">
        <v>281.33</v>
      </c>
      <c r="P89" s="42">
        <v>204.04</v>
      </c>
      <c r="Q89" s="94">
        <v>285.66000000000003</v>
      </c>
      <c r="R89" s="42">
        <v>207.14</v>
      </c>
      <c r="S89" s="112">
        <v>289.99</v>
      </c>
      <c r="T89" s="43">
        <v>210.23</v>
      </c>
      <c r="U89" s="45">
        <v>294.32</v>
      </c>
      <c r="V89" s="5">
        <v>213.32</v>
      </c>
      <c r="W89" s="45">
        <v>298.64999999999998</v>
      </c>
      <c r="X89" s="5">
        <v>216.42</v>
      </c>
      <c r="Y89" s="126">
        <v>302.99</v>
      </c>
      <c r="Z89" s="5">
        <v>219.51</v>
      </c>
      <c r="AA89" s="126">
        <v>307.31</v>
      </c>
      <c r="AB89" s="5">
        <v>222.61</v>
      </c>
      <c r="AC89" s="134">
        <v>311.64999999999998</v>
      </c>
      <c r="AD89" s="5">
        <v>225.7</v>
      </c>
      <c r="AE89" s="134">
        <v>315.98</v>
      </c>
      <c r="AF89" s="5">
        <v>228.79</v>
      </c>
      <c r="AG89" s="134">
        <v>320.31</v>
      </c>
      <c r="AH89" s="144">
        <v>231.89</v>
      </c>
      <c r="AI89" s="134">
        <v>324.64</v>
      </c>
      <c r="AJ89" s="144">
        <v>234.98</v>
      </c>
      <c r="AK89" s="134">
        <v>328.98</v>
      </c>
      <c r="AL89" s="144">
        <v>238.08</v>
      </c>
      <c r="AM89" s="134">
        <v>333.31</v>
      </c>
      <c r="AN89" s="144">
        <v>241.17</v>
      </c>
      <c r="AO89" s="144">
        <v>337.64</v>
      </c>
      <c r="AP89" s="5">
        <v>244.26</v>
      </c>
      <c r="AQ89" s="121">
        <v>341.96999999999997</v>
      </c>
      <c r="AR89" s="5">
        <v>139.05000000000001</v>
      </c>
      <c r="AS89" s="5">
        <v>135.94999999999999</v>
      </c>
      <c r="AT89" s="5">
        <v>132.86000000000001</v>
      </c>
      <c r="AU89" s="5">
        <v>129.77000000000001</v>
      </c>
      <c r="AV89" s="37">
        <v>85</v>
      </c>
      <c r="AW89" s="41">
        <v>100.06</v>
      </c>
      <c r="AX89" s="41">
        <v>102.25</v>
      </c>
      <c r="AY89" s="41">
        <v>104.43</v>
      </c>
      <c r="AZ89" s="41">
        <v>106.62</v>
      </c>
      <c r="BA89" s="41">
        <v>108.8</v>
      </c>
      <c r="BB89" s="41">
        <v>110.99</v>
      </c>
      <c r="BC89" s="41">
        <v>113.17</v>
      </c>
      <c r="BD89" s="41">
        <v>115.35</v>
      </c>
      <c r="BE89" s="42">
        <v>117.54</v>
      </c>
      <c r="BF89" s="62">
        <v>119.72</v>
      </c>
      <c r="BG89" s="62">
        <v>121.91</v>
      </c>
      <c r="BH89" s="68">
        <v>124.09</v>
      </c>
      <c r="BI89" s="42">
        <v>126.28</v>
      </c>
      <c r="BJ89" s="34">
        <v>128.46</v>
      </c>
      <c r="BK89" s="43">
        <v>130.65</v>
      </c>
      <c r="BL89" s="5">
        <v>132.83000000000001</v>
      </c>
      <c r="BM89" s="5">
        <v>135.02000000000001</v>
      </c>
      <c r="BN89" s="5">
        <v>137.19999999999999</v>
      </c>
      <c r="BO89" s="5">
        <v>139.38</v>
      </c>
      <c r="BP89" s="5">
        <v>141.57</v>
      </c>
      <c r="BQ89" s="5">
        <v>143.75</v>
      </c>
      <c r="BR89" s="144">
        <v>145.94</v>
      </c>
      <c r="BS89" s="144">
        <v>148.12</v>
      </c>
      <c r="BT89" s="144">
        <v>150.31</v>
      </c>
      <c r="BU89" s="144">
        <v>152.49</v>
      </c>
      <c r="BV89" s="144">
        <v>154.68</v>
      </c>
      <c r="BW89" s="5">
        <v>89.29</v>
      </c>
      <c r="BX89" s="5">
        <v>87.1</v>
      </c>
      <c r="BY89" s="5">
        <v>84.92</v>
      </c>
      <c r="BZ89" s="5">
        <v>82.74</v>
      </c>
    </row>
    <row r="90" spans="1:78" x14ac:dyDescent="0.45">
      <c r="A90" s="119" t="s">
        <v>547</v>
      </c>
      <c r="B90" s="41">
        <v>184.45</v>
      </c>
      <c r="C90" s="81">
        <v>258.23</v>
      </c>
      <c r="D90" s="41">
        <v>187.58</v>
      </c>
      <c r="E90" s="81">
        <v>262.61</v>
      </c>
      <c r="F90" s="41">
        <v>190.71</v>
      </c>
      <c r="G90" s="88">
        <v>267</v>
      </c>
      <c r="H90" s="42">
        <v>193.84</v>
      </c>
      <c r="I90" s="94">
        <v>271.38</v>
      </c>
      <c r="J90" s="62">
        <v>196.97</v>
      </c>
      <c r="K90" s="100">
        <v>275.76</v>
      </c>
      <c r="L90" s="62">
        <v>200.1</v>
      </c>
      <c r="M90" s="100">
        <v>280.14</v>
      </c>
      <c r="N90" s="68">
        <v>203.23</v>
      </c>
      <c r="O90" s="106">
        <v>284.52999999999997</v>
      </c>
      <c r="P90" s="42">
        <v>206.36</v>
      </c>
      <c r="Q90" s="94">
        <v>288.91000000000003</v>
      </c>
      <c r="R90" s="42">
        <v>209.49</v>
      </c>
      <c r="S90" s="112">
        <v>293.29000000000002</v>
      </c>
      <c r="T90" s="43">
        <v>212.62</v>
      </c>
      <c r="U90" s="45">
        <v>297.67</v>
      </c>
      <c r="V90" s="5">
        <v>215.75</v>
      </c>
      <c r="W90" s="45">
        <v>302.06</v>
      </c>
      <c r="X90" s="5">
        <v>218.89</v>
      </c>
      <c r="Y90" s="126">
        <v>306.44</v>
      </c>
      <c r="Z90" s="5">
        <v>222.02</v>
      </c>
      <c r="AA90" s="126">
        <v>310.83</v>
      </c>
      <c r="AB90" s="5">
        <v>225.15</v>
      </c>
      <c r="AC90" s="134">
        <v>315.2</v>
      </c>
      <c r="AD90" s="5">
        <v>228.28</v>
      </c>
      <c r="AE90" s="134">
        <v>319.58999999999997</v>
      </c>
      <c r="AF90" s="5">
        <v>231.41</v>
      </c>
      <c r="AG90" s="134">
        <v>323.97000000000003</v>
      </c>
      <c r="AH90" s="144">
        <v>234.54</v>
      </c>
      <c r="AI90" s="134">
        <v>328.35</v>
      </c>
      <c r="AJ90" s="144">
        <v>237.67</v>
      </c>
      <c r="AK90" s="134">
        <v>332.73</v>
      </c>
      <c r="AL90" s="144">
        <v>240.8</v>
      </c>
      <c r="AM90" s="134">
        <v>337.12</v>
      </c>
      <c r="AN90" s="144">
        <v>243.93</v>
      </c>
      <c r="AO90" s="144">
        <v>641.5</v>
      </c>
      <c r="AP90" s="5">
        <v>247.06</v>
      </c>
      <c r="AQ90" s="121">
        <v>345.88</v>
      </c>
      <c r="AR90" s="5">
        <v>140.63999999999999</v>
      </c>
      <c r="AS90" s="5">
        <v>137.51</v>
      </c>
      <c r="AT90" s="5">
        <v>134.38</v>
      </c>
      <c r="AU90" s="5">
        <v>131.25</v>
      </c>
      <c r="AV90" s="37">
        <v>86</v>
      </c>
      <c r="AW90" s="41">
        <v>101.22</v>
      </c>
      <c r="AX90" s="41">
        <v>103.46</v>
      </c>
      <c r="AY90" s="41">
        <v>105.64</v>
      </c>
      <c r="AZ90" s="41">
        <v>107.85</v>
      </c>
      <c r="BA90" s="41">
        <v>110.06</v>
      </c>
      <c r="BB90" s="41">
        <v>112.27</v>
      </c>
      <c r="BC90" s="41">
        <v>114.48</v>
      </c>
      <c r="BD90" s="41">
        <v>116.69</v>
      </c>
      <c r="BE90" s="42">
        <v>118.9</v>
      </c>
      <c r="BF90" s="62">
        <v>121.11</v>
      </c>
      <c r="BG90" s="62">
        <v>123.32</v>
      </c>
      <c r="BH90" s="68">
        <v>125.53</v>
      </c>
      <c r="BI90" s="42">
        <v>127.74</v>
      </c>
      <c r="BJ90" s="34">
        <v>129.94999999999999</v>
      </c>
      <c r="BK90" s="43">
        <v>132.16999999999999</v>
      </c>
      <c r="BL90" s="5">
        <v>134.38</v>
      </c>
      <c r="BM90" s="5">
        <v>136.59</v>
      </c>
      <c r="BN90" s="5">
        <v>138.80000000000001</v>
      </c>
      <c r="BO90" s="5">
        <v>141.01</v>
      </c>
      <c r="BP90" s="5">
        <v>143.22</v>
      </c>
      <c r="BQ90" s="5">
        <v>145.43</v>
      </c>
      <c r="BR90" s="144">
        <v>147.63999999999999</v>
      </c>
      <c r="BS90" s="144">
        <v>149.85</v>
      </c>
      <c r="BT90" s="144">
        <v>152.06</v>
      </c>
      <c r="BU90" s="144">
        <v>154.27000000000001</v>
      </c>
      <c r="BV90" s="144">
        <v>156.47999999999999</v>
      </c>
      <c r="BW90" s="5">
        <v>90.33</v>
      </c>
      <c r="BX90" s="5">
        <v>88.12</v>
      </c>
      <c r="BY90" s="5">
        <v>85.91</v>
      </c>
      <c r="BZ90" s="5">
        <v>83.7</v>
      </c>
    </row>
    <row r="91" spans="1:78" x14ac:dyDescent="0.45">
      <c r="A91" s="119" t="s">
        <v>548</v>
      </c>
      <c r="B91" s="41">
        <v>186.52</v>
      </c>
      <c r="C91" s="81">
        <v>261.13</v>
      </c>
      <c r="D91" s="41">
        <v>189.69</v>
      </c>
      <c r="E91" s="81">
        <v>265.57</v>
      </c>
      <c r="F91" s="41">
        <v>192.86</v>
      </c>
      <c r="G91" s="88">
        <v>270</v>
      </c>
      <c r="H91" s="42">
        <v>196.02</v>
      </c>
      <c r="I91" s="94">
        <v>274.43</v>
      </c>
      <c r="J91" s="62">
        <v>199.19</v>
      </c>
      <c r="K91" s="100">
        <v>278.87</v>
      </c>
      <c r="L91" s="62">
        <v>202.36</v>
      </c>
      <c r="M91" s="100">
        <v>283.3</v>
      </c>
      <c r="N91" s="68">
        <v>205.52</v>
      </c>
      <c r="O91" s="106">
        <v>287.73</v>
      </c>
      <c r="P91" s="42">
        <v>208.69</v>
      </c>
      <c r="Q91" s="94">
        <v>292.17</v>
      </c>
      <c r="R91" s="42">
        <v>211.86</v>
      </c>
      <c r="S91" s="112">
        <v>296.60000000000002</v>
      </c>
      <c r="T91" s="43">
        <v>215.03</v>
      </c>
      <c r="U91" s="45">
        <v>301.04000000000002</v>
      </c>
      <c r="V91" s="5">
        <v>218.19</v>
      </c>
      <c r="W91" s="45">
        <v>305.47000000000003</v>
      </c>
      <c r="X91" s="5">
        <v>221.36</v>
      </c>
      <c r="Y91" s="126">
        <v>309.89999999999998</v>
      </c>
      <c r="Z91" s="5">
        <v>224.53</v>
      </c>
      <c r="AA91" s="126">
        <v>314.33999999999997</v>
      </c>
      <c r="AB91" s="5">
        <v>227.69</v>
      </c>
      <c r="AC91" s="134">
        <v>318.77</v>
      </c>
      <c r="AD91" s="5">
        <v>230.86</v>
      </c>
      <c r="AE91" s="134">
        <v>323.2</v>
      </c>
      <c r="AF91" s="5">
        <v>234.03</v>
      </c>
      <c r="AG91" s="134">
        <v>327.64</v>
      </c>
      <c r="AH91" s="144">
        <v>237.19</v>
      </c>
      <c r="AI91" s="134">
        <v>332.07</v>
      </c>
      <c r="AJ91" s="144">
        <v>240.36</v>
      </c>
      <c r="AK91" s="134">
        <v>336.5</v>
      </c>
      <c r="AL91" s="144">
        <v>243.53</v>
      </c>
      <c r="AM91" s="134">
        <v>340.94</v>
      </c>
      <c r="AN91" s="144">
        <v>246.69</v>
      </c>
      <c r="AO91" s="144">
        <v>345.37</v>
      </c>
      <c r="AP91" s="5">
        <v>249.86</v>
      </c>
      <c r="AQ91" s="121">
        <v>349.8</v>
      </c>
      <c r="AR91" s="5">
        <v>142.22999999999999</v>
      </c>
      <c r="AS91" s="5">
        <v>139.06</v>
      </c>
      <c r="AT91" s="5">
        <v>135.9</v>
      </c>
      <c r="AU91" s="5">
        <v>132.72999999999999</v>
      </c>
      <c r="AV91" s="37">
        <v>87</v>
      </c>
      <c r="AW91" s="41">
        <v>102.38</v>
      </c>
      <c r="AX91" s="41">
        <v>104.62</v>
      </c>
      <c r="AY91" s="41">
        <v>106.86</v>
      </c>
      <c r="AZ91" s="41">
        <v>109.9</v>
      </c>
      <c r="BA91" s="41">
        <v>111.33</v>
      </c>
      <c r="BB91" s="41">
        <v>113.56</v>
      </c>
      <c r="BC91" s="41">
        <v>115.8</v>
      </c>
      <c r="BD91" s="41">
        <v>118.03</v>
      </c>
      <c r="BE91" s="42">
        <v>120.27</v>
      </c>
      <c r="BF91" s="62">
        <v>122.51</v>
      </c>
      <c r="BG91" s="62">
        <v>124.74</v>
      </c>
      <c r="BH91" s="68">
        <v>126.98</v>
      </c>
      <c r="BI91" s="42">
        <v>129.21</v>
      </c>
      <c r="BJ91" s="34">
        <v>131.44999999999999</v>
      </c>
      <c r="BK91" s="43">
        <v>133.69</v>
      </c>
      <c r="BL91" s="5">
        <v>135.91999999999999</v>
      </c>
      <c r="BM91" s="5">
        <v>138.16</v>
      </c>
      <c r="BN91" s="5">
        <v>140.38999999999999</v>
      </c>
      <c r="BO91" s="5">
        <v>142.63</v>
      </c>
      <c r="BP91" s="5">
        <v>144.87</v>
      </c>
      <c r="BQ91" s="5">
        <v>147.1</v>
      </c>
      <c r="BR91" s="144">
        <v>149.34</v>
      </c>
      <c r="BS91" s="144">
        <v>151.57</v>
      </c>
      <c r="BT91" s="144">
        <v>153.81</v>
      </c>
      <c r="BU91" s="144">
        <v>156.05000000000001</v>
      </c>
      <c r="BV91" s="144">
        <v>158.28</v>
      </c>
      <c r="BW91" s="5">
        <v>91.37</v>
      </c>
      <c r="BX91" s="5">
        <v>89.13</v>
      </c>
      <c r="BY91" s="5">
        <v>86.9</v>
      </c>
      <c r="BZ91" s="5">
        <v>84.66</v>
      </c>
    </row>
    <row r="92" spans="1:78" x14ac:dyDescent="0.45">
      <c r="A92" s="119" t="s">
        <v>549</v>
      </c>
      <c r="B92" s="41">
        <v>188.74</v>
      </c>
      <c r="C92" s="81">
        <v>264.23</v>
      </c>
      <c r="D92" s="41">
        <v>191.94</v>
      </c>
      <c r="E92" s="81">
        <v>268.72000000000003</v>
      </c>
      <c r="F92" s="41">
        <v>195.14</v>
      </c>
      <c r="G92" s="88">
        <v>273.2</v>
      </c>
      <c r="H92" s="42">
        <v>198.35</v>
      </c>
      <c r="I92" s="94">
        <v>277.69</v>
      </c>
      <c r="J92" s="62">
        <v>201.55</v>
      </c>
      <c r="K92" s="100">
        <v>282.17</v>
      </c>
      <c r="L92" s="62">
        <v>204.75</v>
      </c>
      <c r="M92" s="100">
        <v>286.64999999999998</v>
      </c>
      <c r="N92" s="68">
        <v>207.96</v>
      </c>
      <c r="O92" s="106">
        <v>291.14</v>
      </c>
      <c r="P92" s="42">
        <v>211.16</v>
      </c>
      <c r="Q92" s="94">
        <v>295.62</v>
      </c>
      <c r="R92" s="42">
        <v>214.36</v>
      </c>
      <c r="S92" s="112">
        <v>300.11</v>
      </c>
      <c r="T92" s="43">
        <v>217.57</v>
      </c>
      <c r="U92" s="45">
        <v>304.58999999999997</v>
      </c>
      <c r="V92" s="5">
        <v>220.77</v>
      </c>
      <c r="W92" s="45">
        <v>309.08</v>
      </c>
      <c r="X92" s="5">
        <v>223.97</v>
      </c>
      <c r="Y92" s="126">
        <v>313.56</v>
      </c>
      <c r="Z92" s="5">
        <v>227.18</v>
      </c>
      <c r="AA92" s="126">
        <v>318.05</v>
      </c>
      <c r="AB92" s="5">
        <v>230.38</v>
      </c>
      <c r="AC92" s="134">
        <v>322.52999999999997</v>
      </c>
      <c r="AD92" s="5">
        <v>233.58</v>
      </c>
      <c r="AE92" s="134">
        <v>327.01</v>
      </c>
      <c r="AF92" s="5">
        <v>236.79</v>
      </c>
      <c r="AG92" s="134">
        <v>331.5</v>
      </c>
      <c r="AH92" s="144">
        <v>239.99</v>
      </c>
      <c r="AI92" s="134">
        <v>335.98</v>
      </c>
      <c r="AJ92" s="144">
        <v>243.19</v>
      </c>
      <c r="AK92" s="134">
        <v>340.47</v>
      </c>
      <c r="AL92" s="144">
        <v>246.39</v>
      </c>
      <c r="AM92" s="134">
        <v>344.95</v>
      </c>
      <c r="AN92" s="144">
        <v>249.6</v>
      </c>
      <c r="AO92" s="144">
        <v>349.44</v>
      </c>
      <c r="AP92" s="5">
        <v>252.8</v>
      </c>
      <c r="AQ92" s="121">
        <v>353.92</v>
      </c>
      <c r="AR92" s="5">
        <v>143.91</v>
      </c>
      <c r="AS92" s="5">
        <v>140.69999999999999</v>
      </c>
      <c r="AT92" s="5">
        <v>137.5</v>
      </c>
      <c r="AU92" s="5">
        <v>134.30000000000001</v>
      </c>
      <c r="AV92" s="37">
        <v>88</v>
      </c>
      <c r="AW92" s="41">
        <v>103.55</v>
      </c>
      <c r="AX92" s="41">
        <v>105.81</v>
      </c>
      <c r="AY92" s="41">
        <v>108.07</v>
      </c>
      <c r="AZ92" s="41">
        <v>110.33</v>
      </c>
      <c r="BA92" s="41">
        <v>112.59</v>
      </c>
      <c r="BB92" s="41">
        <v>114.85</v>
      </c>
      <c r="BC92" s="41">
        <v>117.12</v>
      </c>
      <c r="BD92" s="41">
        <v>119.38</v>
      </c>
      <c r="BE92" s="42">
        <v>121.64</v>
      </c>
      <c r="BF92" s="62">
        <v>123.9</v>
      </c>
      <c r="BG92" s="62">
        <v>126.16</v>
      </c>
      <c r="BH92" s="68">
        <v>128.41999999999999</v>
      </c>
      <c r="BI92" s="42">
        <v>130.69</v>
      </c>
      <c r="BJ92" s="34">
        <v>132.94999999999999</v>
      </c>
      <c r="BK92" s="43">
        <v>135.21</v>
      </c>
      <c r="BL92" s="5">
        <v>137.47</v>
      </c>
      <c r="BM92" s="5">
        <v>139.72999999999999</v>
      </c>
      <c r="BN92" s="5">
        <v>141.99</v>
      </c>
      <c r="BO92" s="5">
        <v>144.26</v>
      </c>
      <c r="BP92" s="5">
        <v>146.52000000000001</v>
      </c>
      <c r="BQ92" s="5">
        <v>148.78</v>
      </c>
      <c r="BR92" s="144">
        <v>151.04</v>
      </c>
      <c r="BS92" s="144">
        <v>153.30000000000001</v>
      </c>
      <c r="BT92" s="144">
        <v>155.56</v>
      </c>
      <c r="BU92" s="144">
        <v>157.83000000000001</v>
      </c>
      <c r="BV92" s="144">
        <v>160.09</v>
      </c>
      <c r="BW92" s="5">
        <v>92.41</v>
      </c>
      <c r="BX92" s="5">
        <v>90.15</v>
      </c>
      <c r="BY92" s="5">
        <v>87.89</v>
      </c>
      <c r="BZ92" s="5">
        <v>85.63</v>
      </c>
    </row>
    <row r="93" spans="1:78" x14ac:dyDescent="0.45">
      <c r="A93" s="119" t="s">
        <v>550</v>
      </c>
      <c r="B93" s="41">
        <v>190.83</v>
      </c>
      <c r="C93" s="81">
        <v>267.16000000000003</v>
      </c>
      <c r="D93" s="41">
        <v>194.07</v>
      </c>
      <c r="E93" s="81">
        <v>271.7</v>
      </c>
      <c r="F93" s="41">
        <v>197.31</v>
      </c>
      <c r="G93" s="88">
        <v>276.23</v>
      </c>
      <c r="H93" s="42">
        <v>200.55</v>
      </c>
      <c r="I93" s="94">
        <v>280.77</v>
      </c>
      <c r="J93" s="62">
        <v>203.79</v>
      </c>
      <c r="K93" s="100">
        <v>285.3</v>
      </c>
      <c r="L93" s="62">
        <v>207.03</v>
      </c>
      <c r="M93" s="100">
        <v>289.83999999999997</v>
      </c>
      <c r="N93" s="68">
        <v>210.27</v>
      </c>
      <c r="O93" s="106">
        <v>294.37</v>
      </c>
      <c r="P93" s="42">
        <v>213.51</v>
      </c>
      <c r="Q93" s="94">
        <v>298.91000000000003</v>
      </c>
      <c r="R93" s="42">
        <v>216.75</v>
      </c>
      <c r="S93" s="112">
        <v>303.44</v>
      </c>
      <c r="T93" s="43">
        <v>219.98</v>
      </c>
      <c r="U93" s="45">
        <v>307.98</v>
      </c>
      <c r="V93" s="5">
        <v>223.22</v>
      </c>
      <c r="W93" s="45">
        <v>312.51</v>
      </c>
      <c r="X93" s="5">
        <v>226.46</v>
      </c>
      <c r="Y93" s="126">
        <v>317.05</v>
      </c>
      <c r="Z93" s="5">
        <v>229.7</v>
      </c>
      <c r="AA93" s="126">
        <v>321.58</v>
      </c>
      <c r="AB93" s="5">
        <v>232.94</v>
      </c>
      <c r="AC93" s="134">
        <v>326.12</v>
      </c>
      <c r="AD93" s="5">
        <v>236.18</v>
      </c>
      <c r="AE93" s="134">
        <v>330.66</v>
      </c>
      <c r="AF93" s="5">
        <v>239.42</v>
      </c>
      <c r="AG93" s="134">
        <v>335.19</v>
      </c>
      <c r="AH93" s="144">
        <v>242.66</v>
      </c>
      <c r="AI93" s="134">
        <v>339.73</v>
      </c>
      <c r="AJ93" s="144">
        <v>245.9</v>
      </c>
      <c r="AK93" s="134">
        <v>344.26</v>
      </c>
      <c r="AL93" s="144">
        <v>249.14</v>
      </c>
      <c r="AM93" s="134">
        <v>348.8</v>
      </c>
      <c r="AN93" s="144">
        <v>252.38</v>
      </c>
      <c r="AO93" s="144">
        <v>353.33</v>
      </c>
      <c r="AP93" s="5">
        <v>255.62</v>
      </c>
      <c r="AQ93" s="121">
        <v>357.87</v>
      </c>
      <c r="AR93" s="5">
        <v>145.51</v>
      </c>
      <c r="AS93" s="5">
        <v>142.27000000000001</v>
      </c>
      <c r="AT93" s="5">
        <v>139.03</v>
      </c>
      <c r="AU93" s="5">
        <v>135.79</v>
      </c>
      <c r="AV93" s="37">
        <v>89</v>
      </c>
      <c r="AW93" s="41">
        <v>104.71</v>
      </c>
      <c r="AX93" s="41">
        <v>107</v>
      </c>
      <c r="AY93" s="41">
        <v>109.29</v>
      </c>
      <c r="AZ93" s="41">
        <v>111.57</v>
      </c>
      <c r="BA93" s="41">
        <v>113.86</v>
      </c>
      <c r="BB93" s="41">
        <v>116.15</v>
      </c>
      <c r="BC93" s="41">
        <v>118.44</v>
      </c>
      <c r="BD93" s="41">
        <v>120.72</v>
      </c>
      <c r="BE93" s="42">
        <v>123.01</v>
      </c>
      <c r="BF93" s="62">
        <v>125.3</v>
      </c>
      <c r="BG93" s="62">
        <v>127.59</v>
      </c>
      <c r="BH93" s="68">
        <v>129.87</v>
      </c>
      <c r="BI93" s="42">
        <v>132.16</v>
      </c>
      <c r="BJ93" s="34">
        <v>134.44999999999999</v>
      </c>
      <c r="BK93" s="43">
        <v>136.72999999999999</v>
      </c>
      <c r="BL93" s="5">
        <v>139.02000000000001</v>
      </c>
      <c r="BM93" s="5">
        <v>141.31</v>
      </c>
      <c r="BN93" s="5">
        <v>143.6</v>
      </c>
      <c r="BO93" s="5">
        <v>145.88</v>
      </c>
      <c r="BP93" s="5">
        <v>148.16999999999999</v>
      </c>
      <c r="BQ93" s="5">
        <v>150.46</v>
      </c>
      <c r="BR93" s="144">
        <v>152.75</v>
      </c>
      <c r="BS93" s="144">
        <v>155.03</v>
      </c>
      <c r="BT93" s="144">
        <v>157.32</v>
      </c>
      <c r="BU93" s="144">
        <v>159.61000000000001</v>
      </c>
      <c r="BV93" s="144">
        <v>161.88999999999999</v>
      </c>
      <c r="BW93" s="5">
        <v>93.45</v>
      </c>
      <c r="BX93" s="5">
        <v>91.17</v>
      </c>
      <c r="BY93" s="5">
        <v>88.88</v>
      </c>
      <c r="BZ93" s="5">
        <v>86.59</v>
      </c>
    </row>
    <row r="94" spans="1:78" x14ac:dyDescent="0.45">
      <c r="A94" s="119" t="s">
        <v>551</v>
      </c>
      <c r="B94" s="41">
        <v>192.93</v>
      </c>
      <c r="C94" s="81">
        <v>270.10000000000002</v>
      </c>
      <c r="D94" s="41">
        <v>196.2</v>
      </c>
      <c r="E94" s="81">
        <v>274.69</v>
      </c>
      <c r="F94" s="41">
        <v>199.48</v>
      </c>
      <c r="G94" s="88">
        <v>279.27</v>
      </c>
      <c r="H94" s="42">
        <v>202.76</v>
      </c>
      <c r="I94" s="94">
        <v>283.86</v>
      </c>
      <c r="J94" s="62">
        <v>206.03</v>
      </c>
      <c r="K94" s="100">
        <v>288.45</v>
      </c>
      <c r="L94" s="62">
        <v>209.31</v>
      </c>
      <c r="M94" s="100">
        <v>293.02999999999997</v>
      </c>
      <c r="N94" s="68">
        <v>212.58</v>
      </c>
      <c r="O94" s="106">
        <v>297.62</v>
      </c>
      <c r="P94" s="42">
        <v>215.86</v>
      </c>
      <c r="Q94" s="94">
        <v>302.2</v>
      </c>
      <c r="R94" s="42">
        <v>219.14</v>
      </c>
      <c r="S94" s="112">
        <v>306.79000000000002</v>
      </c>
      <c r="T94" s="43">
        <v>222.41</v>
      </c>
      <c r="U94" s="45">
        <v>311.38</v>
      </c>
      <c r="V94" s="5">
        <v>225.69</v>
      </c>
      <c r="W94" s="45">
        <v>315.95999999999998</v>
      </c>
      <c r="X94" s="5">
        <v>228.96</v>
      </c>
      <c r="Y94" s="126">
        <v>320.54000000000002</v>
      </c>
      <c r="Z94" s="5">
        <v>232.24</v>
      </c>
      <c r="AA94" s="126">
        <v>325.14</v>
      </c>
      <c r="AB94" s="5">
        <v>235.52</v>
      </c>
      <c r="AC94" s="134">
        <v>329.72</v>
      </c>
      <c r="AD94" s="5">
        <v>238.79</v>
      </c>
      <c r="AE94" s="134">
        <v>334.31</v>
      </c>
      <c r="AF94" s="5">
        <v>242.07</v>
      </c>
      <c r="AG94" s="134">
        <v>338.9</v>
      </c>
      <c r="AH94" s="144">
        <v>245.34</v>
      </c>
      <c r="AI94" s="134">
        <v>343.48</v>
      </c>
      <c r="AJ94" s="144">
        <v>248.62</v>
      </c>
      <c r="AK94" s="134">
        <v>348.07</v>
      </c>
      <c r="AL94" s="144">
        <v>251.9</v>
      </c>
      <c r="AM94" s="134">
        <v>352.65</v>
      </c>
      <c r="AN94" s="144">
        <v>255.17</v>
      </c>
      <c r="AO94" s="144">
        <v>357.24</v>
      </c>
      <c r="AP94" s="5">
        <v>258.45</v>
      </c>
      <c r="AQ94" s="121">
        <v>361.83</v>
      </c>
      <c r="AR94" s="5">
        <v>147.12</v>
      </c>
      <c r="AS94" s="5">
        <v>143.84</v>
      </c>
      <c r="AT94" s="5">
        <v>140.57</v>
      </c>
      <c r="AU94" s="5">
        <v>137.29</v>
      </c>
      <c r="AV94" s="37">
        <v>90</v>
      </c>
      <c r="AW94" s="41">
        <v>105.92</v>
      </c>
      <c r="AX94" s="41">
        <v>108.23</v>
      </c>
      <c r="AY94" s="41">
        <v>110.54</v>
      </c>
      <c r="AZ94" s="41">
        <v>112.86</v>
      </c>
      <c r="BA94" s="41">
        <v>115.17</v>
      </c>
      <c r="BB94" s="41">
        <v>117.48</v>
      </c>
      <c r="BC94" s="41">
        <v>119.8</v>
      </c>
      <c r="BD94" s="41">
        <v>122.11</v>
      </c>
      <c r="BE94" s="42">
        <v>124.42</v>
      </c>
      <c r="BF94" s="62">
        <v>126.73</v>
      </c>
      <c r="BG94" s="62">
        <v>129.05000000000001</v>
      </c>
      <c r="BH94" s="68">
        <v>131.36000000000001</v>
      </c>
      <c r="BI94" s="42">
        <v>133.66999999999999</v>
      </c>
      <c r="BJ94" s="34">
        <v>135.99</v>
      </c>
      <c r="BK94" s="43">
        <v>138.30000000000001</v>
      </c>
      <c r="BL94" s="5">
        <v>140.61000000000001</v>
      </c>
      <c r="BM94" s="5">
        <v>142.93</v>
      </c>
      <c r="BN94" s="5">
        <v>145.24</v>
      </c>
      <c r="BO94" s="5">
        <v>147.55000000000001</v>
      </c>
      <c r="BP94" s="5">
        <v>149.86000000000001</v>
      </c>
      <c r="BQ94" s="5">
        <v>152.18</v>
      </c>
      <c r="BR94" s="144">
        <v>154.49</v>
      </c>
      <c r="BS94" s="144">
        <v>156.80000000000001</v>
      </c>
      <c r="BT94" s="144">
        <v>159.12</v>
      </c>
      <c r="BU94" s="144">
        <v>161.43</v>
      </c>
      <c r="BV94" s="144">
        <v>163.74</v>
      </c>
      <c r="BW94" s="5">
        <v>94.52</v>
      </c>
      <c r="BX94" s="5">
        <v>92.21</v>
      </c>
      <c r="BY94" s="5">
        <v>89.9</v>
      </c>
      <c r="BZ94" s="5">
        <v>87.58</v>
      </c>
    </row>
    <row r="95" spans="1:78" x14ac:dyDescent="0.45">
      <c r="A95" s="119" t="s">
        <v>552</v>
      </c>
      <c r="B95" s="41">
        <v>195.18</v>
      </c>
      <c r="C95" s="81">
        <v>273.25</v>
      </c>
      <c r="D95" s="41">
        <v>198.49</v>
      </c>
      <c r="E95" s="81">
        <v>277.89</v>
      </c>
      <c r="F95" s="41">
        <v>201.8</v>
      </c>
      <c r="G95" s="88">
        <v>282.52</v>
      </c>
      <c r="H95" s="42">
        <v>205.11</v>
      </c>
      <c r="I95" s="94">
        <v>287.16000000000003</v>
      </c>
      <c r="J95" s="62">
        <v>208.43</v>
      </c>
      <c r="K95" s="100">
        <v>291.8</v>
      </c>
      <c r="L95" s="62">
        <v>211.74</v>
      </c>
      <c r="M95" s="100">
        <v>296.44</v>
      </c>
      <c r="N95" s="68">
        <v>215.05</v>
      </c>
      <c r="O95" s="106">
        <v>301.07</v>
      </c>
      <c r="P95" s="42">
        <v>218.36</v>
      </c>
      <c r="Q95" s="94">
        <v>305.70999999999998</v>
      </c>
      <c r="R95" s="42">
        <v>221.68</v>
      </c>
      <c r="S95" s="112">
        <v>310.35000000000002</v>
      </c>
      <c r="T95" s="43">
        <v>224.99</v>
      </c>
      <c r="U95" s="45">
        <v>314.98</v>
      </c>
      <c r="V95" s="5">
        <v>228.3</v>
      </c>
      <c r="W95" s="45">
        <v>319.62</v>
      </c>
      <c r="X95" s="5">
        <v>231.61</v>
      </c>
      <c r="Y95" s="126">
        <v>324.25</v>
      </c>
      <c r="Z95" s="5">
        <v>234.93</v>
      </c>
      <c r="AA95" s="126">
        <v>328.9</v>
      </c>
      <c r="AB95" s="5">
        <v>238.24</v>
      </c>
      <c r="AC95" s="134">
        <v>333.53</v>
      </c>
      <c r="AD95" s="5">
        <v>241.55</v>
      </c>
      <c r="AE95" s="134">
        <v>338.17</v>
      </c>
      <c r="AF95" s="5">
        <v>244.86</v>
      </c>
      <c r="AG95" s="134">
        <v>342.81</v>
      </c>
      <c r="AH95" s="144">
        <v>248.18</v>
      </c>
      <c r="AI95" s="134">
        <v>347.45</v>
      </c>
      <c r="AJ95" s="144">
        <v>251.49</v>
      </c>
      <c r="AK95" s="134">
        <v>352.08</v>
      </c>
      <c r="AL95" s="144">
        <v>254.8</v>
      </c>
      <c r="AM95" s="134">
        <v>356.72</v>
      </c>
      <c r="AN95" s="144">
        <v>258.11</v>
      </c>
      <c r="AO95" s="144">
        <v>361.36</v>
      </c>
      <c r="AP95" s="5">
        <v>261.43</v>
      </c>
      <c r="AQ95" s="121">
        <v>366</v>
      </c>
      <c r="AR95" s="5">
        <v>148.82</v>
      </c>
      <c r="AS95" s="5">
        <v>145.5</v>
      </c>
      <c r="AT95" s="5">
        <v>142.19</v>
      </c>
      <c r="AU95" s="5">
        <v>138.88</v>
      </c>
      <c r="AV95" s="37">
        <v>91</v>
      </c>
      <c r="AW95" s="41">
        <v>107.09</v>
      </c>
      <c r="AX95" s="41">
        <v>109.43</v>
      </c>
      <c r="AY95" s="41">
        <v>111.77</v>
      </c>
      <c r="AZ95" s="41">
        <v>114.1</v>
      </c>
      <c r="BA95" s="41">
        <v>116.44</v>
      </c>
      <c r="BB95" s="41">
        <v>118.78</v>
      </c>
      <c r="BC95" s="41">
        <v>121.12</v>
      </c>
      <c r="BD95" s="41">
        <v>123.46</v>
      </c>
      <c r="BE95" s="42">
        <v>125.8</v>
      </c>
      <c r="BF95" s="62">
        <v>128.13999999999999</v>
      </c>
      <c r="BG95" s="62">
        <v>130.47999999999999</v>
      </c>
      <c r="BH95" s="68">
        <v>132.81</v>
      </c>
      <c r="BI95" s="42">
        <v>135.15</v>
      </c>
      <c r="BJ95" s="34">
        <v>137.49</v>
      </c>
      <c r="BK95" s="43">
        <v>139.83000000000001</v>
      </c>
      <c r="BL95" s="5">
        <v>142.16999999999999</v>
      </c>
      <c r="BM95" s="5">
        <v>144.51</v>
      </c>
      <c r="BN95" s="5">
        <v>146.85</v>
      </c>
      <c r="BO95" s="5">
        <v>149.19</v>
      </c>
      <c r="BP95" s="5">
        <v>151.52000000000001</v>
      </c>
      <c r="BQ95" s="5">
        <v>153.86000000000001</v>
      </c>
      <c r="BR95" s="144">
        <v>156.19999999999999</v>
      </c>
      <c r="BS95" s="144">
        <v>158.54</v>
      </c>
      <c r="BT95" s="144">
        <v>160.88</v>
      </c>
      <c r="BU95" s="144">
        <v>163.22</v>
      </c>
      <c r="BV95" s="144">
        <v>165.56</v>
      </c>
      <c r="BW95" s="5">
        <v>95.57</v>
      </c>
      <c r="BX95" s="5">
        <v>93.23</v>
      </c>
      <c r="BY95" s="5">
        <v>90.89</v>
      </c>
      <c r="BZ95" s="5">
        <v>88.55</v>
      </c>
    </row>
    <row r="96" spans="1:78" x14ac:dyDescent="0.45">
      <c r="A96" s="119" t="s">
        <v>553</v>
      </c>
      <c r="B96" s="41">
        <v>197.3</v>
      </c>
      <c r="C96" s="81">
        <v>276.22000000000003</v>
      </c>
      <c r="D96" s="41">
        <v>200.65</v>
      </c>
      <c r="E96" s="81">
        <v>280.89999999999998</v>
      </c>
      <c r="F96" s="41">
        <v>203.99</v>
      </c>
      <c r="G96" s="88">
        <v>285.58999999999997</v>
      </c>
      <c r="H96" s="42">
        <v>207.34</v>
      </c>
      <c r="I96" s="94">
        <v>290.27999999999997</v>
      </c>
      <c r="J96" s="62">
        <v>210.69</v>
      </c>
      <c r="K96" s="100">
        <v>294.97000000000003</v>
      </c>
      <c r="L96" s="62">
        <v>214.04</v>
      </c>
      <c r="M96" s="100">
        <v>299.66000000000003</v>
      </c>
      <c r="N96" s="68">
        <v>217.39</v>
      </c>
      <c r="O96" s="106">
        <v>304.35000000000002</v>
      </c>
      <c r="P96" s="42">
        <v>220.74</v>
      </c>
      <c r="Q96" s="94">
        <v>309.02999999999997</v>
      </c>
      <c r="R96" s="42">
        <v>224.09</v>
      </c>
      <c r="S96" s="112">
        <v>313.72000000000003</v>
      </c>
      <c r="T96" s="43">
        <v>227.44</v>
      </c>
      <c r="U96" s="45">
        <v>318.41000000000003</v>
      </c>
      <c r="V96" s="5">
        <v>230.79</v>
      </c>
      <c r="W96" s="45">
        <v>323.10000000000002</v>
      </c>
      <c r="X96" s="5">
        <v>234.13</v>
      </c>
      <c r="Y96" s="126">
        <v>327.78</v>
      </c>
      <c r="Z96" s="5">
        <v>237.48</v>
      </c>
      <c r="AA96" s="126">
        <v>332.47</v>
      </c>
      <c r="AB96" s="5">
        <v>240.83</v>
      </c>
      <c r="AC96" s="134">
        <v>337.16</v>
      </c>
      <c r="AD96" s="5">
        <v>244.18</v>
      </c>
      <c r="AE96" s="134">
        <v>341.85</v>
      </c>
      <c r="AF96" s="5">
        <v>247.53</v>
      </c>
      <c r="AG96" s="134">
        <v>346.54</v>
      </c>
      <c r="AH96" s="144">
        <v>250.88</v>
      </c>
      <c r="AI96" s="134">
        <v>351.23</v>
      </c>
      <c r="AJ96" s="144">
        <v>254.23</v>
      </c>
      <c r="AK96" s="134">
        <v>355.92</v>
      </c>
      <c r="AL96" s="144">
        <v>257.58</v>
      </c>
      <c r="AM96" s="134">
        <v>360.61</v>
      </c>
      <c r="AN96" s="144">
        <v>260.92</v>
      </c>
      <c r="AO96" s="144">
        <v>365.29</v>
      </c>
      <c r="AP96" s="5">
        <v>264.27</v>
      </c>
      <c r="AQ96" s="121">
        <v>369.98</v>
      </c>
      <c r="AR96" s="5">
        <v>150.44</v>
      </c>
      <c r="AS96" s="5">
        <v>147.09</v>
      </c>
      <c r="AT96" s="5">
        <v>143.74</v>
      </c>
      <c r="AU96" s="5">
        <v>140.38999999999999</v>
      </c>
      <c r="AV96" s="37">
        <v>92</v>
      </c>
      <c r="AW96" s="41">
        <v>108.22</v>
      </c>
      <c r="AX96" s="41">
        <v>110.59</v>
      </c>
      <c r="AY96" s="41">
        <v>112.95</v>
      </c>
      <c r="AZ96" s="41">
        <v>115.32</v>
      </c>
      <c r="BA96" s="41">
        <v>117.68</v>
      </c>
      <c r="BB96" s="41">
        <v>120.04</v>
      </c>
      <c r="BC96" s="41">
        <v>122.41</v>
      </c>
      <c r="BD96" s="41">
        <v>124.77</v>
      </c>
      <c r="BE96" s="42">
        <v>127.14</v>
      </c>
      <c r="BF96" s="62">
        <v>129.5</v>
      </c>
      <c r="BG96" s="62">
        <v>131.87</v>
      </c>
      <c r="BH96" s="68">
        <v>134.22999999999999</v>
      </c>
      <c r="BI96" s="42">
        <v>136.6</v>
      </c>
      <c r="BJ96" s="34">
        <v>138.96</v>
      </c>
      <c r="BK96" s="43">
        <v>141.32</v>
      </c>
      <c r="BL96" s="5">
        <v>143.69</v>
      </c>
      <c r="BM96" s="5">
        <v>146.05000000000001</v>
      </c>
      <c r="BN96" s="5">
        <v>148.41999999999999</v>
      </c>
      <c r="BO96" s="5">
        <v>150.78</v>
      </c>
      <c r="BP96" s="5">
        <v>153.15</v>
      </c>
      <c r="BQ96" s="5">
        <v>155.51</v>
      </c>
      <c r="BR96" s="144">
        <v>157.88</v>
      </c>
      <c r="BS96" s="144">
        <v>160.24</v>
      </c>
      <c r="BT96" s="144">
        <v>162.6</v>
      </c>
      <c r="BU96" s="144">
        <v>164.97</v>
      </c>
      <c r="BV96" s="144">
        <v>167.33</v>
      </c>
      <c r="BW96" s="5">
        <v>96.59</v>
      </c>
      <c r="BX96" s="5">
        <v>94.23</v>
      </c>
      <c r="BY96" s="5">
        <v>91.86</v>
      </c>
      <c r="BZ96" s="5">
        <v>89.5</v>
      </c>
    </row>
    <row r="97" spans="1:78" x14ac:dyDescent="0.45">
      <c r="A97" s="119" t="s">
        <v>554</v>
      </c>
      <c r="B97" s="41">
        <v>199.43</v>
      </c>
      <c r="C97" s="81">
        <v>279.2</v>
      </c>
      <c r="D97" s="41">
        <v>202.81</v>
      </c>
      <c r="E97" s="81">
        <v>283.94</v>
      </c>
      <c r="F97" s="41">
        <v>206.2</v>
      </c>
      <c r="G97" s="88">
        <v>288.67</v>
      </c>
      <c r="H97" s="42">
        <v>209.58</v>
      </c>
      <c r="I97" s="94">
        <v>293.41000000000003</v>
      </c>
      <c r="J97" s="62">
        <v>212.97</v>
      </c>
      <c r="K97" s="100">
        <v>298.14999999999998</v>
      </c>
      <c r="L97" s="62">
        <v>216.35</v>
      </c>
      <c r="M97" s="100">
        <v>302.89</v>
      </c>
      <c r="N97" s="68">
        <v>219.74</v>
      </c>
      <c r="O97" s="106">
        <v>307.63</v>
      </c>
      <c r="P97" s="42">
        <v>223.12</v>
      </c>
      <c r="Q97" s="94">
        <v>312.37</v>
      </c>
      <c r="R97" s="42">
        <v>226.51</v>
      </c>
      <c r="S97" s="112">
        <v>317.11</v>
      </c>
      <c r="T97" s="43">
        <v>229.89</v>
      </c>
      <c r="U97" s="45">
        <v>321.85000000000002</v>
      </c>
      <c r="V97" s="5">
        <v>233.28</v>
      </c>
      <c r="W97" s="45">
        <v>326.58999999999997</v>
      </c>
      <c r="X97" s="5">
        <v>236.66</v>
      </c>
      <c r="Y97" s="126">
        <v>331.32</v>
      </c>
      <c r="Z97" s="5">
        <v>240.05</v>
      </c>
      <c r="AA97" s="126">
        <v>336.07</v>
      </c>
      <c r="AB97" s="5">
        <v>243.43</v>
      </c>
      <c r="AC97" s="134">
        <v>340.81</v>
      </c>
      <c r="AD97" s="5">
        <v>246.82</v>
      </c>
      <c r="AE97" s="134">
        <v>345.55</v>
      </c>
      <c r="AF97" s="5">
        <v>250.2</v>
      </c>
      <c r="AG97" s="134">
        <v>350.29</v>
      </c>
      <c r="AH97" s="144">
        <v>253.59</v>
      </c>
      <c r="AI97" s="134">
        <v>355.02</v>
      </c>
      <c r="AJ97" s="144">
        <v>256.97000000000003</v>
      </c>
      <c r="AK97" s="134">
        <v>359.76</v>
      </c>
      <c r="AL97" s="144">
        <v>260.36</v>
      </c>
      <c r="AM97" s="134">
        <v>364.5</v>
      </c>
      <c r="AN97" s="144">
        <v>263.74</v>
      </c>
      <c r="AO97" s="144">
        <v>369.24</v>
      </c>
      <c r="AP97" s="5">
        <v>267.13</v>
      </c>
      <c r="AQ97" s="121">
        <v>373.98</v>
      </c>
      <c r="AR97" s="5">
        <v>152.06</v>
      </c>
      <c r="AS97" s="5">
        <v>148.68</v>
      </c>
      <c r="AT97" s="5">
        <v>145.29</v>
      </c>
      <c r="AU97" s="5">
        <v>141.91</v>
      </c>
      <c r="AV97" s="37">
        <v>93</v>
      </c>
      <c r="AW97" s="41">
        <v>109.4</v>
      </c>
      <c r="AX97" s="41">
        <v>111.79</v>
      </c>
      <c r="AY97" s="41">
        <v>114.18</v>
      </c>
      <c r="AZ97" s="41">
        <v>116.57</v>
      </c>
      <c r="BA97" s="41">
        <v>118.96</v>
      </c>
      <c r="BB97" s="41">
        <v>121.35</v>
      </c>
      <c r="BC97" s="41">
        <v>123.74</v>
      </c>
      <c r="BD97" s="41">
        <v>126.13</v>
      </c>
      <c r="BE97" s="42">
        <v>128.52000000000001</v>
      </c>
      <c r="BF97" s="62">
        <v>130.91</v>
      </c>
      <c r="BG97" s="62">
        <v>133.30000000000001</v>
      </c>
      <c r="BH97" s="68">
        <v>135.69</v>
      </c>
      <c r="BI97" s="42">
        <v>138.08000000000001</v>
      </c>
      <c r="BJ97" s="34">
        <v>140.47</v>
      </c>
      <c r="BK97" s="43">
        <v>142.86000000000001</v>
      </c>
      <c r="BL97" s="5">
        <v>145.25</v>
      </c>
      <c r="BM97" s="5">
        <v>147.63999999999999</v>
      </c>
      <c r="BN97" s="5">
        <v>150.03</v>
      </c>
      <c r="BO97" s="5">
        <v>152.41999999999999</v>
      </c>
      <c r="BP97" s="5">
        <v>154.81</v>
      </c>
      <c r="BQ97" s="5">
        <v>157.19999999999999</v>
      </c>
      <c r="BR97" s="144">
        <v>159.59</v>
      </c>
      <c r="BS97" s="144">
        <v>161.97999999999999</v>
      </c>
      <c r="BT97" s="144">
        <v>164.37</v>
      </c>
      <c r="BU97" s="144">
        <v>166.76</v>
      </c>
      <c r="BV97" s="144">
        <v>169.15</v>
      </c>
      <c r="BW97" s="5">
        <v>97.64</v>
      </c>
      <c r="BX97" s="5">
        <v>95.25</v>
      </c>
      <c r="BY97" s="5">
        <v>92.86</v>
      </c>
      <c r="BZ97" s="5">
        <v>90.47</v>
      </c>
    </row>
    <row r="98" spans="1:78" x14ac:dyDescent="0.45">
      <c r="A98" s="119" t="s">
        <v>555</v>
      </c>
      <c r="B98" s="41">
        <v>201.56</v>
      </c>
      <c r="C98" s="81">
        <v>282.19</v>
      </c>
      <c r="D98" s="41">
        <v>204.99</v>
      </c>
      <c r="E98" s="81">
        <v>286.98</v>
      </c>
      <c r="F98" s="41">
        <v>208.41</v>
      </c>
      <c r="G98" s="88">
        <v>291.77</v>
      </c>
      <c r="H98" s="42">
        <v>211.83</v>
      </c>
      <c r="I98" s="94">
        <v>296.56</v>
      </c>
      <c r="J98" s="62">
        <v>215.25</v>
      </c>
      <c r="K98" s="100">
        <v>301.35000000000002</v>
      </c>
      <c r="L98" s="62">
        <v>218.67</v>
      </c>
      <c r="M98" s="100">
        <v>306.14</v>
      </c>
      <c r="N98" s="68">
        <v>222.09</v>
      </c>
      <c r="O98" s="106">
        <v>310.93</v>
      </c>
      <c r="P98" s="42">
        <v>225.51</v>
      </c>
      <c r="Q98" s="94">
        <v>315.72000000000003</v>
      </c>
      <c r="R98" s="42">
        <v>228.94</v>
      </c>
      <c r="S98" s="112">
        <v>320.51</v>
      </c>
      <c r="T98" s="43">
        <v>232.36</v>
      </c>
      <c r="U98" s="45">
        <v>325.3</v>
      </c>
      <c r="V98" s="5">
        <v>235.78</v>
      </c>
      <c r="W98" s="45">
        <v>330.09</v>
      </c>
      <c r="X98" s="5">
        <v>239.2</v>
      </c>
      <c r="Y98" s="126">
        <v>334.88</v>
      </c>
      <c r="Z98" s="5">
        <v>242.62</v>
      </c>
      <c r="AA98" s="126">
        <v>339.67</v>
      </c>
      <c r="AB98" s="5">
        <v>246.04</v>
      </c>
      <c r="AC98" s="134">
        <v>344.46</v>
      </c>
      <c r="AD98" s="5">
        <v>249.47</v>
      </c>
      <c r="AE98" s="134">
        <v>349.25</v>
      </c>
      <c r="AF98" s="5">
        <v>252.89</v>
      </c>
      <c r="AG98" s="134">
        <v>354.04</v>
      </c>
      <c r="AH98" s="144">
        <v>256.31</v>
      </c>
      <c r="AI98" s="134">
        <v>358.83</v>
      </c>
      <c r="AJ98" s="144">
        <v>259.73</v>
      </c>
      <c r="AK98" s="134">
        <v>363.62</v>
      </c>
      <c r="AL98" s="144">
        <v>263.14999999999998</v>
      </c>
      <c r="AM98" s="134">
        <v>368.41</v>
      </c>
      <c r="AN98" s="144">
        <v>266.57</v>
      </c>
      <c r="AO98" s="144">
        <v>373.2</v>
      </c>
      <c r="AP98" s="5">
        <v>270</v>
      </c>
      <c r="AQ98" s="121">
        <v>377.99</v>
      </c>
      <c r="AR98" s="5">
        <v>153.69</v>
      </c>
      <c r="AS98" s="5">
        <v>150.27000000000001</v>
      </c>
      <c r="AT98" s="5">
        <v>146.85</v>
      </c>
      <c r="AU98" s="5">
        <v>143.43</v>
      </c>
      <c r="AV98" s="37">
        <v>94</v>
      </c>
      <c r="AW98" s="41">
        <v>110.58</v>
      </c>
      <c r="AX98" s="41">
        <v>112.99</v>
      </c>
      <c r="AY98" s="41">
        <v>115.41</v>
      </c>
      <c r="AZ98" s="41">
        <v>117.82</v>
      </c>
      <c r="BA98" s="41">
        <v>120.24</v>
      </c>
      <c r="BB98" s="41">
        <v>122.65</v>
      </c>
      <c r="BC98" s="41">
        <v>125.07</v>
      </c>
      <c r="BD98" s="41">
        <v>127.49</v>
      </c>
      <c r="BE98" s="42">
        <v>129.9</v>
      </c>
      <c r="BF98" s="62">
        <v>132.32</v>
      </c>
      <c r="BG98" s="62">
        <v>134.72999999999999</v>
      </c>
      <c r="BH98" s="68">
        <v>137.15</v>
      </c>
      <c r="BI98" s="42">
        <v>139.56</v>
      </c>
      <c r="BJ98" s="34">
        <v>141.97999999999999</v>
      </c>
      <c r="BK98" s="43">
        <v>144.4</v>
      </c>
      <c r="BL98" s="5">
        <v>146.81</v>
      </c>
      <c r="BM98" s="5">
        <v>149.22999999999999</v>
      </c>
      <c r="BN98" s="5">
        <v>151.63999999999999</v>
      </c>
      <c r="BO98" s="5">
        <v>154.06</v>
      </c>
      <c r="BP98" s="5">
        <v>156.47999999999999</v>
      </c>
      <c r="BQ98" s="5">
        <v>158.88999999999999</v>
      </c>
      <c r="BR98" s="144">
        <v>161.31</v>
      </c>
      <c r="BS98" s="144">
        <v>163.72</v>
      </c>
      <c r="BT98" s="144">
        <v>166.14</v>
      </c>
      <c r="BU98" s="144">
        <v>168.55</v>
      </c>
      <c r="BV98" s="144">
        <v>170.97</v>
      </c>
      <c r="BW98" s="5">
        <v>98.69</v>
      </c>
      <c r="BX98" s="5">
        <v>96.28</v>
      </c>
      <c r="BY98" s="5">
        <v>93.86</v>
      </c>
      <c r="BZ98" s="5">
        <v>91.44</v>
      </c>
    </row>
    <row r="99" spans="1:78" x14ac:dyDescent="0.45">
      <c r="A99" s="119" t="s">
        <v>556</v>
      </c>
      <c r="B99" s="41">
        <v>203.56</v>
      </c>
      <c r="C99" s="81">
        <v>284.98</v>
      </c>
      <c r="D99" s="41">
        <v>207.02</v>
      </c>
      <c r="E99" s="81">
        <v>289.82</v>
      </c>
      <c r="F99" s="41">
        <v>210.47</v>
      </c>
      <c r="G99" s="88">
        <v>294.66000000000003</v>
      </c>
      <c r="H99" s="42">
        <v>213.93</v>
      </c>
      <c r="I99" s="94">
        <v>299.5</v>
      </c>
      <c r="J99" s="62">
        <v>217.39</v>
      </c>
      <c r="K99" s="100">
        <v>304.35000000000002</v>
      </c>
      <c r="L99" s="62">
        <v>220.85</v>
      </c>
      <c r="M99" s="100">
        <v>309.19</v>
      </c>
      <c r="N99" s="68">
        <v>224.31</v>
      </c>
      <c r="O99" s="106">
        <v>314.02999999999997</v>
      </c>
      <c r="P99" s="42">
        <v>227.76</v>
      </c>
      <c r="Q99" s="94">
        <v>318.87</v>
      </c>
      <c r="R99" s="42">
        <v>231.22</v>
      </c>
      <c r="S99" s="112">
        <v>323.70999999999998</v>
      </c>
      <c r="T99" s="43">
        <v>234.68</v>
      </c>
      <c r="U99" s="45">
        <v>328.55</v>
      </c>
      <c r="V99" s="5">
        <v>238.14</v>
      </c>
      <c r="W99" s="45">
        <v>333.39</v>
      </c>
      <c r="X99" s="5">
        <v>241.6</v>
      </c>
      <c r="Y99" s="126">
        <v>338.24</v>
      </c>
      <c r="Z99" s="5">
        <v>245.05</v>
      </c>
      <c r="AA99" s="126">
        <v>343.07</v>
      </c>
      <c r="AB99" s="5">
        <v>248.51</v>
      </c>
      <c r="AC99" s="134">
        <v>347.92</v>
      </c>
      <c r="AD99" s="5">
        <v>251.97</v>
      </c>
      <c r="AE99" s="134">
        <v>352.76</v>
      </c>
      <c r="AF99" s="5">
        <v>255.43</v>
      </c>
      <c r="AG99" s="134">
        <v>357.6</v>
      </c>
      <c r="AH99" s="144">
        <v>258.89</v>
      </c>
      <c r="AI99" s="134">
        <v>362.44</v>
      </c>
      <c r="AJ99" s="144">
        <v>262.33999999999997</v>
      </c>
      <c r="AK99" s="134">
        <v>367.28</v>
      </c>
      <c r="AL99" s="144">
        <v>265.8</v>
      </c>
      <c r="AM99" s="134">
        <v>372.12</v>
      </c>
      <c r="AN99" s="144">
        <v>269.26</v>
      </c>
      <c r="AO99" s="144">
        <v>376.96</v>
      </c>
      <c r="AP99" s="5">
        <v>272.72000000000003</v>
      </c>
      <c r="AQ99" s="121">
        <v>381.8</v>
      </c>
      <c r="AR99" s="5">
        <v>155.24</v>
      </c>
      <c r="AS99" s="5">
        <v>151.78</v>
      </c>
      <c r="AT99" s="5">
        <v>148.32</v>
      </c>
      <c r="AU99" s="5">
        <v>144.87</v>
      </c>
      <c r="AV99" s="37">
        <v>95</v>
      </c>
      <c r="AW99" s="41">
        <v>111.76</v>
      </c>
      <c r="AX99" s="41">
        <v>114.2</v>
      </c>
      <c r="AY99" s="41">
        <v>116.64</v>
      </c>
      <c r="AZ99" s="41">
        <v>119.08</v>
      </c>
      <c r="BA99" s="41">
        <v>121.52</v>
      </c>
      <c r="BB99" s="41">
        <v>123.96</v>
      </c>
      <c r="BC99" s="41">
        <v>126.4</v>
      </c>
      <c r="BD99" s="41">
        <v>128.85</v>
      </c>
      <c r="BE99" s="42">
        <v>131.29</v>
      </c>
      <c r="BF99" s="62">
        <v>133.72999999999999</v>
      </c>
      <c r="BG99" s="62">
        <v>136.16999999999999</v>
      </c>
      <c r="BH99" s="68">
        <v>138.61000000000001</v>
      </c>
      <c r="BI99" s="42">
        <v>141.05000000000001</v>
      </c>
      <c r="BJ99" s="34">
        <v>143.5</v>
      </c>
      <c r="BK99" s="43">
        <v>145.94</v>
      </c>
      <c r="BL99" s="5">
        <v>148.38</v>
      </c>
      <c r="BM99" s="5">
        <v>150.82</v>
      </c>
      <c r="BN99" s="5">
        <v>153.26</v>
      </c>
      <c r="BO99" s="5">
        <v>155.69999999999999</v>
      </c>
      <c r="BP99" s="5">
        <v>158.13999999999999</v>
      </c>
      <c r="BQ99" s="5">
        <v>160.59</v>
      </c>
      <c r="BR99" s="144">
        <v>163.03</v>
      </c>
      <c r="BS99" s="144">
        <v>165.47</v>
      </c>
      <c r="BT99" s="144">
        <v>167.91</v>
      </c>
      <c r="BU99" s="144">
        <v>170.35</v>
      </c>
      <c r="BV99" s="144">
        <v>172.79</v>
      </c>
      <c r="BW99" s="5">
        <v>99.74</v>
      </c>
      <c r="BX99" s="5">
        <v>97.3</v>
      </c>
      <c r="BY99" s="5">
        <v>94.86</v>
      </c>
      <c r="BZ99" s="5">
        <v>92.42</v>
      </c>
    </row>
    <row r="100" spans="1:78" x14ac:dyDescent="0.45">
      <c r="A100" s="119" t="s">
        <v>557</v>
      </c>
      <c r="B100" s="41">
        <v>205.71</v>
      </c>
      <c r="C100" s="81">
        <v>288</v>
      </c>
      <c r="D100" s="41">
        <v>209.21</v>
      </c>
      <c r="E100" s="81">
        <v>292.89</v>
      </c>
      <c r="F100" s="41">
        <v>212.7</v>
      </c>
      <c r="G100" s="88">
        <v>297.77999999999997</v>
      </c>
      <c r="H100" s="42">
        <v>216.19</v>
      </c>
      <c r="I100" s="94">
        <v>302.67</v>
      </c>
      <c r="J100" s="62">
        <v>219.69</v>
      </c>
      <c r="K100" s="100">
        <v>307.56</v>
      </c>
      <c r="L100" s="62">
        <v>223.18</v>
      </c>
      <c r="M100" s="100">
        <v>312.45999999999998</v>
      </c>
      <c r="N100" s="68">
        <v>226.68</v>
      </c>
      <c r="O100" s="106">
        <v>317.35000000000002</v>
      </c>
      <c r="P100" s="42">
        <v>230.17</v>
      </c>
      <c r="Q100" s="94">
        <v>322.24</v>
      </c>
      <c r="R100" s="42">
        <v>233.67</v>
      </c>
      <c r="S100" s="112">
        <v>327.13</v>
      </c>
      <c r="T100" s="43">
        <v>237.16</v>
      </c>
      <c r="U100" s="45">
        <v>332.03</v>
      </c>
      <c r="V100" s="5">
        <v>240.66</v>
      </c>
      <c r="W100" s="45">
        <v>336.92</v>
      </c>
      <c r="X100" s="5">
        <v>244.15</v>
      </c>
      <c r="Y100" s="126">
        <v>341.81</v>
      </c>
      <c r="Z100" s="5">
        <v>247.64</v>
      </c>
      <c r="AA100" s="126">
        <v>346.7</v>
      </c>
      <c r="AB100" s="5">
        <v>251.14</v>
      </c>
      <c r="AC100" s="134">
        <v>351.59</v>
      </c>
      <c r="AD100" s="5">
        <v>254.63</v>
      </c>
      <c r="AE100" s="134">
        <v>356.49</v>
      </c>
      <c r="AF100" s="5">
        <v>258.13</v>
      </c>
      <c r="AG100" s="134">
        <v>361.38</v>
      </c>
      <c r="AH100" s="144">
        <v>261.62</v>
      </c>
      <c r="AI100" s="134">
        <v>366.27</v>
      </c>
      <c r="AJ100" s="144">
        <v>265.12</v>
      </c>
      <c r="AK100" s="134">
        <v>371.16</v>
      </c>
      <c r="AL100" s="144">
        <v>268.61</v>
      </c>
      <c r="AM100" s="134">
        <v>376.06</v>
      </c>
      <c r="AN100" s="144">
        <v>272.11</v>
      </c>
      <c r="AO100" s="144">
        <v>380.95</v>
      </c>
      <c r="AP100" s="5">
        <v>275.60000000000002</v>
      </c>
      <c r="AQ100" s="121">
        <v>385.84</v>
      </c>
      <c r="AR100" s="5">
        <v>156.88</v>
      </c>
      <c r="AS100" s="5">
        <v>153.38999999999999</v>
      </c>
      <c r="AT100" s="5">
        <v>149.88999999999999</v>
      </c>
      <c r="AU100" s="5">
        <v>146.4</v>
      </c>
      <c r="AV100" s="37">
        <v>96</v>
      </c>
      <c r="AW100" s="41">
        <v>112.94</v>
      </c>
      <c r="AX100" s="41">
        <v>115.41</v>
      </c>
      <c r="AY100" s="41">
        <v>117.87</v>
      </c>
      <c r="AZ100" s="41">
        <v>120.34</v>
      </c>
      <c r="BA100" s="41">
        <v>122.81</v>
      </c>
      <c r="BB100" s="41">
        <v>125.27</v>
      </c>
      <c r="BC100" s="41">
        <v>127.74</v>
      </c>
      <c r="BD100" s="41">
        <v>130.21</v>
      </c>
      <c r="BE100" s="42">
        <v>132.68</v>
      </c>
      <c r="BF100" s="62">
        <v>135.13999999999999</v>
      </c>
      <c r="BG100" s="62">
        <v>137.61000000000001</v>
      </c>
      <c r="BH100" s="68">
        <v>140.08000000000001</v>
      </c>
      <c r="BI100" s="42">
        <v>142.55000000000001</v>
      </c>
      <c r="BJ100" s="34">
        <v>145.01</v>
      </c>
      <c r="BK100" s="43">
        <v>147.47999999999999</v>
      </c>
      <c r="BL100" s="5">
        <v>149.94999999999999</v>
      </c>
      <c r="BM100" s="5">
        <v>152.41</v>
      </c>
      <c r="BN100" s="5">
        <v>154.88</v>
      </c>
      <c r="BO100" s="5">
        <v>157.35</v>
      </c>
      <c r="BP100" s="5">
        <v>159.82</v>
      </c>
      <c r="BQ100" s="5">
        <v>162.28</v>
      </c>
      <c r="BR100" s="144">
        <v>164.75</v>
      </c>
      <c r="BS100" s="144">
        <v>167.22</v>
      </c>
      <c r="BT100" s="144">
        <v>169.68</v>
      </c>
      <c r="BU100" s="144">
        <v>172.15</v>
      </c>
      <c r="BV100" s="144">
        <v>174.62</v>
      </c>
      <c r="BW100" s="5">
        <v>100.8</v>
      </c>
      <c r="BX100" s="5">
        <v>98.33</v>
      </c>
      <c r="BY100" s="5">
        <v>95.86</v>
      </c>
      <c r="BZ100" s="5">
        <v>93.4</v>
      </c>
    </row>
    <row r="101" spans="1:78" x14ac:dyDescent="0.45">
      <c r="A101" s="119" t="s">
        <v>558</v>
      </c>
      <c r="B101" s="41">
        <v>207.88</v>
      </c>
      <c r="C101" s="81">
        <v>291.02999999999997</v>
      </c>
      <c r="D101" s="41">
        <v>211.41</v>
      </c>
      <c r="E101" s="81">
        <v>295.97000000000003</v>
      </c>
      <c r="F101" s="41">
        <v>214.94</v>
      </c>
      <c r="G101" s="88">
        <v>300.91000000000003</v>
      </c>
      <c r="H101" s="42">
        <v>218.47</v>
      </c>
      <c r="I101" s="94">
        <v>305.86</v>
      </c>
      <c r="J101" s="62">
        <v>222</v>
      </c>
      <c r="K101" s="100">
        <v>310.8</v>
      </c>
      <c r="L101" s="62">
        <v>225.53</v>
      </c>
      <c r="M101" s="100">
        <v>315.74</v>
      </c>
      <c r="N101" s="68">
        <v>229.06</v>
      </c>
      <c r="O101" s="106">
        <v>320.68</v>
      </c>
      <c r="P101" s="42">
        <v>232.59</v>
      </c>
      <c r="Q101" s="94">
        <v>325.63</v>
      </c>
      <c r="R101" s="42">
        <v>236.12</v>
      </c>
      <c r="S101" s="112">
        <v>330.57</v>
      </c>
      <c r="T101" s="43">
        <v>239.65</v>
      </c>
      <c r="U101" s="45">
        <v>335.51</v>
      </c>
      <c r="V101" s="5">
        <v>243.18</v>
      </c>
      <c r="W101" s="45">
        <v>340.46</v>
      </c>
      <c r="X101" s="5">
        <v>246.71</v>
      </c>
      <c r="Y101" s="126">
        <v>345.39</v>
      </c>
      <c r="Z101" s="5">
        <v>250.25</v>
      </c>
      <c r="AA101" s="126">
        <v>350.35</v>
      </c>
      <c r="AB101" s="5">
        <v>253.78</v>
      </c>
      <c r="AC101" s="134">
        <v>355.29</v>
      </c>
      <c r="AD101" s="5">
        <v>257.31</v>
      </c>
      <c r="AE101" s="134">
        <v>360.23</v>
      </c>
      <c r="AF101" s="5">
        <v>260.83999999999997</v>
      </c>
      <c r="AG101" s="134">
        <v>365.17</v>
      </c>
      <c r="AH101" s="144">
        <v>264.37</v>
      </c>
      <c r="AI101" s="134">
        <v>370.12</v>
      </c>
      <c r="AJ101" s="144">
        <v>267.89999999999998</v>
      </c>
      <c r="AK101" s="134">
        <v>375.06</v>
      </c>
      <c r="AL101" s="144">
        <v>271.43</v>
      </c>
      <c r="AM101" s="134">
        <v>380</v>
      </c>
      <c r="AN101" s="144">
        <v>274.95999999999998</v>
      </c>
      <c r="AO101" s="144">
        <v>384.95</v>
      </c>
      <c r="AP101" s="5">
        <v>278.49</v>
      </c>
      <c r="AQ101" s="121">
        <v>389.89</v>
      </c>
      <c r="AR101" s="5">
        <v>158.53</v>
      </c>
      <c r="AS101" s="5">
        <v>155</v>
      </c>
      <c r="AT101" s="5">
        <v>151.47</v>
      </c>
      <c r="AU101" s="5">
        <v>147.94</v>
      </c>
      <c r="AV101" s="37">
        <v>97</v>
      </c>
      <c r="AW101" s="41">
        <v>114.08</v>
      </c>
      <c r="AX101" s="41">
        <v>116.57</v>
      </c>
      <c r="AY101" s="41">
        <v>119.07</v>
      </c>
      <c r="AZ101" s="41">
        <v>121.59</v>
      </c>
      <c r="BA101" s="41">
        <v>124.05</v>
      </c>
      <c r="BB101" s="41">
        <v>126.55</v>
      </c>
      <c r="BC101" s="41">
        <v>129.04</v>
      </c>
      <c r="BD101" s="41">
        <v>131.53</v>
      </c>
      <c r="BE101" s="42">
        <v>134.02000000000001</v>
      </c>
      <c r="BF101" s="62">
        <v>136.52000000000001</v>
      </c>
      <c r="BG101" s="62">
        <v>139.01</v>
      </c>
      <c r="BH101" s="68">
        <v>141.5</v>
      </c>
      <c r="BI101" s="42">
        <v>144</v>
      </c>
      <c r="BJ101" s="34">
        <v>146.49</v>
      </c>
      <c r="BK101" s="43">
        <v>148.97999999999999</v>
      </c>
      <c r="BL101" s="5">
        <v>151.47</v>
      </c>
      <c r="BM101" s="5">
        <v>153.97</v>
      </c>
      <c r="BN101" s="5">
        <v>156.46</v>
      </c>
      <c r="BO101" s="5">
        <v>158.94999999999999</v>
      </c>
      <c r="BP101" s="5">
        <v>161.44999999999999</v>
      </c>
      <c r="BQ101" s="5">
        <v>163.94</v>
      </c>
      <c r="BR101" s="144">
        <v>166.43</v>
      </c>
      <c r="BS101" s="144">
        <v>168.92</v>
      </c>
      <c r="BT101" s="144">
        <v>171.42</v>
      </c>
      <c r="BU101" s="144">
        <v>173.91</v>
      </c>
      <c r="BV101" s="144">
        <v>176.4</v>
      </c>
      <c r="BW101" s="5">
        <v>101.83</v>
      </c>
      <c r="BX101" s="5">
        <v>99.33</v>
      </c>
      <c r="BY101" s="5">
        <v>96.84</v>
      </c>
      <c r="BZ101" s="5">
        <v>94.35</v>
      </c>
    </row>
    <row r="102" spans="1:78" x14ac:dyDescent="0.45">
      <c r="A102" s="119" t="s">
        <v>559</v>
      </c>
      <c r="B102" s="41">
        <v>210.05</v>
      </c>
      <c r="C102" s="81">
        <v>294.07</v>
      </c>
      <c r="D102" s="41">
        <v>213.62</v>
      </c>
      <c r="E102" s="81">
        <v>299.06</v>
      </c>
      <c r="F102" s="41">
        <v>217.18</v>
      </c>
      <c r="G102" s="88">
        <v>304.06</v>
      </c>
      <c r="H102" s="42">
        <v>220.75</v>
      </c>
      <c r="I102" s="94">
        <v>306.05</v>
      </c>
      <c r="J102" s="62">
        <v>224.32</v>
      </c>
      <c r="K102" s="100">
        <v>314.05</v>
      </c>
      <c r="L102" s="62">
        <v>227.89</v>
      </c>
      <c r="M102" s="100">
        <v>319.04000000000002</v>
      </c>
      <c r="N102" s="68">
        <v>231.45</v>
      </c>
      <c r="O102" s="106">
        <v>324.04000000000002</v>
      </c>
      <c r="P102" s="42">
        <v>235.02</v>
      </c>
      <c r="Q102" s="94">
        <v>329.03</v>
      </c>
      <c r="R102" s="42">
        <v>238.59</v>
      </c>
      <c r="S102" s="112">
        <v>334.02</v>
      </c>
      <c r="T102" s="43">
        <v>242.16</v>
      </c>
      <c r="U102" s="45">
        <v>339.02</v>
      </c>
      <c r="V102" s="5">
        <v>245.72</v>
      </c>
      <c r="W102" s="45">
        <v>344.01</v>
      </c>
      <c r="X102" s="5">
        <v>249.29</v>
      </c>
      <c r="Y102" s="126">
        <v>349.01</v>
      </c>
      <c r="Z102" s="5">
        <v>252.86</v>
      </c>
      <c r="AA102" s="126">
        <v>354</v>
      </c>
      <c r="AB102" s="5">
        <v>256.77999999999997</v>
      </c>
      <c r="AC102" s="134">
        <v>358.99</v>
      </c>
      <c r="AD102" s="5">
        <v>259.99</v>
      </c>
      <c r="AE102" s="134">
        <v>363.99</v>
      </c>
      <c r="AF102" s="5">
        <v>263.56</v>
      </c>
      <c r="AG102" s="134">
        <v>368.98</v>
      </c>
      <c r="AH102" s="144">
        <v>267.13</v>
      </c>
      <c r="AI102" s="134">
        <v>373.98</v>
      </c>
      <c r="AJ102" s="144">
        <v>270.69</v>
      </c>
      <c r="AK102" s="134">
        <v>378.97</v>
      </c>
      <c r="AL102" s="144">
        <v>274.26</v>
      </c>
      <c r="AM102" s="134">
        <v>383.96</v>
      </c>
      <c r="AN102" s="144">
        <v>277.83</v>
      </c>
      <c r="AO102" s="144">
        <v>388.96</v>
      </c>
      <c r="AP102" s="5">
        <v>281.39</v>
      </c>
      <c r="AQ102" s="121">
        <v>393.95</v>
      </c>
      <c r="AR102" s="5">
        <v>160.18</v>
      </c>
      <c r="AS102" s="5">
        <v>156.61000000000001</v>
      </c>
      <c r="AT102" s="5">
        <v>153.05000000000001</v>
      </c>
      <c r="AU102" s="5">
        <v>149.47999999999999</v>
      </c>
      <c r="AV102" s="37">
        <v>98</v>
      </c>
      <c r="AW102" s="41">
        <v>115.27</v>
      </c>
      <c r="AX102" s="41">
        <v>117.79</v>
      </c>
      <c r="AY102" s="41">
        <v>120.31</v>
      </c>
      <c r="AZ102" s="41">
        <v>122.82</v>
      </c>
      <c r="BA102" s="41">
        <v>125.34</v>
      </c>
      <c r="BB102" s="41">
        <v>127.86</v>
      </c>
      <c r="BC102" s="41">
        <v>130.38</v>
      </c>
      <c r="BD102" s="41">
        <v>132.9</v>
      </c>
      <c r="BE102" s="42">
        <v>135.41999999999999</v>
      </c>
      <c r="BF102" s="62">
        <v>137.94</v>
      </c>
      <c r="BG102" s="62">
        <v>140.44999999999999</v>
      </c>
      <c r="BH102" s="68">
        <v>142.97</v>
      </c>
      <c r="BI102" s="42">
        <v>145.49</v>
      </c>
      <c r="BJ102" s="34">
        <v>148.01</v>
      </c>
      <c r="BK102" s="43">
        <v>150.53</v>
      </c>
      <c r="BL102" s="5">
        <v>153.05000000000001</v>
      </c>
      <c r="BM102" s="5">
        <v>155.57</v>
      </c>
      <c r="BN102" s="5">
        <v>158.09</v>
      </c>
      <c r="BO102" s="5">
        <v>160.6</v>
      </c>
      <c r="BP102" s="5">
        <v>163.12</v>
      </c>
      <c r="BQ102" s="5">
        <v>165.64</v>
      </c>
      <c r="BR102" s="144">
        <v>168.16</v>
      </c>
      <c r="BS102" s="144">
        <v>170.68</v>
      </c>
      <c r="BT102" s="144">
        <v>173.2</v>
      </c>
      <c r="BU102" s="144">
        <v>175.72</v>
      </c>
      <c r="BV102" s="144">
        <v>178.23</v>
      </c>
      <c r="BW102" s="5">
        <v>102.88</v>
      </c>
      <c r="BX102" s="5">
        <v>100.37</v>
      </c>
      <c r="BY102" s="5">
        <v>97.85</v>
      </c>
      <c r="BZ102" s="5">
        <v>95.33</v>
      </c>
    </row>
    <row r="103" spans="1:78" x14ac:dyDescent="0.45">
      <c r="A103" s="119" t="s">
        <v>560</v>
      </c>
      <c r="B103" s="41">
        <v>212.24</v>
      </c>
      <c r="C103" s="81">
        <v>297.13</v>
      </c>
      <c r="D103" s="41">
        <v>215.84</v>
      </c>
      <c r="E103" s="81">
        <v>302.18</v>
      </c>
      <c r="F103" s="41">
        <v>219.44</v>
      </c>
      <c r="G103" s="88">
        <v>307.22000000000003</v>
      </c>
      <c r="H103" s="42">
        <v>223.05</v>
      </c>
      <c r="I103" s="94">
        <v>312.27</v>
      </c>
      <c r="J103" s="62">
        <v>226.65</v>
      </c>
      <c r="K103" s="100">
        <v>317.31</v>
      </c>
      <c r="L103" s="62">
        <v>230.25</v>
      </c>
      <c r="M103" s="100">
        <v>322.36</v>
      </c>
      <c r="N103" s="68">
        <v>233.86</v>
      </c>
      <c r="O103" s="106">
        <v>327.39999999999998</v>
      </c>
      <c r="P103" s="42">
        <v>237.46</v>
      </c>
      <c r="Q103" s="94">
        <v>332.45</v>
      </c>
      <c r="R103" s="42">
        <v>241.06</v>
      </c>
      <c r="S103" s="112">
        <v>337.49</v>
      </c>
      <c r="T103" s="43">
        <v>244.67</v>
      </c>
      <c r="U103" s="45">
        <v>342.54</v>
      </c>
      <c r="V103" s="5">
        <v>248.27</v>
      </c>
      <c r="W103" s="45">
        <v>347.58</v>
      </c>
      <c r="X103" s="5">
        <v>251.88</v>
      </c>
      <c r="Y103" s="126">
        <v>352.63</v>
      </c>
      <c r="Z103" s="5">
        <v>255.48</v>
      </c>
      <c r="AA103" s="126">
        <v>357.67</v>
      </c>
      <c r="AB103" s="5">
        <v>259.08</v>
      </c>
      <c r="AC103" s="134">
        <v>362.72</v>
      </c>
      <c r="AD103" s="5">
        <v>262.69</v>
      </c>
      <c r="AE103" s="134">
        <v>367.76</v>
      </c>
      <c r="AF103" s="5">
        <v>266.29000000000002</v>
      </c>
      <c r="AG103" s="134">
        <v>372.81</v>
      </c>
      <c r="AH103" s="144">
        <v>269.89</v>
      </c>
      <c r="AI103" s="134">
        <v>377.85</v>
      </c>
      <c r="AJ103" s="144">
        <v>273.5</v>
      </c>
      <c r="AK103" s="134">
        <v>382.9</v>
      </c>
      <c r="AL103" s="144">
        <v>277.10000000000002</v>
      </c>
      <c r="AM103" s="134">
        <v>387.94</v>
      </c>
      <c r="AN103" s="144">
        <v>280.7</v>
      </c>
      <c r="AO103" s="144">
        <v>392.99</v>
      </c>
      <c r="AP103" s="5">
        <v>284.31</v>
      </c>
      <c r="AQ103" s="121">
        <v>398.03</v>
      </c>
      <c r="AR103" s="5">
        <v>164.84</v>
      </c>
      <c r="AS103" s="5">
        <v>158.24</v>
      </c>
      <c r="AT103" s="5">
        <v>154.63</v>
      </c>
      <c r="AU103" s="5">
        <v>151.03</v>
      </c>
      <c r="AV103" s="37">
        <v>99</v>
      </c>
      <c r="AW103" s="41">
        <v>116.41</v>
      </c>
      <c r="AX103" s="41">
        <v>118.96</v>
      </c>
      <c r="AY103" s="41">
        <v>121.5</v>
      </c>
      <c r="AZ103" s="41">
        <v>124.05</v>
      </c>
      <c r="BA103" s="41">
        <v>126.59</v>
      </c>
      <c r="BB103" s="41">
        <v>129.13999999999999</v>
      </c>
      <c r="BC103" s="41">
        <v>131.68</v>
      </c>
      <c r="BD103" s="41">
        <v>134.22</v>
      </c>
      <c r="BE103" s="42">
        <v>136.77000000000001</v>
      </c>
      <c r="BF103" s="62">
        <v>139.31</v>
      </c>
      <c r="BG103" s="62">
        <v>141.86000000000001</v>
      </c>
      <c r="BH103" s="68">
        <v>144.4</v>
      </c>
      <c r="BI103" s="42">
        <v>146.94999999999999</v>
      </c>
      <c r="BJ103" s="34">
        <v>149.49</v>
      </c>
      <c r="BK103" s="43">
        <v>152.03</v>
      </c>
      <c r="BL103" s="5">
        <v>154.58000000000001</v>
      </c>
      <c r="BM103" s="5">
        <v>157.12</v>
      </c>
      <c r="BN103" s="5">
        <v>159.66999999999999</v>
      </c>
      <c r="BO103" s="5">
        <v>162.21</v>
      </c>
      <c r="BP103" s="5">
        <v>164.76</v>
      </c>
      <c r="BQ103" s="5">
        <v>167.3</v>
      </c>
      <c r="BR103" s="144">
        <v>169.84</v>
      </c>
      <c r="BS103" s="144">
        <v>172.39</v>
      </c>
      <c r="BT103" s="144">
        <v>174.93</v>
      </c>
      <c r="BU103" s="144">
        <v>177.48</v>
      </c>
      <c r="BV103" s="144">
        <v>180.02</v>
      </c>
      <c r="BW103" s="5">
        <v>103.91</v>
      </c>
      <c r="BX103" s="5">
        <v>101.37</v>
      </c>
      <c r="BY103" s="5">
        <v>98.83</v>
      </c>
      <c r="BZ103" s="5">
        <v>96.28</v>
      </c>
    </row>
    <row r="104" spans="1:78" x14ac:dyDescent="0.45">
      <c r="A104" s="119" t="s">
        <v>561</v>
      </c>
      <c r="B104" s="41">
        <v>214.26</v>
      </c>
      <c r="C104" s="81">
        <v>299.97000000000003</v>
      </c>
      <c r="D104" s="41">
        <v>217.9</v>
      </c>
      <c r="E104" s="81">
        <v>305.06</v>
      </c>
      <c r="F104" s="41">
        <v>221.54</v>
      </c>
      <c r="G104" s="88">
        <v>310.16000000000003</v>
      </c>
      <c r="H104" s="42">
        <v>225.18</v>
      </c>
      <c r="I104" s="94">
        <v>315.26</v>
      </c>
      <c r="J104" s="62">
        <v>228.82</v>
      </c>
      <c r="K104" s="100">
        <v>320.35000000000002</v>
      </c>
      <c r="L104" s="62">
        <v>232.46</v>
      </c>
      <c r="M104" s="100">
        <v>325.45</v>
      </c>
      <c r="N104" s="68">
        <v>236.1</v>
      </c>
      <c r="O104" s="106">
        <v>330.54</v>
      </c>
      <c r="P104" s="42">
        <v>239.74</v>
      </c>
      <c r="Q104" s="94">
        <v>335.64</v>
      </c>
      <c r="R104" s="42">
        <v>243.38</v>
      </c>
      <c r="S104" s="112">
        <v>340.74</v>
      </c>
      <c r="T104" s="43">
        <v>247.02</v>
      </c>
      <c r="U104" s="45">
        <v>345.83</v>
      </c>
      <c r="V104" s="5">
        <v>250.66</v>
      </c>
      <c r="W104" s="45">
        <v>350.93</v>
      </c>
      <c r="X104" s="5">
        <v>254.3</v>
      </c>
      <c r="Y104" s="126">
        <v>356.02</v>
      </c>
      <c r="Z104" s="5">
        <v>257.94</v>
      </c>
      <c r="AA104" s="126">
        <v>361.12</v>
      </c>
      <c r="AB104" s="5">
        <v>261.58</v>
      </c>
      <c r="AC104" s="134">
        <v>366.22</v>
      </c>
      <c r="AD104" s="5">
        <v>265.22000000000003</v>
      </c>
      <c r="AE104" s="134">
        <v>371.31</v>
      </c>
      <c r="AF104" s="5">
        <v>268.86</v>
      </c>
      <c r="AG104" s="134">
        <v>376.41</v>
      </c>
      <c r="AH104" s="144">
        <v>272.5</v>
      </c>
      <c r="AI104" s="134">
        <v>381.5</v>
      </c>
      <c r="AJ104" s="144">
        <v>276.14</v>
      </c>
      <c r="AK104" s="134">
        <v>386.6</v>
      </c>
      <c r="AL104" s="144">
        <v>279.77999999999997</v>
      </c>
      <c r="AM104" s="134">
        <v>391.7</v>
      </c>
      <c r="AN104" s="144">
        <v>283.42</v>
      </c>
      <c r="AO104" s="144">
        <v>396.79</v>
      </c>
      <c r="AP104" s="5">
        <v>287.06</v>
      </c>
      <c r="AQ104" s="121">
        <v>401.89</v>
      </c>
      <c r="AR104" s="5">
        <v>163.41</v>
      </c>
      <c r="AS104" s="5">
        <v>159.77000000000001</v>
      </c>
      <c r="AT104" s="5">
        <v>156.13</v>
      </c>
      <c r="AU104" s="5">
        <v>152.49</v>
      </c>
      <c r="AV104" s="37">
        <v>100</v>
      </c>
      <c r="AW104" s="41">
        <v>117.61</v>
      </c>
      <c r="AX104" s="41">
        <v>120.18</v>
      </c>
      <c r="AY104" s="41">
        <v>122.75</v>
      </c>
      <c r="AZ104" s="41">
        <v>125.32</v>
      </c>
      <c r="BA104" s="41">
        <v>127.89</v>
      </c>
      <c r="BB104" s="41">
        <v>130.46</v>
      </c>
      <c r="BC104" s="41">
        <v>133.03</v>
      </c>
      <c r="BD104" s="41">
        <v>135.6</v>
      </c>
      <c r="BE104" s="42">
        <v>138.16999999999999</v>
      </c>
      <c r="BF104" s="62">
        <v>140.74</v>
      </c>
      <c r="BG104" s="62">
        <v>143.31</v>
      </c>
      <c r="BH104" s="68">
        <v>145.88</v>
      </c>
      <c r="BI104" s="42">
        <v>148.44999999999999</v>
      </c>
      <c r="BJ104" s="34">
        <v>151.02000000000001</v>
      </c>
      <c r="BK104" s="43">
        <v>153.59</v>
      </c>
      <c r="BL104" s="5">
        <v>156.16</v>
      </c>
      <c r="BM104" s="5">
        <v>158.72999999999999</v>
      </c>
      <c r="BN104" s="5">
        <v>161.30000000000001</v>
      </c>
      <c r="BO104" s="5">
        <v>163.87</v>
      </c>
      <c r="BP104" s="5">
        <v>166.44</v>
      </c>
      <c r="BQ104" s="5">
        <v>169.01</v>
      </c>
      <c r="BR104" s="144">
        <v>171.58</v>
      </c>
      <c r="BS104" s="144">
        <v>174.15</v>
      </c>
      <c r="BT104" s="144">
        <v>176.72</v>
      </c>
      <c r="BU104" s="144">
        <v>179.29</v>
      </c>
      <c r="BV104" s="144">
        <v>181.86</v>
      </c>
      <c r="BW104" s="5">
        <v>104.98</v>
      </c>
      <c r="BX104" s="5">
        <v>102.41</v>
      </c>
      <c r="BY104" s="5">
        <v>99.84</v>
      </c>
      <c r="BZ104" s="5">
        <v>97.27</v>
      </c>
    </row>
    <row r="105" spans="1:78" x14ac:dyDescent="0.45">
      <c r="A105" s="119" t="s">
        <v>562</v>
      </c>
      <c r="B105" s="41">
        <v>216.47</v>
      </c>
      <c r="C105" s="81">
        <v>303.05</v>
      </c>
      <c r="D105" s="41">
        <v>220.14</v>
      </c>
      <c r="E105" s="81">
        <v>308.2</v>
      </c>
      <c r="F105" s="41">
        <v>223.82</v>
      </c>
      <c r="G105" s="88">
        <v>313.35000000000002</v>
      </c>
      <c r="H105" s="42">
        <v>227.5</v>
      </c>
      <c r="I105" s="94">
        <v>318.49</v>
      </c>
      <c r="J105" s="62">
        <v>231.17</v>
      </c>
      <c r="K105" s="100">
        <v>323.64</v>
      </c>
      <c r="L105" s="62">
        <v>234.85</v>
      </c>
      <c r="M105" s="100">
        <v>328.79</v>
      </c>
      <c r="N105" s="68">
        <v>238.53</v>
      </c>
      <c r="O105" s="106">
        <v>333.94</v>
      </c>
      <c r="P105" s="42">
        <v>242.2</v>
      </c>
      <c r="Q105" s="94">
        <v>339.08</v>
      </c>
      <c r="R105" s="42">
        <v>245.88</v>
      </c>
      <c r="S105" s="112">
        <v>344.23</v>
      </c>
      <c r="T105" s="43">
        <v>249.55</v>
      </c>
      <c r="U105" s="45">
        <v>349.38</v>
      </c>
      <c r="V105" s="5">
        <v>253.23</v>
      </c>
      <c r="W105" s="45">
        <v>354.52</v>
      </c>
      <c r="X105" s="5">
        <v>256.91000000000003</v>
      </c>
      <c r="Y105" s="126">
        <v>359.67</v>
      </c>
      <c r="Z105" s="5">
        <v>260.58</v>
      </c>
      <c r="AA105" s="126">
        <v>364.81</v>
      </c>
      <c r="AB105" s="5">
        <v>264.26</v>
      </c>
      <c r="AC105" s="134">
        <v>369.96</v>
      </c>
      <c r="AD105" s="5">
        <v>267.94</v>
      </c>
      <c r="AE105" s="134">
        <v>375.11</v>
      </c>
      <c r="AF105" s="5">
        <v>271.61</v>
      </c>
      <c r="AG105" s="134">
        <v>380.26</v>
      </c>
      <c r="AH105" s="144">
        <v>275.29000000000002</v>
      </c>
      <c r="AI105" s="134">
        <v>385.41</v>
      </c>
      <c r="AJ105" s="144">
        <v>278.97000000000003</v>
      </c>
      <c r="AK105" s="134">
        <v>390.55</v>
      </c>
      <c r="AL105" s="144">
        <v>282.64</v>
      </c>
      <c r="AM105" s="134">
        <v>395.7</v>
      </c>
      <c r="AN105" s="144">
        <v>286.32</v>
      </c>
      <c r="AO105" s="144">
        <v>400.85</v>
      </c>
      <c r="AP105" s="5">
        <v>289.99</v>
      </c>
      <c r="AQ105" s="121">
        <v>405.99</v>
      </c>
      <c r="AR105" s="5">
        <v>165.08</v>
      </c>
      <c r="AS105" s="5">
        <v>161.4</v>
      </c>
      <c r="AT105" s="5">
        <v>157.72</v>
      </c>
      <c r="AU105" s="5">
        <v>154.05000000000001</v>
      </c>
      <c r="AV105" s="37">
        <v>101</v>
      </c>
      <c r="AW105" s="41">
        <v>118.76</v>
      </c>
      <c r="AX105" s="41">
        <v>121.35</v>
      </c>
      <c r="AY105" s="41">
        <v>123.95</v>
      </c>
      <c r="AZ105" s="41">
        <v>126.54</v>
      </c>
      <c r="BA105" s="41">
        <v>129.13999999999999</v>
      </c>
      <c r="BB105" s="41">
        <v>131.74</v>
      </c>
      <c r="BC105" s="41">
        <v>134.33000000000001</v>
      </c>
      <c r="BD105" s="41">
        <v>136.93</v>
      </c>
      <c r="BE105" s="42">
        <v>139.52000000000001</v>
      </c>
      <c r="BF105" s="62">
        <v>142.12</v>
      </c>
      <c r="BG105" s="62">
        <v>144.71</v>
      </c>
      <c r="BH105" s="68">
        <v>147.31</v>
      </c>
      <c r="BI105" s="42">
        <v>149.91</v>
      </c>
      <c r="BJ105" s="34">
        <v>152.5</v>
      </c>
      <c r="BK105" s="43">
        <v>155.1</v>
      </c>
      <c r="BL105" s="5">
        <v>157.69</v>
      </c>
      <c r="BM105" s="5">
        <v>160.29</v>
      </c>
      <c r="BN105" s="5">
        <v>162.88</v>
      </c>
      <c r="BO105" s="5">
        <v>165.48</v>
      </c>
      <c r="BP105" s="5">
        <v>168.07</v>
      </c>
      <c r="BQ105" s="5">
        <v>170.67</v>
      </c>
      <c r="BR105" s="144">
        <v>173.27</v>
      </c>
      <c r="BS105" s="144">
        <v>175.86</v>
      </c>
      <c r="BT105" s="144">
        <v>178.46</v>
      </c>
      <c r="BU105" s="144">
        <v>181.05</v>
      </c>
      <c r="BV105" s="144">
        <v>183.65</v>
      </c>
      <c r="BW105" s="5">
        <v>106.01</v>
      </c>
      <c r="BX105" s="5">
        <v>103.41</v>
      </c>
      <c r="BY105" s="5">
        <v>100.82</v>
      </c>
      <c r="BZ105" s="5">
        <v>98.22</v>
      </c>
    </row>
    <row r="106" spans="1:78" x14ac:dyDescent="0.45">
      <c r="A106" s="119" t="s">
        <v>563</v>
      </c>
      <c r="B106" s="41">
        <v>218.51</v>
      </c>
      <c r="C106" s="81">
        <v>305.91000000000003</v>
      </c>
      <c r="D106" s="41">
        <v>222.22</v>
      </c>
      <c r="E106" s="81">
        <v>311.11</v>
      </c>
      <c r="F106" s="41">
        <v>225.93</v>
      </c>
      <c r="G106" s="88">
        <v>316.3</v>
      </c>
      <c r="H106" s="42">
        <v>229.64</v>
      </c>
      <c r="I106" s="94">
        <v>321.5</v>
      </c>
      <c r="J106" s="62">
        <v>233.36</v>
      </c>
      <c r="K106" s="100">
        <v>326.7</v>
      </c>
      <c r="L106" s="62">
        <v>237.07</v>
      </c>
      <c r="M106" s="100">
        <v>331.9</v>
      </c>
      <c r="N106" s="68">
        <v>240.78</v>
      </c>
      <c r="O106" s="106">
        <v>337.1</v>
      </c>
      <c r="P106" s="42">
        <v>244.5</v>
      </c>
      <c r="Q106" s="94">
        <v>342.29</v>
      </c>
      <c r="R106" s="42">
        <v>248.21</v>
      </c>
      <c r="S106" s="112">
        <v>347.49</v>
      </c>
      <c r="T106" s="43">
        <v>251.92</v>
      </c>
      <c r="U106" s="45">
        <v>352.69</v>
      </c>
      <c r="V106" s="5">
        <v>255.63</v>
      </c>
      <c r="W106" s="45">
        <v>357.89</v>
      </c>
      <c r="X106" s="5">
        <v>259.35000000000002</v>
      </c>
      <c r="Y106" s="126">
        <v>363.09</v>
      </c>
      <c r="Z106" s="5">
        <v>263.06</v>
      </c>
      <c r="AA106" s="126">
        <v>368.28</v>
      </c>
      <c r="AB106" s="5">
        <v>266.77</v>
      </c>
      <c r="AC106" s="134">
        <v>373.48</v>
      </c>
      <c r="AD106" s="5">
        <v>270.49</v>
      </c>
      <c r="AE106" s="134">
        <v>378.68</v>
      </c>
      <c r="AF106" s="5">
        <v>274.2</v>
      </c>
      <c r="AG106" s="134">
        <v>383.88</v>
      </c>
      <c r="AH106" s="144">
        <v>277.91000000000003</v>
      </c>
      <c r="AI106" s="134">
        <v>389.08</v>
      </c>
      <c r="AJ106" s="144">
        <v>281.62</v>
      </c>
      <c r="AK106" s="134">
        <v>394.27</v>
      </c>
      <c r="AL106" s="144">
        <v>285.33999999999997</v>
      </c>
      <c r="AM106" s="134">
        <v>399.47</v>
      </c>
      <c r="AN106" s="144">
        <v>289.05</v>
      </c>
      <c r="AO106" s="144">
        <v>404.67</v>
      </c>
      <c r="AP106" s="5">
        <v>292.76</v>
      </c>
      <c r="AQ106" s="121">
        <v>409.87</v>
      </c>
      <c r="AR106" s="5">
        <v>166.65</v>
      </c>
      <c r="AS106" s="5">
        <v>162.94</v>
      </c>
      <c r="AT106" s="5">
        <v>159.22</v>
      </c>
      <c r="AU106" s="5">
        <v>155.51</v>
      </c>
      <c r="AV106" s="37">
        <v>102</v>
      </c>
      <c r="AW106" s="41">
        <v>119.95</v>
      </c>
      <c r="AX106" s="41">
        <v>122.58</v>
      </c>
      <c r="AY106" s="41">
        <v>125.2</v>
      </c>
      <c r="AZ106" s="41">
        <v>127.82</v>
      </c>
      <c r="BA106" s="41">
        <v>130.44</v>
      </c>
      <c r="BB106" s="41">
        <v>133.06</v>
      </c>
      <c r="BC106" s="41">
        <v>135.68</v>
      </c>
      <c r="BD106" s="41">
        <v>138.30000000000001</v>
      </c>
      <c r="BE106" s="42">
        <v>140.93</v>
      </c>
      <c r="BF106" s="62">
        <v>143.55000000000001</v>
      </c>
      <c r="BG106" s="62">
        <v>146.16999999999999</v>
      </c>
      <c r="BH106" s="68">
        <v>148.79</v>
      </c>
      <c r="BI106" s="42">
        <v>151.41</v>
      </c>
      <c r="BJ106" s="34">
        <v>154.03</v>
      </c>
      <c r="BK106" s="43">
        <v>156.65</v>
      </c>
      <c r="BL106" s="5">
        <v>159.28</v>
      </c>
      <c r="BM106" s="5">
        <v>161.9</v>
      </c>
      <c r="BN106" s="5">
        <v>164.52</v>
      </c>
      <c r="BO106" s="5">
        <v>167.14</v>
      </c>
      <c r="BP106" s="5">
        <v>169.76</v>
      </c>
      <c r="BQ106" s="5">
        <v>172.38</v>
      </c>
      <c r="BR106" s="144">
        <v>175</v>
      </c>
      <c r="BS106" s="144">
        <v>177.63</v>
      </c>
      <c r="BT106" s="144">
        <v>180.25</v>
      </c>
      <c r="BU106" s="144">
        <v>182.87</v>
      </c>
      <c r="BV106" s="144">
        <v>185.49</v>
      </c>
      <c r="BW106" s="5">
        <v>107.07</v>
      </c>
      <c r="BX106" s="5">
        <v>104.45</v>
      </c>
      <c r="BY106" s="5">
        <v>101.83</v>
      </c>
      <c r="BZ106" s="5">
        <v>99.21</v>
      </c>
    </row>
    <row r="107" spans="1:78" x14ac:dyDescent="0.45">
      <c r="A107" s="119" t="s">
        <v>564</v>
      </c>
      <c r="B107" s="41">
        <v>220.73</v>
      </c>
      <c r="C107" s="81">
        <v>309.02</v>
      </c>
      <c r="D107" s="41">
        <v>224.48</v>
      </c>
      <c r="E107" s="81">
        <v>314.27</v>
      </c>
      <c r="F107" s="41">
        <v>228.23</v>
      </c>
      <c r="G107" s="88">
        <v>319.52</v>
      </c>
      <c r="H107" s="42">
        <v>231.98</v>
      </c>
      <c r="I107" s="94">
        <v>324.77</v>
      </c>
      <c r="J107" s="62">
        <v>235.73</v>
      </c>
      <c r="K107" s="100">
        <v>330.02</v>
      </c>
      <c r="L107" s="62">
        <v>239.48</v>
      </c>
      <c r="M107" s="100">
        <v>335.27</v>
      </c>
      <c r="N107" s="68">
        <v>243.23</v>
      </c>
      <c r="O107" s="106">
        <v>340.52</v>
      </c>
      <c r="P107" s="42">
        <v>246.98</v>
      </c>
      <c r="Q107" s="94">
        <v>345.77</v>
      </c>
      <c r="R107" s="42">
        <v>250.72</v>
      </c>
      <c r="S107" s="112">
        <v>351.01</v>
      </c>
      <c r="T107" s="43">
        <v>254.47</v>
      </c>
      <c r="U107" s="45">
        <v>356.26</v>
      </c>
      <c r="V107" s="5">
        <v>258.22000000000003</v>
      </c>
      <c r="W107" s="45">
        <v>361.51</v>
      </c>
      <c r="X107" s="5">
        <v>261.97000000000003</v>
      </c>
      <c r="Y107" s="126">
        <v>366.76</v>
      </c>
      <c r="Z107" s="5">
        <v>265.72000000000003</v>
      </c>
      <c r="AA107" s="126">
        <v>372.01</v>
      </c>
      <c r="AB107" s="5">
        <v>269.47000000000003</v>
      </c>
      <c r="AC107" s="134">
        <v>377.26</v>
      </c>
      <c r="AD107" s="5">
        <v>273.22000000000003</v>
      </c>
      <c r="AE107" s="134">
        <v>382.51</v>
      </c>
      <c r="AF107" s="5">
        <v>276.97000000000003</v>
      </c>
      <c r="AG107" s="134">
        <v>387.76</v>
      </c>
      <c r="AH107" s="144">
        <v>280.72000000000003</v>
      </c>
      <c r="AI107" s="134">
        <v>393</v>
      </c>
      <c r="AJ107" s="144">
        <v>284.47000000000003</v>
      </c>
      <c r="AK107" s="134">
        <v>398.25</v>
      </c>
      <c r="AL107" s="144">
        <v>288.22000000000003</v>
      </c>
      <c r="AM107" s="134">
        <v>403.5</v>
      </c>
      <c r="AN107" s="144">
        <v>291.97000000000003</v>
      </c>
      <c r="AO107" s="144">
        <v>408.75</v>
      </c>
      <c r="AP107" s="5">
        <v>295.70999999999998</v>
      </c>
      <c r="AQ107" s="121">
        <v>414</v>
      </c>
      <c r="AR107" s="5">
        <v>168.33</v>
      </c>
      <c r="AS107" s="5">
        <v>164.58</v>
      </c>
      <c r="AT107" s="5">
        <v>160.83000000000001</v>
      </c>
      <c r="AU107" s="5">
        <v>157.08000000000001</v>
      </c>
      <c r="AV107" s="37">
        <v>103</v>
      </c>
      <c r="AW107" s="41">
        <v>121.11</v>
      </c>
      <c r="AX107" s="41">
        <v>123.75</v>
      </c>
      <c r="AY107" s="41">
        <v>126.4</v>
      </c>
      <c r="AZ107" s="41">
        <v>129.05000000000001</v>
      </c>
      <c r="BA107" s="41">
        <v>131.69999999999999</v>
      </c>
      <c r="BB107" s="41">
        <v>134.34</v>
      </c>
      <c r="BC107" s="41">
        <v>136.99</v>
      </c>
      <c r="BD107" s="41">
        <v>139.63999999999999</v>
      </c>
      <c r="BE107" s="42">
        <v>142.28</v>
      </c>
      <c r="BF107" s="62">
        <v>144.93</v>
      </c>
      <c r="BG107" s="62">
        <v>147.58000000000001</v>
      </c>
      <c r="BH107" s="68">
        <v>150.22999999999999</v>
      </c>
      <c r="BI107" s="42">
        <v>152.87</v>
      </c>
      <c r="BJ107" s="34">
        <v>155.52000000000001</v>
      </c>
      <c r="BK107" s="43">
        <v>158.16999999999999</v>
      </c>
      <c r="BL107" s="5">
        <v>160.81</v>
      </c>
      <c r="BM107" s="5">
        <v>163.46</v>
      </c>
      <c r="BN107" s="5">
        <v>166.11</v>
      </c>
      <c r="BO107" s="5">
        <v>168.76</v>
      </c>
      <c r="BP107" s="5">
        <v>171.4</v>
      </c>
      <c r="BQ107" s="5">
        <v>174.05</v>
      </c>
      <c r="BR107" s="144">
        <v>176.7</v>
      </c>
      <c r="BS107" s="144">
        <v>179.34</v>
      </c>
      <c r="BT107" s="144">
        <v>181.99</v>
      </c>
      <c r="BU107" s="144">
        <v>184.64</v>
      </c>
      <c r="BV107" s="144">
        <v>187.29</v>
      </c>
      <c r="BW107" s="5">
        <v>108.11</v>
      </c>
      <c r="BX107" s="5">
        <v>105.46</v>
      </c>
      <c r="BY107" s="5">
        <v>102.81</v>
      </c>
      <c r="BZ107" s="5">
        <v>100.17</v>
      </c>
    </row>
    <row r="108" spans="1:78" x14ac:dyDescent="0.45">
      <c r="A108" s="119" t="s">
        <v>565</v>
      </c>
      <c r="B108" s="41">
        <v>222.78</v>
      </c>
      <c r="C108" s="81">
        <v>311.89999999999998</v>
      </c>
      <c r="D108" s="41">
        <v>226.57</v>
      </c>
      <c r="E108" s="81">
        <v>317.2</v>
      </c>
      <c r="F108" s="41">
        <v>230.35</v>
      </c>
      <c r="G108" s="88">
        <v>322.5</v>
      </c>
      <c r="H108" s="42">
        <v>234.14</v>
      </c>
      <c r="I108" s="94">
        <v>327.8</v>
      </c>
      <c r="J108" s="62">
        <v>237.93</v>
      </c>
      <c r="K108" s="100">
        <v>333.1</v>
      </c>
      <c r="L108" s="62">
        <v>241.71</v>
      </c>
      <c r="M108" s="100">
        <v>338.4</v>
      </c>
      <c r="N108" s="68">
        <v>245.5</v>
      </c>
      <c r="O108" s="106">
        <v>343.7</v>
      </c>
      <c r="P108" s="42">
        <v>249.28</v>
      </c>
      <c r="Q108" s="94">
        <v>349</v>
      </c>
      <c r="R108" s="42">
        <v>253.07</v>
      </c>
      <c r="S108" s="112">
        <v>354.3</v>
      </c>
      <c r="T108" s="43">
        <v>256.85000000000002</v>
      </c>
      <c r="U108" s="45">
        <v>359.6</v>
      </c>
      <c r="V108" s="5">
        <v>260.64</v>
      </c>
      <c r="W108" s="45">
        <v>364.9</v>
      </c>
      <c r="X108" s="5">
        <v>264.43</v>
      </c>
      <c r="Y108" s="126">
        <v>370.2</v>
      </c>
      <c r="Z108" s="5">
        <v>268.20999999999998</v>
      </c>
      <c r="AA108" s="126">
        <v>375.49</v>
      </c>
      <c r="AB108" s="5">
        <v>272</v>
      </c>
      <c r="AC108" s="134">
        <v>380.79</v>
      </c>
      <c r="AD108" s="5">
        <v>275.77999999999997</v>
      </c>
      <c r="AE108" s="134">
        <v>386.09</v>
      </c>
      <c r="AF108" s="5">
        <v>279.57</v>
      </c>
      <c r="AG108" s="134">
        <v>391.39</v>
      </c>
      <c r="AH108" s="144">
        <v>283.35000000000002</v>
      </c>
      <c r="AI108" s="134">
        <v>396.69</v>
      </c>
      <c r="AJ108" s="144">
        <v>287.14</v>
      </c>
      <c r="AK108" s="134">
        <v>401.99</v>
      </c>
      <c r="AL108" s="144">
        <v>290.92</v>
      </c>
      <c r="AM108" s="134">
        <v>407.29</v>
      </c>
      <c r="AN108" s="144">
        <v>294.70999999999998</v>
      </c>
      <c r="AO108" s="144">
        <v>412.59</v>
      </c>
      <c r="AP108" s="5">
        <v>298.5</v>
      </c>
      <c r="AQ108" s="121">
        <v>417.89</v>
      </c>
      <c r="AR108" s="5">
        <v>169.91</v>
      </c>
      <c r="AS108" s="5">
        <v>166.13</v>
      </c>
      <c r="AT108" s="5">
        <v>162.34</v>
      </c>
      <c r="AU108" s="5">
        <v>158.56</v>
      </c>
      <c r="AV108" s="37">
        <v>104</v>
      </c>
      <c r="AW108" s="41">
        <v>122.26</v>
      </c>
      <c r="AX108" s="41">
        <v>124.93</v>
      </c>
      <c r="AY108" s="41">
        <v>127.61</v>
      </c>
      <c r="AZ108" s="41">
        <v>130.28</v>
      </c>
      <c r="BA108" s="41">
        <v>132.94999999999999</v>
      </c>
      <c r="BB108" s="41">
        <v>135.63</v>
      </c>
      <c r="BC108" s="41">
        <v>138.30000000000001</v>
      </c>
      <c r="BD108" s="41">
        <v>140.97</v>
      </c>
      <c r="BE108" s="42">
        <v>143.63999999999999</v>
      </c>
      <c r="BF108" s="62">
        <v>146.32</v>
      </c>
      <c r="BG108" s="62">
        <v>148.99</v>
      </c>
      <c r="BH108" s="68">
        <v>151.66</v>
      </c>
      <c r="BI108" s="42">
        <v>154.34</v>
      </c>
      <c r="BJ108" s="34">
        <v>157.01</v>
      </c>
      <c r="BK108" s="43">
        <v>159.68</v>
      </c>
      <c r="BL108" s="5">
        <v>162.35</v>
      </c>
      <c r="BM108" s="5">
        <v>165.03</v>
      </c>
      <c r="BN108" s="5">
        <v>167.7</v>
      </c>
      <c r="BO108" s="5">
        <v>170.37</v>
      </c>
      <c r="BP108" s="5">
        <v>173.05</v>
      </c>
      <c r="BQ108" s="5">
        <v>175.72</v>
      </c>
      <c r="BR108" s="144">
        <v>178.39</v>
      </c>
      <c r="BS108" s="144">
        <v>181.06</v>
      </c>
      <c r="BT108" s="144">
        <v>183.74</v>
      </c>
      <c r="BU108" s="144">
        <v>186.41</v>
      </c>
      <c r="BV108" s="144">
        <v>189.08</v>
      </c>
      <c r="BW108" s="5">
        <v>109.14</v>
      </c>
      <c r="BX108" s="5">
        <v>106.47</v>
      </c>
      <c r="BY108" s="5">
        <v>103.8</v>
      </c>
      <c r="BZ108" s="5">
        <v>101.12</v>
      </c>
    </row>
    <row r="109" spans="1:78" x14ac:dyDescent="0.45">
      <c r="A109" s="119" t="s">
        <v>566</v>
      </c>
      <c r="B109" s="41">
        <v>225.03</v>
      </c>
      <c r="C109" s="81">
        <v>315.04000000000002</v>
      </c>
      <c r="D109" s="41">
        <v>228.85</v>
      </c>
      <c r="E109" s="81">
        <v>320.39</v>
      </c>
      <c r="F109" s="41">
        <v>232.67</v>
      </c>
      <c r="G109" s="88">
        <v>325.74</v>
      </c>
      <c r="H109" s="42">
        <v>236.5</v>
      </c>
      <c r="I109" s="94">
        <v>331.09</v>
      </c>
      <c r="J109" s="62">
        <v>240.32</v>
      </c>
      <c r="K109" s="100">
        <v>336.44</v>
      </c>
      <c r="L109" s="62">
        <v>244.14</v>
      </c>
      <c r="M109" s="100">
        <v>341.79</v>
      </c>
      <c r="N109" s="68">
        <v>247.96</v>
      </c>
      <c r="O109" s="106">
        <v>347.15</v>
      </c>
      <c r="P109" s="42">
        <v>251.78</v>
      </c>
      <c r="Q109" s="94">
        <v>352.5</v>
      </c>
      <c r="R109" s="42">
        <v>255.61</v>
      </c>
      <c r="S109" s="112">
        <v>357.85</v>
      </c>
      <c r="T109" s="43">
        <v>259.43</v>
      </c>
      <c r="U109" s="45">
        <v>363.2</v>
      </c>
      <c r="V109" s="5">
        <v>263.25</v>
      </c>
      <c r="W109" s="45">
        <v>368.55</v>
      </c>
      <c r="X109" s="5">
        <v>267.07</v>
      </c>
      <c r="Y109" s="126">
        <v>373.9</v>
      </c>
      <c r="Z109" s="5">
        <v>270.89</v>
      </c>
      <c r="AA109" s="126">
        <v>379.25</v>
      </c>
      <c r="AB109" s="5">
        <v>274.72000000000003</v>
      </c>
      <c r="AC109" s="134">
        <v>384.6</v>
      </c>
      <c r="AD109" s="5">
        <v>278.54000000000002</v>
      </c>
      <c r="AE109" s="134">
        <v>389.95</v>
      </c>
      <c r="AF109" s="5">
        <v>282.36</v>
      </c>
      <c r="AG109" s="134">
        <v>395.3</v>
      </c>
      <c r="AH109" s="144">
        <v>286.18</v>
      </c>
      <c r="AI109" s="134">
        <v>400.65</v>
      </c>
      <c r="AJ109" s="144">
        <v>290</v>
      </c>
      <c r="AK109" s="134">
        <v>406</v>
      </c>
      <c r="AL109" s="144">
        <v>293.83</v>
      </c>
      <c r="AM109" s="134">
        <v>411.36</v>
      </c>
      <c r="AN109" s="144">
        <v>297.64999999999998</v>
      </c>
      <c r="AO109" s="144">
        <v>416.71</v>
      </c>
      <c r="AP109" s="5">
        <v>301.47000000000003</v>
      </c>
      <c r="AQ109" s="121">
        <v>422.06</v>
      </c>
      <c r="AR109" s="5">
        <v>171.61</v>
      </c>
      <c r="AS109" s="5">
        <v>167.79</v>
      </c>
      <c r="AT109" s="5">
        <v>163.96</v>
      </c>
      <c r="AU109" s="5">
        <v>160.13999999999999</v>
      </c>
      <c r="AV109" s="37">
        <v>105</v>
      </c>
      <c r="AW109" s="41">
        <v>123.47</v>
      </c>
      <c r="AX109" s="41">
        <v>126.17</v>
      </c>
      <c r="AY109" s="41">
        <v>128.87</v>
      </c>
      <c r="AZ109" s="41">
        <v>131.56</v>
      </c>
      <c r="BA109" s="41">
        <v>134.26</v>
      </c>
      <c r="BB109" s="41">
        <v>136.96</v>
      </c>
      <c r="BC109" s="41">
        <v>139.66</v>
      </c>
      <c r="BD109" s="41">
        <v>142.36000000000001</v>
      </c>
      <c r="BE109" s="42">
        <v>145.06</v>
      </c>
      <c r="BF109" s="62">
        <v>147.76</v>
      </c>
      <c r="BG109" s="62">
        <v>150.44999999999999</v>
      </c>
      <c r="BH109" s="68">
        <v>153.15</v>
      </c>
      <c r="BI109" s="42">
        <v>155.85</v>
      </c>
      <c r="BJ109" s="34">
        <v>158.55000000000001</v>
      </c>
      <c r="BK109" s="43">
        <v>161.25</v>
      </c>
      <c r="BL109" s="5">
        <v>163.95</v>
      </c>
      <c r="BM109" s="5">
        <v>166.64</v>
      </c>
      <c r="BN109" s="5">
        <v>169.34</v>
      </c>
      <c r="BO109" s="5">
        <v>172.04</v>
      </c>
      <c r="BP109" s="5">
        <v>174.74</v>
      </c>
      <c r="BQ109" s="5">
        <v>177.44</v>
      </c>
      <c r="BR109" s="144">
        <v>180.14</v>
      </c>
      <c r="BS109" s="144">
        <v>182.84</v>
      </c>
      <c r="BT109" s="144">
        <v>185.53</v>
      </c>
      <c r="BU109" s="144">
        <v>188.23</v>
      </c>
      <c r="BV109" s="144">
        <v>190.93</v>
      </c>
      <c r="BW109" s="5">
        <v>110.21</v>
      </c>
      <c r="BX109" s="5">
        <v>107.51</v>
      </c>
      <c r="BY109" s="5">
        <v>104.8</v>
      </c>
      <c r="BZ109" s="5">
        <v>102.12</v>
      </c>
    </row>
    <row r="110" spans="1:78" x14ac:dyDescent="0.45">
      <c r="A110" s="119" t="s">
        <v>567</v>
      </c>
      <c r="B110" s="41">
        <v>227.1</v>
      </c>
      <c r="C110" s="81">
        <v>317.94</v>
      </c>
      <c r="D110" s="41">
        <v>230.96</v>
      </c>
      <c r="E110" s="81">
        <v>323.33999999999997</v>
      </c>
      <c r="F110" s="41">
        <v>234.81</v>
      </c>
      <c r="G110" s="88">
        <v>328.74</v>
      </c>
      <c r="H110" s="42">
        <v>238.67</v>
      </c>
      <c r="I110" s="94">
        <v>334.14</v>
      </c>
      <c r="J110" s="62">
        <v>242.53</v>
      </c>
      <c r="K110" s="100">
        <v>339.54</v>
      </c>
      <c r="L110" s="62">
        <v>246.39</v>
      </c>
      <c r="M110" s="100">
        <v>344.94</v>
      </c>
      <c r="N110" s="68">
        <v>250.25</v>
      </c>
      <c r="O110" s="106">
        <v>350.35</v>
      </c>
      <c r="P110" s="42">
        <v>254.11</v>
      </c>
      <c r="Q110" s="94">
        <v>355.75</v>
      </c>
      <c r="R110" s="42">
        <v>257.95999999999998</v>
      </c>
      <c r="S110" s="112">
        <v>361.15</v>
      </c>
      <c r="T110" s="43">
        <v>261.82</v>
      </c>
      <c r="U110" s="45">
        <v>366.55</v>
      </c>
      <c r="V110" s="5">
        <v>265.68</v>
      </c>
      <c r="W110" s="45">
        <v>371.95</v>
      </c>
      <c r="X110" s="5">
        <v>269.54000000000002</v>
      </c>
      <c r="Y110" s="126">
        <v>377.36</v>
      </c>
      <c r="Z110" s="5">
        <v>273.39999999999998</v>
      </c>
      <c r="AA110" s="126">
        <v>382.76</v>
      </c>
      <c r="AB110" s="5">
        <v>277.26</v>
      </c>
      <c r="AC110" s="134">
        <v>388.16</v>
      </c>
      <c r="AD110" s="5">
        <v>281.11</v>
      </c>
      <c r="AE110" s="134">
        <v>393.56</v>
      </c>
      <c r="AF110" s="5">
        <v>284.97000000000003</v>
      </c>
      <c r="AG110" s="134">
        <v>398.96</v>
      </c>
      <c r="AH110" s="144">
        <v>288.83</v>
      </c>
      <c r="AI110" s="134">
        <v>404.36</v>
      </c>
      <c r="AJ110" s="144">
        <v>292.69</v>
      </c>
      <c r="AK110" s="134">
        <v>409.77</v>
      </c>
      <c r="AL110" s="144">
        <v>296.55</v>
      </c>
      <c r="AM110" s="134">
        <v>415.17</v>
      </c>
      <c r="AN110" s="144">
        <v>300.41000000000003</v>
      </c>
      <c r="AO110" s="144">
        <v>420.57</v>
      </c>
      <c r="AP110" s="5">
        <v>304.26</v>
      </c>
      <c r="AQ110" s="121">
        <v>425.96999999999997</v>
      </c>
      <c r="AR110" s="5">
        <v>173.2</v>
      </c>
      <c r="AS110" s="5">
        <v>169.34</v>
      </c>
      <c r="AT110" s="5">
        <v>165.48</v>
      </c>
      <c r="AU110" s="5">
        <v>161.62</v>
      </c>
      <c r="AV110" s="37">
        <v>106</v>
      </c>
      <c r="AW110" s="41">
        <v>124.63</v>
      </c>
      <c r="AX110" s="41">
        <v>127.35</v>
      </c>
      <c r="AY110" s="41">
        <v>130.08000000000001</v>
      </c>
      <c r="AZ110" s="41">
        <v>132.80000000000001</v>
      </c>
      <c r="BA110" s="41">
        <v>135.52000000000001</v>
      </c>
      <c r="BB110" s="41">
        <v>138.25</v>
      </c>
      <c r="BC110" s="41">
        <v>140.97</v>
      </c>
      <c r="BD110" s="41">
        <v>143.69999999999999</v>
      </c>
      <c r="BE110" s="42">
        <v>146.41999999999999</v>
      </c>
      <c r="BF110" s="62">
        <v>149.13999999999999</v>
      </c>
      <c r="BG110" s="62">
        <v>151.87</v>
      </c>
      <c r="BH110" s="68">
        <v>154.59</v>
      </c>
      <c r="BI110" s="42">
        <v>157.32</v>
      </c>
      <c r="BJ110" s="34">
        <v>160.04</v>
      </c>
      <c r="BK110" s="43">
        <v>162.77000000000001</v>
      </c>
      <c r="BL110" s="5">
        <v>165.49</v>
      </c>
      <c r="BM110" s="5">
        <v>168.21</v>
      </c>
      <c r="BN110" s="5">
        <v>170.94</v>
      </c>
      <c r="BO110" s="5">
        <v>173.66</v>
      </c>
      <c r="BP110" s="5">
        <v>176.39</v>
      </c>
      <c r="BQ110" s="5">
        <v>179.11</v>
      </c>
      <c r="BR110" s="144">
        <v>181.84</v>
      </c>
      <c r="BS110" s="144">
        <v>184.56</v>
      </c>
      <c r="BT110" s="144">
        <v>187.28</v>
      </c>
      <c r="BU110" s="144">
        <v>190.01</v>
      </c>
      <c r="BV110" s="144">
        <v>192.73</v>
      </c>
      <c r="BW110" s="5">
        <v>111.25</v>
      </c>
      <c r="BX110" s="5">
        <v>108.53</v>
      </c>
      <c r="BY110" s="5">
        <v>105.8</v>
      </c>
      <c r="BZ110" s="5">
        <v>103.08</v>
      </c>
    </row>
    <row r="111" spans="1:78" x14ac:dyDescent="0.45">
      <c r="A111" s="119" t="s">
        <v>568</v>
      </c>
      <c r="B111" s="41">
        <v>229.17</v>
      </c>
      <c r="C111" s="81">
        <v>320.83999999999997</v>
      </c>
      <c r="D111" s="41">
        <v>233.06</v>
      </c>
      <c r="E111" s="81">
        <v>326.29000000000002</v>
      </c>
      <c r="F111" s="41">
        <v>236.96</v>
      </c>
      <c r="G111" s="88">
        <v>331.74</v>
      </c>
      <c r="H111" s="42">
        <v>240.85</v>
      </c>
      <c r="I111" s="94">
        <v>337.2</v>
      </c>
      <c r="J111" s="62">
        <v>244.75</v>
      </c>
      <c r="K111" s="100">
        <v>342.65</v>
      </c>
      <c r="L111" s="62">
        <v>248.64</v>
      </c>
      <c r="M111" s="100">
        <v>348.1</v>
      </c>
      <c r="N111" s="68">
        <v>252.54</v>
      </c>
      <c r="O111" s="106">
        <v>353.55</v>
      </c>
      <c r="P111" s="42">
        <v>256.43</v>
      </c>
      <c r="Q111" s="94">
        <v>359.01</v>
      </c>
      <c r="R111" s="42">
        <v>260.33</v>
      </c>
      <c r="S111" s="112">
        <v>364.46</v>
      </c>
      <c r="T111" s="43">
        <v>264.22000000000003</v>
      </c>
      <c r="U111" s="45">
        <v>369.91</v>
      </c>
      <c r="V111" s="5">
        <v>268.12</v>
      </c>
      <c r="W111" s="45">
        <v>375.37</v>
      </c>
      <c r="X111" s="5">
        <v>272.01</v>
      </c>
      <c r="Y111" s="126">
        <v>380.81</v>
      </c>
      <c r="Z111" s="5">
        <v>275.91000000000003</v>
      </c>
      <c r="AA111" s="126">
        <v>386.27</v>
      </c>
      <c r="AB111" s="5">
        <v>279.8</v>
      </c>
      <c r="AC111" s="134">
        <v>391.72</v>
      </c>
      <c r="AD111" s="5">
        <v>283.7</v>
      </c>
      <c r="AE111" s="134">
        <v>397.18</v>
      </c>
      <c r="AF111" s="5">
        <v>287.58999999999997</v>
      </c>
      <c r="AG111" s="134">
        <v>402.63</v>
      </c>
      <c r="AH111" s="144">
        <v>291.49</v>
      </c>
      <c r="AI111" s="134">
        <v>408.08</v>
      </c>
      <c r="AJ111" s="144">
        <v>295.38</v>
      </c>
      <c r="AK111" s="134">
        <v>413.53</v>
      </c>
      <c r="AL111" s="144">
        <v>299.27999999999997</v>
      </c>
      <c r="AM111" s="134">
        <v>418.99</v>
      </c>
      <c r="AN111" s="144">
        <v>303.17</v>
      </c>
      <c r="AO111" s="144">
        <v>424.44</v>
      </c>
      <c r="AP111" s="5">
        <v>307.07</v>
      </c>
      <c r="AQ111" s="121">
        <v>429.89</v>
      </c>
      <c r="AR111" s="5">
        <v>174.79</v>
      </c>
      <c r="AS111" s="5">
        <v>170.9</v>
      </c>
      <c r="AT111" s="5">
        <v>167</v>
      </c>
      <c r="AU111" s="5">
        <v>163.11000000000001</v>
      </c>
      <c r="AV111" s="37">
        <v>107</v>
      </c>
      <c r="AW111" s="41">
        <v>125.79</v>
      </c>
      <c r="AX111" s="41">
        <v>128.54</v>
      </c>
      <c r="AY111" s="41">
        <v>131.29</v>
      </c>
      <c r="AZ111" s="41">
        <v>134.04</v>
      </c>
      <c r="BA111" s="41">
        <v>136.79</v>
      </c>
      <c r="BB111" s="41">
        <v>139.54</v>
      </c>
      <c r="BC111" s="41">
        <v>142.29</v>
      </c>
      <c r="BD111" s="41">
        <v>145.04</v>
      </c>
      <c r="BE111" s="42">
        <v>147.79</v>
      </c>
      <c r="BF111" s="62">
        <v>150.54</v>
      </c>
      <c r="BG111" s="62">
        <v>153.29</v>
      </c>
      <c r="BH111" s="68">
        <v>156.04</v>
      </c>
      <c r="BI111" s="42">
        <v>158.79</v>
      </c>
      <c r="BJ111" s="34">
        <v>161.54</v>
      </c>
      <c r="BK111" s="43">
        <v>164.29</v>
      </c>
      <c r="BL111" s="5">
        <v>167.04</v>
      </c>
      <c r="BM111" s="5">
        <v>169.79</v>
      </c>
      <c r="BN111" s="5">
        <v>172.54</v>
      </c>
      <c r="BO111" s="5">
        <v>175.29</v>
      </c>
      <c r="BP111" s="5">
        <v>178.04</v>
      </c>
      <c r="BQ111" s="5">
        <v>180.79</v>
      </c>
      <c r="BR111" s="144">
        <v>183.53</v>
      </c>
      <c r="BS111" s="144">
        <v>186.28</v>
      </c>
      <c r="BT111" s="144">
        <v>189.03</v>
      </c>
      <c r="BU111" s="144">
        <v>191.78</v>
      </c>
      <c r="BV111" s="144">
        <v>194.53</v>
      </c>
      <c r="BW111" s="5">
        <v>112.29</v>
      </c>
      <c r="BX111" s="5">
        <v>109.54</v>
      </c>
      <c r="BY111" s="5">
        <v>106.79</v>
      </c>
      <c r="BZ111" s="5">
        <v>104.04</v>
      </c>
    </row>
    <row r="112" spans="1:78" x14ac:dyDescent="0.45">
      <c r="A112" s="119" t="s">
        <v>569</v>
      </c>
      <c r="B112" s="41">
        <v>231.25</v>
      </c>
      <c r="C112" s="81">
        <v>323.75</v>
      </c>
      <c r="D112" s="41">
        <v>235.18</v>
      </c>
      <c r="E112" s="81">
        <v>329.25</v>
      </c>
      <c r="F112" s="41">
        <v>239.11</v>
      </c>
      <c r="G112" s="88">
        <v>334.76</v>
      </c>
      <c r="H112" s="42">
        <v>243.04</v>
      </c>
      <c r="I112" s="94">
        <v>340.26</v>
      </c>
      <c r="J112" s="62">
        <v>246.97</v>
      </c>
      <c r="K112" s="100">
        <v>345.76</v>
      </c>
      <c r="L112" s="62">
        <v>250.91</v>
      </c>
      <c r="M112" s="100">
        <v>351.27</v>
      </c>
      <c r="N112" s="68">
        <v>254.84</v>
      </c>
      <c r="O112" s="106">
        <v>356.77</v>
      </c>
      <c r="P112" s="42">
        <v>258.77</v>
      </c>
      <c r="Q112" s="94">
        <v>362.28</v>
      </c>
      <c r="R112" s="42">
        <v>262.7</v>
      </c>
      <c r="S112" s="112">
        <v>367.78</v>
      </c>
      <c r="T112" s="43">
        <v>266.63</v>
      </c>
      <c r="U112" s="45">
        <v>373.28</v>
      </c>
      <c r="V112" s="5">
        <v>270.56</v>
      </c>
      <c r="W112" s="45">
        <v>378.79</v>
      </c>
      <c r="X112" s="5">
        <v>274.49</v>
      </c>
      <c r="Y112" s="126">
        <v>384.29</v>
      </c>
      <c r="Z112" s="5">
        <v>278.42</v>
      </c>
      <c r="AA112" s="126">
        <v>389.79</v>
      </c>
      <c r="AB112" s="5">
        <v>282.36</v>
      </c>
      <c r="AC112" s="134">
        <v>395.3</v>
      </c>
      <c r="AD112" s="5">
        <v>286.29000000000002</v>
      </c>
      <c r="AE112" s="134">
        <v>400.8</v>
      </c>
      <c r="AF112" s="5">
        <v>290.22000000000003</v>
      </c>
      <c r="AG112" s="134">
        <v>406.31</v>
      </c>
      <c r="AH112" s="144">
        <v>294.14999999999998</v>
      </c>
      <c r="AI112" s="134">
        <v>411.81</v>
      </c>
      <c r="AJ112" s="144">
        <v>298.08</v>
      </c>
      <c r="AK112" s="134">
        <v>417.31</v>
      </c>
      <c r="AL112" s="144">
        <v>302.01</v>
      </c>
      <c r="AM112" s="134">
        <v>422.82</v>
      </c>
      <c r="AN112" s="144">
        <v>305.94</v>
      </c>
      <c r="AO112" s="144">
        <v>428.32</v>
      </c>
      <c r="AP112" s="5">
        <v>309.87</v>
      </c>
      <c r="AQ112" s="121">
        <v>433.82</v>
      </c>
      <c r="AR112" s="5">
        <v>176.39</v>
      </c>
      <c r="AS112" s="5">
        <v>172.46</v>
      </c>
      <c r="AT112" s="5">
        <v>168.53</v>
      </c>
      <c r="AU112" s="5">
        <v>164.6</v>
      </c>
      <c r="AV112" s="37">
        <v>108</v>
      </c>
      <c r="AW112" s="41">
        <v>126.95</v>
      </c>
      <c r="AX112" s="41">
        <v>129.72</v>
      </c>
      <c r="AY112" s="41">
        <v>132.5</v>
      </c>
      <c r="AZ112" s="41">
        <v>135.28</v>
      </c>
      <c r="BA112" s="41">
        <v>138.05000000000001</v>
      </c>
      <c r="BB112" s="41">
        <v>140.83000000000001</v>
      </c>
      <c r="BC112" s="41">
        <v>143.6</v>
      </c>
      <c r="BD112" s="41">
        <v>146.38</v>
      </c>
      <c r="BE112" s="42">
        <v>149.15</v>
      </c>
      <c r="BF112" s="62">
        <v>151.93</v>
      </c>
      <c r="BG112" s="62">
        <v>154.69999999999999</v>
      </c>
      <c r="BH112" s="68">
        <v>157.47999999999999</v>
      </c>
      <c r="BI112" s="42">
        <v>160.26</v>
      </c>
      <c r="BJ112" s="34">
        <v>163.03</v>
      </c>
      <c r="BK112" s="43">
        <v>165.81</v>
      </c>
      <c r="BL112" s="5">
        <v>168.58</v>
      </c>
      <c r="BM112" s="5">
        <v>171.36</v>
      </c>
      <c r="BN112" s="5">
        <v>174.13</v>
      </c>
      <c r="BO112" s="5">
        <v>176.91</v>
      </c>
      <c r="BP112" s="5">
        <v>179.69</v>
      </c>
      <c r="BQ112" s="5">
        <v>182.46</v>
      </c>
      <c r="BR112" s="144">
        <v>185.24</v>
      </c>
      <c r="BS112" s="144">
        <v>188.01</v>
      </c>
      <c r="BT112" s="144">
        <v>190.79</v>
      </c>
      <c r="BU112" s="144">
        <v>193.56</v>
      </c>
      <c r="BV112" s="144">
        <v>196.34</v>
      </c>
      <c r="BW112" s="5">
        <v>113.33</v>
      </c>
      <c r="BX112" s="5">
        <v>110.56</v>
      </c>
      <c r="BY112" s="5">
        <v>107.78</v>
      </c>
      <c r="BZ112" s="5">
        <v>105</v>
      </c>
    </row>
    <row r="113" spans="1:78" x14ac:dyDescent="0.45">
      <c r="A113" s="119" t="s">
        <v>570</v>
      </c>
      <c r="B113" s="41">
        <v>233.54</v>
      </c>
      <c r="C113" s="81">
        <v>326.95</v>
      </c>
      <c r="D113" s="41">
        <v>237.5</v>
      </c>
      <c r="E113" s="81">
        <v>332.51</v>
      </c>
      <c r="F113" s="41">
        <v>241.47</v>
      </c>
      <c r="G113" s="88">
        <v>338.06</v>
      </c>
      <c r="H113" s="42">
        <v>245.44</v>
      </c>
      <c r="I113" s="94">
        <v>343.62</v>
      </c>
      <c r="J113" s="62">
        <v>249.41</v>
      </c>
      <c r="K113" s="100">
        <v>349.17</v>
      </c>
      <c r="L113" s="62">
        <v>253.37</v>
      </c>
      <c r="M113" s="100">
        <v>354.72</v>
      </c>
      <c r="N113" s="68">
        <v>257.33999999999997</v>
      </c>
      <c r="O113" s="106">
        <v>360.28</v>
      </c>
      <c r="P113" s="42">
        <v>261.31</v>
      </c>
      <c r="Q113" s="94">
        <v>365.83</v>
      </c>
      <c r="R113" s="42">
        <v>265.27999999999997</v>
      </c>
      <c r="S113" s="112">
        <v>371.39</v>
      </c>
      <c r="T113" s="43">
        <v>269.25</v>
      </c>
      <c r="U113" s="45">
        <v>376.94</v>
      </c>
      <c r="V113" s="5">
        <v>273.20999999999998</v>
      </c>
      <c r="W113" s="45">
        <v>382.5</v>
      </c>
      <c r="X113" s="5">
        <v>277.18</v>
      </c>
      <c r="Y113" s="126">
        <v>388.05</v>
      </c>
      <c r="Z113" s="5">
        <v>281.14999999999998</v>
      </c>
      <c r="AA113" s="126">
        <v>393.61</v>
      </c>
      <c r="AB113" s="5">
        <v>285.12</v>
      </c>
      <c r="AC113" s="134">
        <v>399.16</v>
      </c>
      <c r="AD113" s="5">
        <v>289.08</v>
      </c>
      <c r="AE113" s="134">
        <v>404.72</v>
      </c>
      <c r="AF113" s="5">
        <v>293.05</v>
      </c>
      <c r="AG113" s="134">
        <v>410.27</v>
      </c>
      <c r="AH113" s="144">
        <v>297.02</v>
      </c>
      <c r="AI113" s="134">
        <v>415.83</v>
      </c>
      <c r="AJ113" s="144">
        <v>300.99</v>
      </c>
      <c r="AK113" s="134">
        <v>421.38</v>
      </c>
      <c r="AL113" s="144">
        <v>304.95</v>
      </c>
      <c r="AM113" s="134">
        <v>426.94</v>
      </c>
      <c r="AN113" s="144">
        <v>308.92</v>
      </c>
      <c r="AO113" s="144">
        <v>432.49</v>
      </c>
      <c r="AP113" s="5">
        <v>312.89</v>
      </c>
      <c r="AQ113" s="121">
        <v>438.04</v>
      </c>
      <c r="AR113" s="5">
        <v>178.11</v>
      </c>
      <c r="AS113" s="5">
        <v>174.14</v>
      </c>
      <c r="AT113" s="5">
        <v>170.17</v>
      </c>
      <c r="AU113" s="5">
        <v>166.2</v>
      </c>
      <c r="AV113" s="37">
        <v>109</v>
      </c>
      <c r="AW113" s="41">
        <v>128.11000000000001</v>
      </c>
      <c r="AX113" s="41">
        <v>130.91</v>
      </c>
      <c r="AY113" s="41">
        <v>133.71</v>
      </c>
      <c r="AZ113" s="41">
        <v>136.52000000000001</v>
      </c>
      <c r="BA113" s="41">
        <v>139.32</v>
      </c>
      <c r="BB113" s="41">
        <v>142.12</v>
      </c>
      <c r="BC113" s="41">
        <v>144.91999999999999</v>
      </c>
      <c r="BD113" s="41">
        <v>147.72</v>
      </c>
      <c r="BE113" s="42">
        <v>150.52000000000001</v>
      </c>
      <c r="BF113" s="62">
        <v>153.32</v>
      </c>
      <c r="BG113" s="62">
        <v>156.13</v>
      </c>
      <c r="BH113" s="68">
        <v>158.93</v>
      </c>
      <c r="BI113" s="42">
        <v>161.72999999999999</v>
      </c>
      <c r="BJ113" s="34">
        <v>164.53</v>
      </c>
      <c r="BK113" s="43">
        <v>167.33</v>
      </c>
      <c r="BL113" s="5">
        <v>170.13</v>
      </c>
      <c r="BM113" s="5">
        <v>172.93</v>
      </c>
      <c r="BN113" s="5">
        <v>175.73</v>
      </c>
      <c r="BO113" s="5">
        <v>178.54</v>
      </c>
      <c r="BP113" s="5">
        <v>181.34</v>
      </c>
      <c r="BQ113" s="5">
        <v>184.14</v>
      </c>
      <c r="BR113" s="144">
        <v>186.94</v>
      </c>
      <c r="BS113" s="144">
        <v>189.74</v>
      </c>
      <c r="BT113" s="144">
        <v>192.54</v>
      </c>
      <c r="BU113" s="144">
        <v>195.34</v>
      </c>
      <c r="BV113" s="144">
        <v>198.14</v>
      </c>
      <c r="BW113" s="5">
        <v>114.37</v>
      </c>
      <c r="BX113" s="5">
        <v>111.57</v>
      </c>
      <c r="BY113" s="5">
        <v>108.77</v>
      </c>
      <c r="BZ113" s="5">
        <v>105.97</v>
      </c>
    </row>
    <row r="114" spans="1:78" x14ac:dyDescent="0.45">
      <c r="A114" s="119" t="s">
        <v>571</v>
      </c>
      <c r="B114" s="41">
        <v>235.63</v>
      </c>
      <c r="C114" s="81">
        <v>329.89</v>
      </c>
      <c r="D114" s="41">
        <v>239.64</v>
      </c>
      <c r="E114" s="81">
        <v>335.49</v>
      </c>
      <c r="F114" s="41">
        <v>243.64</v>
      </c>
      <c r="G114" s="88">
        <v>341.1</v>
      </c>
      <c r="H114" s="42">
        <v>247.64</v>
      </c>
      <c r="I114" s="94">
        <v>346.7</v>
      </c>
      <c r="J114" s="62">
        <v>251.65</v>
      </c>
      <c r="K114" s="100">
        <v>352.31</v>
      </c>
      <c r="L114" s="62">
        <v>255.65</v>
      </c>
      <c r="M114" s="100">
        <v>357.91</v>
      </c>
      <c r="N114" s="68">
        <v>259.66000000000003</v>
      </c>
      <c r="O114" s="106">
        <v>363.52</v>
      </c>
      <c r="P114" s="42">
        <v>263.66000000000003</v>
      </c>
      <c r="Q114" s="94">
        <v>369.13</v>
      </c>
      <c r="R114" s="42">
        <v>267.66000000000003</v>
      </c>
      <c r="S114" s="112">
        <v>374.73</v>
      </c>
      <c r="T114" s="43">
        <v>271.67</v>
      </c>
      <c r="U114" s="45">
        <v>380.34</v>
      </c>
      <c r="V114" s="5">
        <v>275.67</v>
      </c>
      <c r="W114" s="45">
        <v>385.94</v>
      </c>
      <c r="X114" s="5">
        <v>279.68</v>
      </c>
      <c r="Y114" s="126">
        <v>391.55</v>
      </c>
      <c r="Z114" s="5">
        <v>283.68</v>
      </c>
      <c r="AA114" s="126">
        <v>397.15</v>
      </c>
      <c r="AB114" s="5">
        <v>287.68</v>
      </c>
      <c r="AC114" s="134">
        <v>402.76</v>
      </c>
      <c r="AD114" s="5">
        <v>291.69</v>
      </c>
      <c r="AE114" s="134">
        <v>408.36</v>
      </c>
      <c r="AF114" s="5">
        <v>295.69</v>
      </c>
      <c r="AG114" s="134">
        <v>413.97</v>
      </c>
      <c r="AH114" s="144">
        <v>299.7</v>
      </c>
      <c r="AI114" s="134">
        <v>419.58</v>
      </c>
      <c r="AJ114" s="144">
        <v>303.7</v>
      </c>
      <c r="AK114" s="134">
        <v>425.18</v>
      </c>
      <c r="AL114" s="144">
        <v>307.7</v>
      </c>
      <c r="AM114" s="134">
        <v>430.79</v>
      </c>
      <c r="AN114" s="144">
        <v>311.70999999999998</v>
      </c>
      <c r="AO114" s="144">
        <v>436.39</v>
      </c>
      <c r="AP114" s="5">
        <v>315.70999999999998</v>
      </c>
      <c r="AQ114" s="121">
        <v>442</v>
      </c>
      <c r="AR114" s="5">
        <v>179.71</v>
      </c>
      <c r="AS114" s="5">
        <v>175.71</v>
      </c>
      <c r="AT114" s="5">
        <v>171.71</v>
      </c>
      <c r="AU114" s="5">
        <v>167.7</v>
      </c>
      <c r="AV114" s="37">
        <v>110</v>
      </c>
      <c r="AW114" s="41">
        <v>129.28</v>
      </c>
      <c r="AX114" s="41">
        <v>132.1</v>
      </c>
      <c r="AY114" s="41">
        <v>134.93</v>
      </c>
      <c r="AZ114" s="41">
        <v>137.76</v>
      </c>
      <c r="BA114" s="41">
        <v>140.59</v>
      </c>
      <c r="BB114" s="41">
        <v>143.41</v>
      </c>
      <c r="BC114" s="41">
        <v>146.24</v>
      </c>
      <c r="BD114" s="41">
        <v>149.07</v>
      </c>
      <c r="BE114" s="42">
        <v>151.88999999999999</v>
      </c>
      <c r="BF114" s="62">
        <v>154.72</v>
      </c>
      <c r="BG114" s="62">
        <v>157.55000000000001</v>
      </c>
      <c r="BH114" s="68">
        <v>160.37</v>
      </c>
      <c r="BI114" s="42">
        <v>163.19999999999999</v>
      </c>
      <c r="BJ114" s="34">
        <v>166.03</v>
      </c>
      <c r="BK114" s="43">
        <v>168.86</v>
      </c>
      <c r="BL114" s="5">
        <v>171.68</v>
      </c>
      <c r="BM114" s="5">
        <v>174.51</v>
      </c>
      <c r="BN114" s="5">
        <v>177.34</v>
      </c>
      <c r="BO114" s="5">
        <v>180.16</v>
      </c>
      <c r="BP114" s="5">
        <v>182.99</v>
      </c>
      <c r="BQ114" s="5">
        <v>185.82</v>
      </c>
      <c r="BR114" s="144">
        <v>188.64</v>
      </c>
      <c r="BS114" s="144">
        <v>191.47</v>
      </c>
      <c r="BT114" s="144">
        <v>194.3</v>
      </c>
      <c r="BU114" s="144">
        <v>197.13</v>
      </c>
      <c r="BV114" s="144">
        <v>199.95</v>
      </c>
      <c r="BW114" s="5">
        <v>115.42</v>
      </c>
      <c r="BX114" s="5">
        <v>112.59</v>
      </c>
      <c r="BY114" s="5">
        <v>109.76</v>
      </c>
      <c r="BZ114" s="5">
        <v>106.94</v>
      </c>
    </row>
    <row r="115" spans="1:78" x14ac:dyDescent="0.45">
      <c r="A115" s="119" t="s">
        <v>572</v>
      </c>
      <c r="B115" s="41">
        <v>237.74</v>
      </c>
      <c r="C115" s="81">
        <v>332.83</v>
      </c>
      <c r="D115" s="41">
        <v>241.78</v>
      </c>
      <c r="E115" s="81">
        <v>338.49</v>
      </c>
      <c r="F115" s="41">
        <v>245.82</v>
      </c>
      <c r="G115" s="88">
        <v>344.14</v>
      </c>
      <c r="H115" s="42">
        <v>249.86</v>
      </c>
      <c r="I115" s="94">
        <v>349.8</v>
      </c>
      <c r="J115" s="62">
        <v>253.9</v>
      </c>
      <c r="K115" s="100">
        <v>355.46</v>
      </c>
      <c r="L115" s="62">
        <v>257.94</v>
      </c>
      <c r="M115" s="100">
        <v>361.11</v>
      </c>
      <c r="N115" s="68">
        <v>261.98</v>
      </c>
      <c r="O115" s="106">
        <v>366.77</v>
      </c>
      <c r="P115" s="42">
        <v>266.02</v>
      </c>
      <c r="Q115" s="94">
        <v>372.43</v>
      </c>
      <c r="R115" s="42">
        <v>270.06</v>
      </c>
      <c r="S115" s="112">
        <v>378.08</v>
      </c>
      <c r="T115" s="43">
        <v>274.10000000000002</v>
      </c>
      <c r="U115" s="45">
        <v>383.74</v>
      </c>
      <c r="V115" s="5">
        <v>278.14</v>
      </c>
      <c r="W115" s="45">
        <v>389.4</v>
      </c>
      <c r="X115" s="5">
        <v>282.18</v>
      </c>
      <c r="Y115" s="126">
        <v>395.05</v>
      </c>
      <c r="Z115" s="5">
        <v>286.22000000000003</v>
      </c>
      <c r="AA115" s="126">
        <v>400.71</v>
      </c>
      <c r="AB115" s="5">
        <v>290.26</v>
      </c>
      <c r="AC115" s="134">
        <v>406.36</v>
      </c>
      <c r="AD115" s="5">
        <v>294.3</v>
      </c>
      <c r="AE115" s="134">
        <v>412.02</v>
      </c>
      <c r="AF115" s="5">
        <v>298.33999999999997</v>
      </c>
      <c r="AG115" s="134">
        <v>417.68</v>
      </c>
      <c r="AH115" s="144">
        <v>302.38</v>
      </c>
      <c r="AI115" s="134">
        <v>423.33</v>
      </c>
      <c r="AJ115" s="144">
        <v>306.42</v>
      </c>
      <c r="AK115" s="134">
        <v>428.99</v>
      </c>
      <c r="AL115" s="144">
        <v>310.45999999999998</v>
      </c>
      <c r="AM115" s="134">
        <v>434.65</v>
      </c>
      <c r="AN115" s="144">
        <v>314.5</v>
      </c>
      <c r="AO115" s="144">
        <v>440.3</v>
      </c>
      <c r="AP115" s="5">
        <v>318.54000000000002</v>
      </c>
      <c r="AQ115" s="121">
        <v>445.96</v>
      </c>
      <c r="AR115" s="5">
        <v>181.32</v>
      </c>
      <c r="AS115" s="5">
        <v>177.28</v>
      </c>
      <c r="AT115" s="5">
        <v>173.24</v>
      </c>
      <c r="AU115" s="5">
        <v>169.2</v>
      </c>
      <c r="AV115" s="37">
        <v>111</v>
      </c>
      <c r="AW115" s="41">
        <v>130.44</v>
      </c>
      <c r="AX115" s="41">
        <v>133.30000000000001</v>
      </c>
      <c r="AY115" s="41">
        <v>136.15</v>
      </c>
      <c r="AZ115" s="41">
        <v>139</v>
      </c>
      <c r="BA115" s="41">
        <v>141.86000000000001</v>
      </c>
      <c r="BB115" s="41">
        <v>144.71</v>
      </c>
      <c r="BC115" s="41">
        <v>147.56</v>
      </c>
      <c r="BD115" s="41">
        <v>150.41</v>
      </c>
      <c r="BE115" s="42">
        <v>153.27000000000001</v>
      </c>
      <c r="BF115" s="62">
        <v>156.12</v>
      </c>
      <c r="BG115" s="62">
        <v>158.97</v>
      </c>
      <c r="BH115" s="68">
        <v>161.82</v>
      </c>
      <c r="BI115" s="42">
        <v>164.68</v>
      </c>
      <c r="BJ115" s="34">
        <v>167.53</v>
      </c>
      <c r="BK115" s="43">
        <v>170.38</v>
      </c>
      <c r="BL115" s="5">
        <v>173.24</v>
      </c>
      <c r="BM115" s="5">
        <v>176.09</v>
      </c>
      <c r="BN115" s="5">
        <v>178.94</v>
      </c>
      <c r="BO115" s="5">
        <v>181.79</v>
      </c>
      <c r="BP115" s="5">
        <v>184.65</v>
      </c>
      <c r="BQ115" s="5">
        <v>187.5</v>
      </c>
      <c r="BR115" s="144">
        <v>190.35</v>
      </c>
      <c r="BS115" s="144">
        <v>193.2</v>
      </c>
      <c r="BT115" s="144">
        <v>196.06</v>
      </c>
      <c r="BU115" s="144">
        <v>198.91</v>
      </c>
      <c r="BV115" s="144">
        <v>201.76</v>
      </c>
      <c r="BW115" s="5">
        <v>116.46</v>
      </c>
      <c r="BX115" s="5">
        <v>113.61</v>
      </c>
      <c r="BY115" s="5">
        <v>110.75</v>
      </c>
      <c r="BZ115" s="5">
        <v>107.9</v>
      </c>
    </row>
    <row r="116" spans="1:78" x14ac:dyDescent="0.45">
      <c r="A116" s="119" t="s">
        <v>573</v>
      </c>
      <c r="B116" s="41">
        <v>239.84</v>
      </c>
      <c r="C116" s="81">
        <v>335.78</v>
      </c>
      <c r="D116" s="41">
        <v>243.92</v>
      </c>
      <c r="E116" s="81">
        <v>341.49</v>
      </c>
      <c r="F116" s="41">
        <v>248</v>
      </c>
      <c r="G116" s="88">
        <v>347.2</v>
      </c>
      <c r="H116" s="42">
        <v>252.08</v>
      </c>
      <c r="I116" s="94">
        <v>352.91</v>
      </c>
      <c r="J116" s="62">
        <v>256.14999999999998</v>
      </c>
      <c r="K116" s="100">
        <v>358.6</v>
      </c>
      <c r="L116" s="62">
        <v>260.23</v>
      </c>
      <c r="M116" s="100">
        <v>364.32</v>
      </c>
      <c r="N116" s="68">
        <v>264.31</v>
      </c>
      <c r="O116" s="106">
        <v>370.03</v>
      </c>
      <c r="P116" s="42">
        <v>268.38</v>
      </c>
      <c r="Q116" s="94">
        <v>375.74</v>
      </c>
      <c r="R116" s="42">
        <v>272.45999999999998</v>
      </c>
      <c r="S116" s="112">
        <v>381.44</v>
      </c>
      <c r="T116" s="43">
        <v>276.54000000000002</v>
      </c>
      <c r="U116" s="45">
        <v>387.15</v>
      </c>
      <c r="V116" s="5">
        <v>280.61</v>
      </c>
      <c r="W116" s="45">
        <v>392.86</v>
      </c>
      <c r="X116" s="5">
        <v>284.69</v>
      </c>
      <c r="Y116" s="126">
        <v>398.57</v>
      </c>
      <c r="Z116" s="5">
        <v>288.77</v>
      </c>
      <c r="AA116" s="126">
        <v>404.28</v>
      </c>
      <c r="AB116" s="5">
        <v>292.83999999999997</v>
      </c>
      <c r="AC116" s="134">
        <v>409.98</v>
      </c>
      <c r="AD116" s="5">
        <v>296.92</v>
      </c>
      <c r="AE116" s="134">
        <v>415.69</v>
      </c>
      <c r="AF116" s="5">
        <v>301</v>
      </c>
      <c r="AG116" s="134">
        <v>421.4</v>
      </c>
      <c r="AH116" s="144">
        <v>305.07</v>
      </c>
      <c r="AI116" s="134">
        <v>427.1</v>
      </c>
      <c r="AJ116" s="144">
        <v>309.14999999999998</v>
      </c>
      <c r="AK116" s="134">
        <v>432.81</v>
      </c>
      <c r="AL116" s="144">
        <v>313.23</v>
      </c>
      <c r="AM116" s="134">
        <v>438.52</v>
      </c>
      <c r="AN116" s="144">
        <v>317.3</v>
      </c>
      <c r="AO116" s="144">
        <v>444.23</v>
      </c>
      <c r="AP116" s="5">
        <v>321.38</v>
      </c>
      <c r="AQ116" s="121">
        <v>449.93</v>
      </c>
      <c r="AR116" s="5">
        <v>182.94</v>
      </c>
      <c r="AS116" s="5">
        <v>178.86</v>
      </c>
      <c r="AT116" s="5">
        <v>174.79</v>
      </c>
      <c r="AU116" s="5">
        <v>170.71</v>
      </c>
      <c r="AV116" s="37">
        <v>112</v>
      </c>
      <c r="AW116" s="41">
        <v>131.61000000000001</v>
      </c>
      <c r="AX116" s="41">
        <v>134.49</v>
      </c>
      <c r="AY116" s="41">
        <v>137.37</v>
      </c>
      <c r="AZ116" s="41">
        <v>140.25</v>
      </c>
      <c r="BA116" s="41">
        <v>143.13</v>
      </c>
      <c r="BB116" s="41">
        <v>146.01</v>
      </c>
      <c r="BC116" s="41">
        <v>148.88</v>
      </c>
      <c r="BD116" s="41">
        <v>151.76</v>
      </c>
      <c r="BE116" s="42">
        <v>154.63999999999999</v>
      </c>
      <c r="BF116" s="62">
        <v>157.52000000000001</v>
      </c>
      <c r="BG116" s="62">
        <v>160.4</v>
      </c>
      <c r="BH116" s="68">
        <v>163.28</v>
      </c>
      <c r="BI116" s="42">
        <v>166.15</v>
      </c>
      <c r="BJ116" s="34">
        <v>169.03</v>
      </c>
      <c r="BK116" s="43">
        <v>171.91</v>
      </c>
      <c r="BL116" s="5">
        <v>174.79</v>
      </c>
      <c r="BM116" s="5">
        <v>177.67</v>
      </c>
      <c r="BN116" s="5">
        <v>180.55</v>
      </c>
      <c r="BO116" s="5">
        <v>183.43</v>
      </c>
      <c r="BP116" s="5">
        <v>186.3</v>
      </c>
      <c r="BQ116" s="5">
        <v>189.18</v>
      </c>
      <c r="BR116" s="144">
        <v>192.06</v>
      </c>
      <c r="BS116" s="144">
        <v>194.94</v>
      </c>
      <c r="BT116" s="144">
        <v>197.82</v>
      </c>
      <c r="BU116" s="144">
        <v>200.7</v>
      </c>
      <c r="BV116" s="144">
        <v>203.57</v>
      </c>
      <c r="BW116" s="5">
        <v>117.51</v>
      </c>
      <c r="BX116" s="5">
        <v>114.63</v>
      </c>
      <c r="BY116" s="5">
        <v>111.75</v>
      </c>
      <c r="BZ116" s="5">
        <v>108.87</v>
      </c>
    </row>
    <row r="117" spans="1:78" x14ac:dyDescent="0.45">
      <c r="A117" s="119" t="s">
        <v>574</v>
      </c>
      <c r="B117" s="41">
        <v>241.96</v>
      </c>
      <c r="C117" s="81">
        <v>338.75</v>
      </c>
      <c r="D117" s="41">
        <v>246.07</v>
      </c>
      <c r="E117" s="81">
        <v>344.5</v>
      </c>
      <c r="F117" s="41">
        <v>250.19</v>
      </c>
      <c r="G117" s="88">
        <v>350.26</v>
      </c>
      <c r="H117" s="42">
        <v>254.3</v>
      </c>
      <c r="I117" s="94">
        <v>356.02</v>
      </c>
      <c r="J117" s="62">
        <v>258.41000000000003</v>
      </c>
      <c r="K117" s="100">
        <v>361.78</v>
      </c>
      <c r="L117" s="62">
        <v>262.52999999999997</v>
      </c>
      <c r="M117" s="100">
        <v>367.54</v>
      </c>
      <c r="N117" s="68">
        <v>266.64</v>
      </c>
      <c r="O117" s="106">
        <v>373.3</v>
      </c>
      <c r="P117" s="42">
        <v>270.75</v>
      </c>
      <c r="Q117" s="94">
        <v>379.06</v>
      </c>
      <c r="R117" s="42">
        <v>274.87</v>
      </c>
      <c r="S117" s="112">
        <v>384.81</v>
      </c>
      <c r="T117" s="43">
        <v>278.98</v>
      </c>
      <c r="U117" s="45">
        <v>390.57</v>
      </c>
      <c r="V117" s="5">
        <v>283.08999999999997</v>
      </c>
      <c r="W117" s="45">
        <v>396.33</v>
      </c>
      <c r="X117" s="5">
        <v>287.20999999999998</v>
      </c>
      <c r="Y117" s="126">
        <v>402.09</v>
      </c>
      <c r="Z117" s="5">
        <v>291.32</v>
      </c>
      <c r="AA117" s="126">
        <v>407.85</v>
      </c>
      <c r="AB117" s="5">
        <v>295.43</v>
      </c>
      <c r="AC117" s="134">
        <v>413.61</v>
      </c>
      <c r="AD117" s="5">
        <v>299.55</v>
      </c>
      <c r="AE117" s="134">
        <v>419.37</v>
      </c>
      <c r="AF117" s="5">
        <v>303.66000000000003</v>
      </c>
      <c r="AG117" s="134">
        <v>425.12</v>
      </c>
      <c r="AH117" s="144">
        <v>307.77</v>
      </c>
      <c r="AI117" s="134">
        <v>430.88</v>
      </c>
      <c r="AJ117" s="144">
        <v>311.89</v>
      </c>
      <c r="AK117" s="134">
        <v>436.64</v>
      </c>
      <c r="AL117" s="144">
        <v>316</v>
      </c>
      <c r="AM117" s="134">
        <v>442.4</v>
      </c>
      <c r="AN117" s="144">
        <v>320.11</v>
      </c>
      <c r="AO117" s="144">
        <v>448.16</v>
      </c>
      <c r="AP117" s="5">
        <v>324.23</v>
      </c>
      <c r="AQ117" s="121">
        <v>453.92</v>
      </c>
      <c r="AR117" s="5">
        <v>184.56</v>
      </c>
      <c r="AS117" s="5">
        <v>180.45</v>
      </c>
      <c r="AT117" s="5">
        <v>176.33</v>
      </c>
      <c r="AU117" s="5">
        <v>172.22</v>
      </c>
      <c r="AV117" s="37">
        <v>113</v>
      </c>
      <c r="AW117" s="41">
        <v>132.78</v>
      </c>
      <c r="AX117" s="41">
        <v>135.69</v>
      </c>
      <c r="AY117" s="41">
        <v>138.59</v>
      </c>
      <c r="AZ117" s="41">
        <v>141.5</v>
      </c>
      <c r="BA117" s="41">
        <v>144.4</v>
      </c>
      <c r="BB117" s="41">
        <v>147.31</v>
      </c>
      <c r="BC117" s="41">
        <v>150.21</v>
      </c>
      <c r="BD117" s="41">
        <v>153.11000000000001</v>
      </c>
      <c r="BE117" s="42">
        <v>156.02000000000001</v>
      </c>
      <c r="BF117" s="62">
        <v>158.91999999999999</v>
      </c>
      <c r="BG117" s="62">
        <v>161.83000000000001</v>
      </c>
      <c r="BH117" s="68">
        <v>164.73</v>
      </c>
      <c r="BI117" s="42">
        <v>167.63</v>
      </c>
      <c r="BJ117" s="34">
        <v>170.54</v>
      </c>
      <c r="BK117" s="43">
        <v>173.44</v>
      </c>
      <c r="BL117" s="5">
        <v>176.35</v>
      </c>
      <c r="BM117" s="5">
        <v>179.25</v>
      </c>
      <c r="BN117" s="5">
        <v>182.15</v>
      </c>
      <c r="BO117" s="5">
        <v>185.06</v>
      </c>
      <c r="BP117" s="5">
        <v>187.96</v>
      </c>
      <c r="BQ117" s="5">
        <v>190.87</v>
      </c>
      <c r="BR117" s="144">
        <v>193.77</v>
      </c>
      <c r="BS117" s="144">
        <v>196.68</v>
      </c>
      <c r="BT117" s="144">
        <v>199.58</v>
      </c>
      <c r="BU117" s="144">
        <v>202.48</v>
      </c>
      <c r="BV117" s="144">
        <v>205.39</v>
      </c>
      <c r="BW117" s="5">
        <v>118.55</v>
      </c>
      <c r="BX117" s="5">
        <v>115.65</v>
      </c>
      <c r="BY117" s="5">
        <v>112.74</v>
      </c>
      <c r="BZ117" s="5">
        <v>109.84</v>
      </c>
    </row>
    <row r="118" spans="1:78" x14ac:dyDescent="0.45">
      <c r="A118" s="119" t="s">
        <v>575</v>
      </c>
      <c r="B118" s="41">
        <v>244.09</v>
      </c>
      <c r="C118" s="81">
        <v>341.72</v>
      </c>
      <c r="D118" s="41">
        <v>248.24</v>
      </c>
      <c r="E118" s="81">
        <v>347.53</v>
      </c>
      <c r="F118" s="41">
        <v>252.38</v>
      </c>
      <c r="G118" s="88">
        <v>353.34</v>
      </c>
      <c r="H118" s="42">
        <v>256.52999999999997</v>
      </c>
      <c r="I118" s="94">
        <v>359.15</v>
      </c>
      <c r="J118" s="62">
        <v>260.68</v>
      </c>
      <c r="K118" s="100">
        <v>364.96</v>
      </c>
      <c r="L118" s="62">
        <v>264.83</v>
      </c>
      <c r="M118" s="100">
        <v>370.77</v>
      </c>
      <c r="N118" s="68">
        <v>268.98</v>
      </c>
      <c r="O118" s="106">
        <v>376.58</v>
      </c>
      <c r="P118" s="42">
        <v>273.13</v>
      </c>
      <c r="Q118" s="94">
        <v>382.39</v>
      </c>
      <c r="R118" s="42">
        <v>277.27999999999997</v>
      </c>
      <c r="S118" s="112">
        <v>388.2</v>
      </c>
      <c r="T118" s="43">
        <v>281.43</v>
      </c>
      <c r="U118" s="45">
        <v>394</v>
      </c>
      <c r="V118" s="5">
        <v>285.58</v>
      </c>
      <c r="W118" s="45">
        <v>399.81</v>
      </c>
      <c r="X118" s="5">
        <v>289.73</v>
      </c>
      <c r="Y118" s="126">
        <v>405.62</v>
      </c>
      <c r="Z118" s="5">
        <v>293.88</v>
      </c>
      <c r="AA118" s="126">
        <v>411.43</v>
      </c>
      <c r="AB118" s="5">
        <v>298.02999999999997</v>
      </c>
      <c r="AC118" s="134">
        <v>417.24</v>
      </c>
      <c r="AD118" s="5">
        <v>302.18</v>
      </c>
      <c r="AE118" s="134">
        <v>423.05</v>
      </c>
      <c r="AF118" s="5">
        <v>306.33</v>
      </c>
      <c r="AG118" s="134">
        <v>428.86</v>
      </c>
      <c r="AH118" s="144">
        <v>310.48</v>
      </c>
      <c r="AI118" s="134">
        <v>434.67</v>
      </c>
      <c r="AJ118" s="144">
        <v>314.63</v>
      </c>
      <c r="AK118" s="134">
        <v>440.48</v>
      </c>
      <c r="AL118" s="144">
        <v>318.77999999999997</v>
      </c>
      <c r="AM118" s="134">
        <v>446.29</v>
      </c>
      <c r="AN118" s="144">
        <v>322.93</v>
      </c>
      <c r="AO118" s="144">
        <v>452.1</v>
      </c>
      <c r="AP118" s="5">
        <v>327.08</v>
      </c>
      <c r="AQ118" s="121">
        <v>457.91</v>
      </c>
      <c r="AR118" s="5">
        <v>186.18</v>
      </c>
      <c r="AS118" s="5">
        <v>182.03</v>
      </c>
      <c r="AT118" s="5">
        <v>177.88</v>
      </c>
      <c r="AU118" s="5">
        <v>173.73</v>
      </c>
      <c r="AV118" s="37">
        <v>114</v>
      </c>
      <c r="AW118" s="41">
        <v>133.96</v>
      </c>
      <c r="AX118" s="41">
        <v>136.88999999999999</v>
      </c>
      <c r="AY118" s="41">
        <v>139.82</v>
      </c>
      <c r="AZ118" s="41">
        <v>142.75</v>
      </c>
      <c r="BA118" s="41">
        <v>145.68</v>
      </c>
      <c r="BB118" s="41">
        <v>148.61000000000001</v>
      </c>
      <c r="BC118" s="41">
        <v>151.54</v>
      </c>
      <c r="BD118" s="41">
        <v>154.47</v>
      </c>
      <c r="BE118" s="42">
        <v>157.4</v>
      </c>
      <c r="BF118" s="62">
        <v>160.33000000000001</v>
      </c>
      <c r="BG118" s="62">
        <v>163.26</v>
      </c>
      <c r="BH118" s="68">
        <v>166.19</v>
      </c>
      <c r="BI118" s="42">
        <v>169.12</v>
      </c>
      <c r="BJ118" s="34">
        <v>172.05</v>
      </c>
      <c r="BK118" s="43">
        <v>174.98</v>
      </c>
      <c r="BL118" s="5">
        <v>177.91</v>
      </c>
      <c r="BM118" s="5">
        <v>180.83</v>
      </c>
      <c r="BN118" s="5">
        <v>183.76</v>
      </c>
      <c r="BO118" s="5">
        <v>186.69</v>
      </c>
      <c r="BP118" s="5">
        <v>189.62</v>
      </c>
      <c r="BQ118" s="5">
        <v>192.55</v>
      </c>
      <c r="BR118" s="144">
        <v>195.48</v>
      </c>
      <c r="BS118" s="144">
        <v>198.41</v>
      </c>
      <c r="BT118" s="144">
        <v>201.34</v>
      </c>
      <c r="BU118" s="144">
        <v>204.27</v>
      </c>
      <c r="BV118" s="144">
        <v>207.2</v>
      </c>
      <c r="BW118" s="5">
        <v>119.6</v>
      </c>
      <c r="BX118" s="5">
        <v>116.67</v>
      </c>
      <c r="BY118" s="5">
        <v>113.74</v>
      </c>
      <c r="BZ118" s="5">
        <v>110.81</v>
      </c>
    </row>
    <row r="119" spans="1:78" x14ac:dyDescent="0.45">
      <c r="A119" s="119" t="s">
        <v>576</v>
      </c>
      <c r="B119" s="41">
        <v>246.22</v>
      </c>
      <c r="C119" s="81">
        <v>344.7</v>
      </c>
      <c r="D119" s="41">
        <v>250.4</v>
      </c>
      <c r="E119" s="81">
        <v>350.56</v>
      </c>
      <c r="F119" s="41">
        <v>254.59</v>
      </c>
      <c r="G119" s="88">
        <v>356.42</v>
      </c>
      <c r="H119" s="42">
        <v>258.77</v>
      </c>
      <c r="I119" s="94">
        <v>362.28</v>
      </c>
      <c r="J119" s="62">
        <v>262.95999999999998</v>
      </c>
      <c r="K119" s="100">
        <v>368.15</v>
      </c>
      <c r="L119" s="62">
        <v>267.14999999999998</v>
      </c>
      <c r="M119" s="100">
        <v>374.01</v>
      </c>
      <c r="N119" s="68">
        <v>271.33</v>
      </c>
      <c r="O119" s="106">
        <v>379.87</v>
      </c>
      <c r="P119" s="42">
        <v>275.52</v>
      </c>
      <c r="Q119" s="94">
        <v>385.73</v>
      </c>
      <c r="R119" s="42">
        <v>279.7</v>
      </c>
      <c r="S119" s="112">
        <v>391.59</v>
      </c>
      <c r="T119" s="43">
        <v>283.89</v>
      </c>
      <c r="U119" s="45">
        <v>397.45</v>
      </c>
      <c r="V119" s="5">
        <v>288.08</v>
      </c>
      <c r="W119" s="45">
        <v>403.31</v>
      </c>
      <c r="X119" s="5">
        <v>292.26</v>
      </c>
      <c r="Y119" s="126">
        <v>409.16</v>
      </c>
      <c r="Z119" s="5">
        <v>296.45</v>
      </c>
      <c r="AA119" s="126">
        <v>415.03</v>
      </c>
      <c r="AB119" s="5">
        <v>300.63</v>
      </c>
      <c r="AC119" s="134">
        <v>420.89</v>
      </c>
      <c r="AD119" s="5">
        <v>304.82</v>
      </c>
      <c r="AE119" s="134">
        <v>426.75</v>
      </c>
      <c r="AF119" s="5">
        <v>309.01</v>
      </c>
      <c r="AG119" s="134">
        <v>432.61</v>
      </c>
      <c r="AH119" s="144">
        <v>313.19</v>
      </c>
      <c r="AI119" s="134">
        <v>438.47</v>
      </c>
      <c r="AJ119" s="144">
        <v>317.38</v>
      </c>
      <c r="AK119" s="134">
        <v>444.33</v>
      </c>
      <c r="AL119" s="144">
        <v>321.56</v>
      </c>
      <c r="AM119" s="134">
        <v>450.19</v>
      </c>
      <c r="AN119" s="144">
        <v>325.75</v>
      </c>
      <c r="AO119" s="144">
        <v>456.05</v>
      </c>
      <c r="AP119" s="5">
        <v>329.94</v>
      </c>
      <c r="AQ119" s="121">
        <v>461.91</v>
      </c>
      <c r="AR119" s="5">
        <v>187.81</v>
      </c>
      <c r="AS119" s="5">
        <v>183.62</v>
      </c>
      <c r="AT119" s="5">
        <v>179.44</v>
      </c>
      <c r="AU119" s="5">
        <v>175.25</v>
      </c>
      <c r="AV119" s="37">
        <v>115</v>
      </c>
      <c r="AW119" s="41">
        <v>135.13</v>
      </c>
      <c r="AX119" s="41">
        <v>138.09</v>
      </c>
      <c r="AY119" s="41">
        <v>141.04</v>
      </c>
      <c r="AZ119" s="41">
        <v>144</v>
      </c>
      <c r="BA119" s="41">
        <v>146.6</v>
      </c>
      <c r="BB119" s="41">
        <v>149.91</v>
      </c>
      <c r="BC119" s="41">
        <v>152.87</v>
      </c>
      <c r="BD119" s="41">
        <v>155.82</v>
      </c>
      <c r="BE119" s="42">
        <v>158.78</v>
      </c>
      <c r="BF119" s="62">
        <v>161.72999999999999</v>
      </c>
      <c r="BG119" s="62">
        <v>164.69</v>
      </c>
      <c r="BH119" s="68">
        <v>167.64</v>
      </c>
      <c r="BI119" s="42">
        <v>170.6</v>
      </c>
      <c r="BJ119" s="34">
        <v>173.55</v>
      </c>
      <c r="BK119" s="43">
        <v>176.51</v>
      </c>
      <c r="BL119" s="5">
        <v>179.47</v>
      </c>
      <c r="BM119" s="5">
        <v>182.42</v>
      </c>
      <c r="BN119" s="5">
        <v>185.38</v>
      </c>
      <c r="BO119" s="5">
        <v>188.33</v>
      </c>
      <c r="BP119" s="5">
        <v>191.29</v>
      </c>
      <c r="BQ119" s="5">
        <v>194.24</v>
      </c>
      <c r="BR119" s="144">
        <v>197.2</v>
      </c>
      <c r="BS119" s="144">
        <v>200.15</v>
      </c>
      <c r="BT119" s="144">
        <v>203.11</v>
      </c>
      <c r="BU119" s="144">
        <v>206.07</v>
      </c>
      <c r="BV119" s="144">
        <v>209.02</v>
      </c>
      <c r="BW119" s="5">
        <v>120.65</v>
      </c>
      <c r="BX119" s="5">
        <v>117.69</v>
      </c>
      <c r="BY119" s="5">
        <v>114.74</v>
      </c>
      <c r="BZ119" s="5">
        <v>111.78</v>
      </c>
    </row>
    <row r="120" spans="1:78" x14ac:dyDescent="0.45">
      <c r="A120" s="119" t="s">
        <v>577</v>
      </c>
      <c r="B120" s="41">
        <v>248.36</v>
      </c>
      <c r="C120" s="81">
        <v>347.7</v>
      </c>
      <c r="D120" s="41">
        <v>252.58</v>
      </c>
      <c r="E120" s="81">
        <v>353.61</v>
      </c>
      <c r="F120" s="41">
        <v>256.8</v>
      </c>
      <c r="G120" s="88">
        <v>359.52</v>
      </c>
      <c r="H120" s="42">
        <v>261.02</v>
      </c>
      <c r="I120" s="94">
        <v>365.43</v>
      </c>
      <c r="J120" s="62">
        <v>265.25</v>
      </c>
      <c r="K120" s="100">
        <v>371.34</v>
      </c>
      <c r="L120" s="62">
        <v>269.47000000000003</v>
      </c>
      <c r="M120" s="100">
        <v>377.26</v>
      </c>
      <c r="N120" s="68">
        <v>273.69</v>
      </c>
      <c r="O120" s="106">
        <v>383.17</v>
      </c>
      <c r="P120" s="42">
        <v>277.91000000000003</v>
      </c>
      <c r="Q120" s="94">
        <v>389.08</v>
      </c>
      <c r="R120" s="42">
        <v>282.14</v>
      </c>
      <c r="S120" s="112">
        <v>394.99</v>
      </c>
      <c r="T120" s="43">
        <v>286.36</v>
      </c>
      <c r="U120" s="45">
        <v>400.9</v>
      </c>
      <c r="V120" s="5">
        <v>290.58</v>
      </c>
      <c r="W120" s="45">
        <v>406.81</v>
      </c>
      <c r="X120" s="5">
        <v>294.8</v>
      </c>
      <c r="Y120" s="126">
        <v>412.72</v>
      </c>
      <c r="Z120" s="5">
        <v>299.02</v>
      </c>
      <c r="AA120" s="126">
        <v>418.63</v>
      </c>
      <c r="AB120" s="5">
        <v>303.25</v>
      </c>
      <c r="AC120" s="134">
        <v>424.55</v>
      </c>
      <c r="AD120" s="5">
        <v>307.47000000000003</v>
      </c>
      <c r="AE120" s="134">
        <v>430.46</v>
      </c>
      <c r="AF120" s="5">
        <v>311.69</v>
      </c>
      <c r="AG120" s="134">
        <v>436.37</v>
      </c>
      <c r="AH120" s="144">
        <v>315.91000000000003</v>
      </c>
      <c r="AI120" s="134">
        <v>442.28</v>
      </c>
      <c r="AJ120" s="144">
        <v>320.14</v>
      </c>
      <c r="AK120" s="134">
        <v>448.19</v>
      </c>
      <c r="AL120" s="144">
        <v>324.36</v>
      </c>
      <c r="AM120" s="134">
        <v>454.1</v>
      </c>
      <c r="AN120" s="144">
        <v>328.58</v>
      </c>
      <c r="AO120" s="144">
        <v>460.01</v>
      </c>
      <c r="AP120" s="5">
        <v>332.8</v>
      </c>
      <c r="AQ120" s="121">
        <v>465.93</v>
      </c>
      <c r="AR120" s="5">
        <v>189.44</v>
      </c>
      <c r="AS120" s="5">
        <v>185.22</v>
      </c>
      <c r="AT120" s="5">
        <v>181</v>
      </c>
      <c r="AU120" s="5">
        <v>176.77</v>
      </c>
      <c r="AV120" s="37">
        <v>116</v>
      </c>
      <c r="AW120" s="41">
        <v>136.31</v>
      </c>
      <c r="AX120" s="41">
        <v>139.29</v>
      </c>
      <c r="AY120" s="41">
        <v>142.27000000000001</v>
      </c>
      <c r="AZ120" s="41">
        <v>145.25</v>
      </c>
      <c r="BA120" s="41">
        <v>148.24</v>
      </c>
      <c r="BB120" s="41">
        <v>151.22</v>
      </c>
      <c r="BC120" s="41">
        <v>154.19999999999999</v>
      </c>
      <c r="BD120" s="41">
        <v>157.18</v>
      </c>
      <c r="BE120" s="42">
        <v>160.16</v>
      </c>
      <c r="BF120" s="62">
        <v>163.13999999999999</v>
      </c>
      <c r="BG120" s="62">
        <v>166.12</v>
      </c>
      <c r="BH120" s="68">
        <v>169.1</v>
      </c>
      <c r="BI120" s="42">
        <v>172.08</v>
      </c>
      <c r="BJ120" s="34">
        <v>175.07</v>
      </c>
      <c r="BK120" s="43">
        <v>178.05</v>
      </c>
      <c r="BL120" s="5">
        <v>181.03</v>
      </c>
      <c r="BM120" s="5">
        <v>184.01</v>
      </c>
      <c r="BN120" s="5">
        <v>186.99</v>
      </c>
      <c r="BO120" s="5">
        <v>189.97</v>
      </c>
      <c r="BP120" s="5">
        <v>192.95</v>
      </c>
      <c r="BQ120" s="5">
        <v>195.93</v>
      </c>
      <c r="BR120" s="144">
        <v>198.92</v>
      </c>
      <c r="BS120" s="144">
        <v>201.9</v>
      </c>
      <c r="BT120" s="144">
        <v>204.88</v>
      </c>
      <c r="BU120" s="144">
        <v>207.86</v>
      </c>
      <c r="BV120" s="144">
        <v>210.84</v>
      </c>
      <c r="BW120" s="5">
        <v>121.7</v>
      </c>
      <c r="BX120" s="5">
        <v>118.72</v>
      </c>
      <c r="BY120" s="5">
        <v>115.74</v>
      </c>
      <c r="BZ120" s="5">
        <v>112.76</v>
      </c>
    </row>
    <row r="121" spans="1:78" x14ac:dyDescent="0.45">
      <c r="A121" s="119" t="s">
        <v>578</v>
      </c>
      <c r="B121" s="41">
        <v>250.5</v>
      </c>
      <c r="C121" s="81">
        <v>350.7</v>
      </c>
      <c r="D121" s="41">
        <v>254.76</v>
      </c>
      <c r="E121" s="81">
        <v>356.67</v>
      </c>
      <c r="F121" s="41">
        <v>259.02</v>
      </c>
      <c r="G121" s="88">
        <v>362.63</v>
      </c>
      <c r="H121" s="42">
        <v>265.27999999999997</v>
      </c>
      <c r="I121" s="94">
        <v>368.59</v>
      </c>
      <c r="J121" s="62">
        <v>267.54000000000002</v>
      </c>
      <c r="K121" s="100">
        <v>374.55</v>
      </c>
      <c r="L121" s="62">
        <v>271.8</v>
      </c>
      <c r="M121" s="100">
        <v>380.52</v>
      </c>
      <c r="N121" s="68">
        <v>276.06</v>
      </c>
      <c r="O121" s="106">
        <v>386.48</v>
      </c>
      <c r="P121" s="42">
        <v>280.31</v>
      </c>
      <c r="Q121" s="94">
        <v>392.44</v>
      </c>
      <c r="R121" s="42">
        <v>284.57</v>
      </c>
      <c r="S121" s="112">
        <v>398.4</v>
      </c>
      <c r="T121" s="43">
        <v>288.83</v>
      </c>
      <c r="U121" s="45">
        <v>404.37</v>
      </c>
      <c r="V121" s="5">
        <v>293.08999999999997</v>
      </c>
      <c r="W121" s="45">
        <v>410.33</v>
      </c>
      <c r="X121" s="5">
        <v>297.35000000000002</v>
      </c>
      <c r="Y121" s="126">
        <v>416.29</v>
      </c>
      <c r="Z121" s="5">
        <v>301.61</v>
      </c>
      <c r="AA121" s="126">
        <v>422.25</v>
      </c>
      <c r="AB121" s="5">
        <v>305.87</v>
      </c>
      <c r="AC121" s="134">
        <v>428.21</v>
      </c>
      <c r="AD121" s="5">
        <v>310.13</v>
      </c>
      <c r="AE121" s="134">
        <v>434.18</v>
      </c>
      <c r="AF121" s="5">
        <v>314.38</v>
      </c>
      <c r="AG121" s="134">
        <v>440.14</v>
      </c>
      <c r="AH121" s="144">
        <v>318.64</v>
      </c>
      <c r="AI121" s="134">
        <v>446.1</v>
      </c>
      <c r="AJ121" s="144">
        <v>322.89999999999998</v>
      </c>
      <c r="AK121" s="134">
        <v>452.06</v>
      </c>
      <c r="AL121" s="144">
        <v>327.16000000000003</v>
      </c>
      <c r="AM121" s="134">
        <v>458.03</v>
      </c>
      <c r="AN121" s="144">
        <v>331.42</v>
      </c>
      <c r="AO121" s="144">
        <v>463.99</v>
      </c>
      <c r="AP121" s="5">
        <v>335.68</v>
      </c>
      <c r="AQ121" s="121">
        <v>469.95</v>
      </c>
      <c r="AR121" s="5">
        <v>191.08</v>
      </c>
      <c r="AS121" s="5">
        <v>186.82</v>
      </c>
      <c r="AT121" s="5">
        <v>182.56</v>
      </c>
      <c r="AU121" s="5">
        <v>178.3</v>
      </c>
      <c r="AV121" s="37">
        <v>117</v>
      </c>
      <c r="AW121" s="41">
        <v>137.49</v>
      </c>
      <c r="AX121" s="41">
        <v>140.5</v>
      </c>
      <c r="AY121" s="41">
        <v>143.5</v>
      </c>
      <c r="AZ121" s="41">
        <v>146.51</v>
      </c>
      <c r="BA121" s="41">
        <v>149.52000000000001</v>
      </c>
      <c r="BB121" s="41">
        <v>152.52000000000001</v>
      </c>
      <c r="BC121" s="41">
        <v>155.53</v>
      </c>
      <c r="BD121" s="41">
        <v>158.54</v>
      </c>
      <c r="BE121" s="42">
        <v>161.54</v>
      </c>
      <c r="BF121" s="62">
        <v>164.55</v>
      </c>
      <c r="BG121" s="62">
        <v>167.56</v>
      </c>
      <c r="BH121" s="68">
        <v>170.57</v>
      </c>
      <c r="BI121" s="42">
        <v>173.57</v>
      </c>
      <c r="BJ121" s="34">
        <v>176.58</v>
      </c>
      <c r="BK121" s="43">
        <v>179.59</v>
      </c>
      <c r="BL121" s="5">
        <v>182.59</v>
      </c>
      <c r="BM121" s="5">
        <v>185.6</v>
      </c>
      <c r="BN121" s="5">
        <v>188.61</v>
      </c>
      <c r="BO121" s="5">
        <v>191.61</v>
      </c>
      <c r="BP121" s="5">
        <v>194.62</v>
      </c>
      <c r="BQ121" s="5">
        <v>197.63</v>
      </c>
      <c r="BR121" s="144">
        <v>200.63</v>
      </c>
      <c r="BS121" s="144">
        <v>203.64</v>
      </c>
      <c r="BT121" s="144">
        <v>206.65</v>
      </c>
      <c r="BU121" s="144">
        <v>209.66</v>
      </c>
      <c r="BV121" s="144">
        <v>212.66</v>
      </c>
      <c r="BW121" s="5">
        <v>122.75</v>
      </c>
      <c r="BX121" s="5">
        <v>119.74</v>
      </c>
      <c r="BY121" s="5">
        <v>116.74</v>
      </c>
      <c r="BZ121" s="5">
        <v>113.73</v>
      </c>
    </row>
    <row r="122" spans="1:78" x14ac:dyDescent="0.45">
      <c r="A122" s="119" t="s">
        <v>579</v>
      </c>
      <c r="B122" s="41">
        <v>252.66</v>
      </c>
      <c r="C122" s="81">
        <v>353.72</v>
      </c>
      <c r="D122" s="41">
        <v>256.95</v>
      </c>
      <c r="E122" s="81">
        <v>359.73</v>
      </c>
      <c r="F122" s="41">
        <v>261.25</v>
      </c>
      <c r="G122" s="88">
        <v>365.75</v>
      </c>
      <c r="H122" s="42">
        <v>265.54000000000002</v>
      </c>
      <c r="I122" s="94">
        <v>371.76</v>
      </c>
      <c r="J122" s="62">
        <v>269.83999999999997</v>
      </c>
      <c r="K122" s="100">
        <v>377.77</v>
      </c>
      <c r="L122" s="62">
        <v>274.13</v>
      </c>
      <c r="M122" s="100">
        <v>383.79</v>
      </c>
      <c r="N122" s="68">
        <v>278.43</v>
      </c>
      <c r="O122" s="106">
        <v>389.8</v>
      </c>
      <c r="P122" s="42">
        <v>282.72000000000003</v>
      </c>
      <c r="Q122" s="94">
        <v>395.81</v>
      </c>
      <c r="R122" s="42">
        <v>287.02</v>
      </c>
      <c r="S122" s="112">
        <v>401.83</v>
      </c>
      <c r="T122" s="43">
        <v>291.94</v>
      </c>
      <c r="U122" s="45">
        <v>407.84</v>
      </c>
      <c r="V122" s="5">
        <v>295.61</v>
      </c>
      <c r="W122" s="45">
        <v>416.58</v>
      </c>
      <c r="X122" s="5">
        <v>299.91000000000003</v>
      </c>
      <c r="Y122" s="126">
        <v>419.87</v>
      </c>
      <c r="Z122" s="5">
        <v>304.2</v>
      </c>
      <c r="AA122" s="126">
        <v>425.88</v>
      </c>
      <c r="AB122" s="5">
        <v>308.5</v>
      </c>
      <c r="AC122" s="134">
        <v>431.89</v>
      </c>
      <c r="AD122" s="5">
        <v>312.79000000000002</v>
      </c>
      <c r="AE122" s="134">
        <v>437.91</v>
      </c>
      <c r="AF122" s="5">
        <v>317.08999999999997</v>
      </c>
      <c r="AG122" s="134">
        <v>443.92</v>
      </c>
      <c r="AH122" s="144">
        <v>321.38</v>
      </c>
      <c r="AI122" s="134">
        <v>449.93</v>
      </c>
      <c r="AJ122" s="144">
        <v>325.68</v>
      </c>
      <c r="AK122" s="134">
        <v>455.95</v>
      </c>
      <c r="AL122" s="144">
        <v>329.97</v>
      </c>
      <c r="AM122" s="134">
        <v>461.96</v>
      </c>
      <c r="AN122" s="144">
        <v>334.27</v>
      </c>
      <c r="AO122" s="144">
        <v>467.97</v>
      </c>
      <c r="AP122" s="5">
        <v>338.56</v>
      </c>
      <c r="AQ122" s="121">
        <v>473.99</v>
      </c>
      <c r="AR122" s="5">
        <v>192.72</v>
      </c>
      <c r="AS122" s="5">
        <v>188.42</v>
      </c>
      <c r="AT122" s="5">
        <v>184.13</v>
      </c>
      <c r="AU122" s="5">
        <v>179.83</v>
      </c>
      <c r="AV122" s="37">
        <v>118</v>
      </c>
      <c r="AW122" s="41">
        <v>138.66999999999999</v>
      </c>
      <c r="AX122" s="41">
        <v>141.69999999999999</v>
      </c>
      <c r="AY122" s="41">
        <v>144.74</v>
      </c>
      <c r="AZ122" s="41">
        <v>147.77000000000001</v>
      </c>
      <c r="BA122" s="41">
        <v>150.80000000000001</v>
      </c>
      <c r="BB122" s="41">
        <v>153.83000000000001</v>
      </c>
      <c r="BC122" s="41">
        <v>156.87</v>
      </c>
      <c r="BD122" s="41">
        <v>159.9</v>
      </c>
      <c r="BE122" s="42">
        <v>162.93</v>
      </c>
      <c r="BF122" s="62">
        <v>165.56</v>
      </c>
      <c r="BG122" s="62">
        <v>169</v>
      </c>
      <c r="BH122" s="68">
        <v>172.01</v>
      </c>
      <c r="BI122" s="42">
        <v>175.06</v>
      </c>
      <c r="BJ122" s="34">
        <v>178.09</v>
      </c>
      <c r="BK122" s="43">
        <v>181.13</v>
      </c>
      <c r="BL122" s="5">
        <v>184.16</v>
      </c>
      <c r="BM122" s="5">
        <v>187.19</v>
      </c>
      <c r="BN122" s="5">
        <v>190.23</v>
      </c>
      <c r="BO122" s="5">
        <v>193.26</v>
      </c>
      <c r="BP122" s="5">
        <v>196.29</v>
      </c>
      <c r="BQ122" s="5">
        <v>199.22</v>
      </c>
      <c r="BR122" s="144">
        <v>202.36</v>
      </c>
      <c r="BS122" s="144">
        <v>205.39</v>
      </c>
      <c r="BT122" s="144">
        <v>208.42</v>
      </c>
      <c r="BU122" s="144">
        <v>211.45</v>
      </c>
      <c r="BV122" s="144">
        <v>214.49</v>
      </c>
      <c r="BW122" s="5">
        <v>123.8</v>
      </c>
      <c r="BX122" s="5">
        <v>120.77</v>
      </c>
      <c r="BY122" s="5">
        <v>117.74</v>
      </c>
      <c r="BZ122" s="5">
        <v>114.71</v>
      </c>
    </row>
    <row r="123" spans="1:78" x14ac:dyDescent="0.45">
      <c r="A123" s="119" t="s">
        <v>580</v>
      </c>
      <c r="B123" s="41">
        <v>254.82</v>
      </c>
      <c r="C123" s="81">
        <v>356.75</v>
      </c>
      <c r="D123" s="41">
        <v>259.14999999999998</v>
      </c>
      <c r="E123" s="81">
        <v>362.51</v>
      </c>
      <c r="F123" s="41">
        <v>263.48</v>
      </c>
      <c r="G123" s="88">
        <v>368.88</v>
      </c>
      <c r="H123" s="42">
        <v>267.82</v>
      </c>
      <c r="I123" s="94">
        <v>374.94</v>
      </c>
      <c r="J123" s="62">
        <v>272.14999999999998</v>
      </c>
      <c r="K123" s="100">
        <v>381.01</v>
      </c>
      <c r="L123" s="62">
        <v>276.48</v>
      </c>
      <c r="M123" s="100">
        <v>387.07</v>
      </c>
      <c r="N123" s="68">
        <v>280.81</v>
      </c>
      <c r="O123" s="106">
        <v>393.14</v>
      </c>
      <c r="P123" s="42">
        <v>285.14</v>
      </c>
      <c r="Q123" s="94">
        <v>399.2</v>
      </c>
      <c r="R123" s="42">
        <v>289.47000000000003</v>
      </c>
      <c r="S123" s="112">
        <v>405.26</v>
      </c>
      <c r="T123" s="43">
        <v>293.81</v>
      </c>
      <c r="U123" s="45">
        <v>411.33</v>
      </c>
      <c r="V123" s="5">
        <v>298.44</v>
      </c>
      <c r="W123" s="45">
        <v>417.39</v>
      </c>
      <c r="X123" s="5">
        <v>302</v>
      </c>
      <c r="Y123" s="126">
        <v>422.8</v>
      </c>
      <c r="Z123" s="5">
        <v>306.8</v>
      </c>
      <c r="AA123" s="126">
        <v>429.52</v>
      </c>
      <c r="AB123" s="5">
        <v>311.13</v>
      </c>
      <c r="AC123" s="134">
        <v>435.58</v>
      </c>
      <c r="AD123" s="5">
        <v>315.45999999999998</v>
      </c>
      <c r="AE123" s="134">
        <v>441.65</v>
      </c>
      <c r="AF123" s="5">
        <v>319.8</v>
      </c>
      <c r="AG123" s="134">
        <v>447.71</v>
      </c>
      <c r="AH123" s="144">
        <v>324.13</v>
      </c>
      <c r="AI123" s="134">
        <v>453.78</v>
      </c>
      <c r="AJ123" s="144">
        <v>328.46</v>
      </c>
      <c r="AK123" s="134">
        <v>459.84</v>
      </c>
      <c r="AL123" s="144">
        <v>332.79</v>
      </c>
      <c r="AM123" s="134">
        <v>465.91</v>
      </c>
      <c r="AN123" s="144">
        <v>337.12</v>
      </c>
      <c r="AO123" s="144">
        <v>471.97</v>
      </c>
      <c r="AP123" s="5">
        <v>341.45</v>
      </c>
      <c r="AQ123" s="121">
        <v>478.03</v>
      </c>
      <c r="AR123" s="5">
        <v>194.36</v>
      </c>
      <c r="AS123" s="5">
        <v>190.03</v>
      </c>
      <c r="AT123" s="5">
        <v>185.7</v>
      </c>
      <c r="AU123" s="5">
        <v>181.37</v>
      </c>
      <c r="AV123" s="37">
        <v>119</v>
      </c>
      <c r="AW123" s="41">
        <v>139.85</v>
      </c>
      <c r="AX123" s="41">
        <v>142.91</v>
      </c>
      <c r="AY123" s="41">
        <v>145.97</v>
      </c>
      <c r="AZ123" s="41">
        <v>149.03</v>
      </c>
      <c r="BA123" s="41">
        <v>152.09</v>
      </c>
      <c r="BB123" s="41">
        <v>155.13999999999999</v>
      </c>
      <c r="BC123" s="41">
        <v>158.19999999999999</v>
      </c>
      <c r="BD123" s="41">
        <v>161.25</v>
      </c>
      <c r="BE123" s="42">
        <v>164.32</v>
      </c>
      <c r="BF123" s="62">
        <v>167.28</v>
      </c>
      <c r="BG123" s="62">
        <v>170.44</v>
      </c>
      <c r="BH123" s="68">
        <v>173.5</v>
      </c>
      <c r="BI123" s="42">
        <v>176.55</v>
      </c>
      <c r="BJ123" s="34">
        <v>179.61</v>
      </c>
      <c r="BK123" s="43">
        <v>183.17</v>
      </c>
      <c r="BL123" s="5">
        <v>185.23</v>
      </c>
      <c r="BM123" s="5">
        <v>188.79</v>
      </c>
      <c r="BN123" s="5">
        <v>191.83</v>
      </c>
      <c r="BO123" s="5">
        <v>194.4</v>
      </c>
      <c r="BP123" s="5">
        <v>197.96</v>
      </c>
      <c r="BQ123" s="5">
        <v>201</v>
      </c>
      <c r="BR123" s="144">
        <v>204.08</v>
      </c>
      <c r="BS123" s="144">
        <v>207.14</v>
      </c>
      <c r="BT123" s="144">
        <v>210.2</v>
      </c>
      <c r="BU123" s="144">
        <v>213.25</v>
      </c>
      <c r="BV123" s="144">
        <v>216.31</v>
      </c>
      <c r="BW123" s="5">
        <v>124.86</v>
      </c>
      <c r="BX123" s="5">
        <v>121.8</v>
      </c>
      <c r="BY123" s="5">
        <v>118.74</v>
      </c>
      <c r="BZ123" s="5">
        <v>115.68</v>
      </c>
    </row>
    <row r="124" spans="1:78" x14ac:dyDescent="0.45">
      <c r="A124" s="119" t="s">
        <v>581</v>
      </c>
      <c r="B124" s="41">
        <v>256.99</v>
      </c>
      <c r="C124" s="81">
        <v>359.79</v>
      </c>
      <c r="D124" s="41">
        <v>261.36</v>
      </c>
      <c r="E124" s="81">
        <v>365.91</v>
      </c>
      <c r="F124" s="41">
        <v>265.73</v>
      </c>
      <c r="G124" s="88">
        <v>372.02</v>
      </c>
      <c r="H124" s="42">
        <v>270.10000000000002</v>
      </c>
      <c r="I124" s="94">
        <v>378.14</v>
      </c>
      <c r="J124" s="62">
        <v>274.42</v>
      </c>
      <c r="K124" s="100">
        <v>384.25</v>
      </c>
      <c r="L124" s="62">
        <v>278.83</v>
      </c>
      <c r="M124" s="100">
        <v>390.37</v>
      </c>
      <c r="N124" s="68">
        <v>283.2</v>
      </c>
      <c r="O124" s="106">
        <v>396.48</v>
      </c>
      <c r="P124" s="42">
        <v>287.57</v>
      </c>
      <c r="Q124" s="94">
        <v>402.6</v>
      </c>
      <c r="R124" s="42">
        <v>291.94</v>
      </c>
      <c r="S124" s="112">
        <v>408.71</v>
      </c>
      <c r="T124" s="43">
        <v>296.3</v>
      </c>
      <c r="U124" s="45">
        <v>414.83</v>
      </c>
      <c r="V124" s="5">
        <v>300.07</v>
      </c>
      <c r="W124" s="45">
        <v>420.94</v>
      </c>
      <c r="X124" s="5">
        <v>305.04000000000002</v>
      </c>
      <c r="Y124" s="126">
        <v>427.06</v>
      </c>
      <c r="Z124" s="5">
        <v>309.41000000000003</v>
      </c>
      <c r="AA124" s="126">
        <v>433.17</v>
      </c>
      <c r="AB124" s="5">
        <v>313.77999999999997</v>
      </c>
      <c r="AC124" s="134">
        <v>439.29</v>
      </c>
      <c r="AD124" s="5">
        <v>318.14</v>
      </c>
      <c r="AE124" s="134">
        <v>445.4</v>
      </c>
      <c r="AF124" s="5">
        <v>322.51</v>
      </c>
      <c r="AG124" s="134">
        <v>451.52</v>
      </c>
      <c r="AH124" s="144">
        <v>326.88</v>
      </c>
      <c r="AI124" s="134">
        <v>457.63</v>
      </c>
      <c r="AJ124" s="144">
        <v>331.25</v>
      </c>
      <c r="AK124" s="134">
        <v>463.75</v>
      </c>
      <c r="AL124" s="144">
        <v>335.62</v>
      </c>
      <c r="AM124" s="134">
        <v>469.86</v>
      </c>
      <c r="AN124" s="144">
        <v>339.98</v>
      </c>
      <c r="AO124" s="144">
        <v>475.98</v>
      </c>
      <c r="AP124" s="5">
        <v>344.35</v>
      </c>
      <c r="AQ124" s="121">
        <v>482.09</v>
      </c>
      <c r="AR124" s="5">
        <v>196.02</v>
      </c>
      <c r="AS124" s="5">
        <v>191.65</v>
      </c>
      <c r="AT124" s="5">
        <v>187.28</v>
      </c>
      <c r="AU124" s="5">
        <v>182.91</v>
      </c>
      <c r="AV124" s="37">
        <v>120</v>
      </c>
      <c r="AW124" s="41">
        <v>140.97999999999999</v>
      </c>
      <c r="AX124" s="41">
        <v>144.06</v>
      </c>
      <c r="AY124" s="41">
        <v>147.13999999999999</v>
      </c>
      <c r="AZ124" s="41">
        <v>150.22999999999999</v>
      </c>
      <c r="BA124" s="41">
        <v>153.31</v>
      </c>
      <c r="BB124" s="41">
        <v>156.4</v>
      </c>
      <c r="BC124" s="41">
        <v>159.47999999999999</v>
      </c>
      <c r="BD124" s="41">
        <v>162.36000000000001</v>
      </c>
      <c r="BE124" s="42">
        <v>165.63</v>
      </c>
      <c r="BF124" s="62">
        <v>168.73</v>
      </c>
      <c r="BG124" s="62">
        <v>171.82</v>
      </c>
      <c r="BH124" s="68">
        <v>174.9</v>
      </c>
      <c r="BI124" s="42">
        <v>177.98</v>
      </c>
      <c r="BJ124" s="34">
        <v>181.07</v>
      </c>
      <c r="BK124" s="43">
        <v>184.15</v>
      </c>
      <c r="BL124" s="5">
        <v>187.24</v>
      </c>
      <c r="BM124" s="5">
        <v>190.32</v>
      </c>
      <c r="BN124" s="5">
        <v>193.4</v>
      </c>
      <c r="BO124" s="5">
        <v>196.4</v>
      </c>
      <c r="BP124" s="5">
        <v>199.57</v>
      </c>
      <c r="BQ124" s="5">
        <v>202.66</v>
      </c>
      <c r="BR124" s="144">
        <v>205.74</v>
      </c>
      <c r="BS124" s="144">
        <v>208.82</v>
      </c>
      <c r="BT124" s="144">
        <v>211.91</v>
      </c>
      <c r="BU124" s="144">
        <v>214.99</v>
      </c>
      <c r="BV124" s="144">
        <v>218.08</v>
      </c>
      <c r="BW124" s="5">
        <v>125.87</v>
      </c>
      <c r="BX124" s="5">
        <v>122.79</v>
      </c>
      <c r="BY124" s="5">
        <v>119.71</v>
      </c>
      <c r="BZ124" s="5">
        <v>116.62</v>
      </c>
    </row>
    <row r="125" spans="1:78" x14ac:dyDescent="0.45">
      <c r="A125" s="119" t="s">
        <v>582</v>
      </c>
      <c r="B125" s="41">
        <v>258.93</v>
      </c>
      <c r="C125" s="81">
        <v>362.5</v>
      </c>
      <c r="D125" s="41">
        <v>263.33</v>
      </c>
      <c r="E125" s="81">
        <v>368.66</v>
      </c>
      <c r="F125" s="41">
        <v>267.74</v>
      </c>
      <c r="G125" s="88">
        <v>374.83</v>
      </c>
      <c r="H125" s="42">
        <v>272.14</v>
      </c>
      <c r="I125" s="94">
        <v>381</v>
      </c>
      <c r="J125" s="62">
        <v>276.54000000000002</v>
      </c>
      <c r="K125" s="100">
        <v>387.16</v>
      </c>
      <c r="L125" s="62">
        <v>280.95</v>
      </c>
      <c r="M125" s="100">
        <v>393.33</v>
      </c>
      <c r="N125" s="68">
        <v>285.35000000000002</v>
      </c>
      <c r="O125" s="106">
        <v>399.49</v>
      </c>
      <c r="P125" s="42">
        <v>289.76</v>
      </c>
      <c r="Q125" s="94">
        <v>405.66</v>
      </c>
      <c r="R125" s="42">
        <v>294.16000000000003</v>
      </c>
      <c r="S125" s="112">
        <v>411.83</v>
      </c>
      <c r="T125" s="43">
        <v>298.57</v>
      </c>
      <c r="U125" s="45">
        <v>417.99</v>
      </c>
      <c r="V125" s="5">
        <v>302.97000000000003</v>
      </c>
      <c r="W125" s="45">
        <v>424.16</v>
      </c>
      <c r="X125" s="5">
        <v>307.38</v>
      </c>
      <c r="Y125" s="126">
        <v>430.33</v>
      </c>
      <c r="Z125" s="5">
        <v>311.77999999999997</v>
      </c>
      <c r="AA125" s="126">
        <v>436.49</v>
      </c>
      <c r="AB125" s="5">
        <v>316.18</v>
      </c>
      <c r="AC125" s="134">
        <v>442.66</v>
      </c>
      <c r="AD125" s="5">
        <v>320.58999999999997</v>
      </c>
      <c r="AE125" s="134">
        <v>448.82</v>
      </c>
      <c r="AF125" s="5">
        <v>324.99</v>
      </c>
      <c r="AG125" s="134">
        <v>454.99</v>
      </c>
      <c r="AH125" s="144">
        <v>329.4</v>
      </c>
      <c r="AI125" s="134">
        <v>461.16</v>
      </c>
      <c r="AJ125" s="144">
        <v>333.8</v>
      </c>
      <c r="AK125" s="134">
        <v>467.32</v>
      </c>
      <c r="AL125" s="144">
        <v>338.21</v>
      </c>
      <c r="AM125" s="134">
        <v>473.49</v>
      </c>
      <c r="AN125" s="144">
        <v>342.61</v>
      </c>
      <c r="AO125" s="144">
        <v>479.65</v>
      </c>
      <c r="AP125" s="5">
        <v>347.01</v>
      </c>
      <c r="AQ125" s="121">
        <v>485.82</v>
      </c>
      <c r="AR125" s="5">
        <v>197.53</v>
      </c>
      <c r="AS125" s="5">
        <v>193.12</v>
      </c>
      <c r="AT125" s="5">
        <v>188.72</v>
      </c>
      <c r="AU125" s="5">
        <v>184.31</v>
      </c>
      <c r="AV125" s="37">
        <v>121</v>
      </c>
      <c r="AW125" s="41">
        <v>142.16</v>
      </c>
      <c r="AX125" s="41">
        <v>145.27000000000001</v>
      </c>
      <c r="AY125" s="41">
        <v>148.38</v>
      </c>
      <c r="AZ125" s="41">
        <v>151.49</v>
      </c>
      <c r="BA125" s="41">
        <v>154.6</v>
      </c>
      <c r="BB125" s="41">
        <v>157.71</v>
      </c>
      <c r="BC125" s="41">
        <v>160.82</v>
      </c>
      <c r="BD125" s="41">
        <v>163.93</v>
      </c>
      <c r="BE125" s="42">
        <v>167.04</v>
      </c>
      <c r="BF125" s="62">
        <v>170.15</v>
      </c>
      <c r="BG125" s="62">
        <v>173.26</v>
      </c>
      <c r="BH125" s="68">
        <v>176.37</v>
      </c>
      <c r="BI125" s="42">
        <v>179.48</v>
      </c>
      <c r="BJ125" s="34">
        <v>182.59</v>
      </c>
      <c r="BK125" s="43">
        <v>185.7</v>
      </c>
      <c r="BL125" s="5">
        <v>188.81</v>
      </c>
      <c r="BM125" s="5">
        <v>191.92</v>
      </c>
      <c r="BN125" s="5">
        <v>195.03</v>
      </c>
      <c r="BO125" s="5">
        <v>198.14</v>
      </c>
      <c r="BP125" s="5">
        <v>201.25</v>
      </c>
      <c r="BQ125" s="5">
        <v>204.36</v>
      </c>
      <c r="BR125" s="144">
        <v>207.47</v>
      </c>
      <c r="BS125" s="144">
        <v>210.58</v>
      </c>
      <c r="BT125" s="144">
        <v>213.69</v>
      </c>
      <c r="BU125" s="144">
        <v>216.8</v>
      </c>
      <c r="BV125" s="144">
        <v>219.91</v>
      </c>
      <c r="BW125" s="5">
        <v>126.93</v>
      </c>
      <c r="BX125" s="5">
        <v>123.82</v>
      </c>
      <c r="BY125" s="5">
        <v>120.71</v>
      </c>
      <c r="BZ125" s="5">
        <v>117.6</v>
      </c>
    </row>
    <row r="126" spans="1:78" x14ac:dyDescent="0.45">
      <c r="A126" s="119" t="s">
        <v>583</v>
      </c>
      <c r="B126" s="41">
        <v>261.11</v>
      </c>
      <c r="C126" s="81">
        <v>365.56</v>
      </c>
      <c r="D126" s="41">
        <v>265.55</v>
      </c>
      <c r="E126" s="81">
        <v>371.77</v>
      </c>
      <c r="F126" s="41">
        <v>269.99</v>
      </c>
      <c r="G126" s="88">
        <v>377.99</v>
      </c>
      <c r="H126" s="42">
        <v>274.43</v>
      </c>
      <c r="I126" s="94">
        <v>384.21</v>
      </c>
      <c r="J126" s="62">
        <v>278.87</v>
      </c>
      <c r="K126" s="100">
        <v>390.42</v>
      </c>
      <c r="L126" s="62">
        <v>283.32</v>
      </c>
      <c r="M126" s="100">
        <v>396.64</v>
      </c>
      <c r="N126" s="68">
        <v>287.76</v>
      </c>
      <c r="O126" s="106">
        <v>402.86</v>
      </c>
      <c r="P126" s="42">
        <v>292.2</v>
      </c>
      <c r="Q126" s="94">
        <v>409.08</v>
      </c>
      <c r="R126" s="42">
        <v>296.64</v>
      </c>
      <c r="S126" s="112">
        <v>415.29</v>
      </c>
      <c r="T126" s="43">
        <v>301.08</v>
      </c>
      <c r="U126" s="45">
        <v>421.51</v>
      </c>
      <c r="V126" s="5">
        <v>305.52</v>
      </c>
      <c r="W126" s="45">
        <v>427.73</v>
      </c>
      <c r="X126" s="5">
        <v>309.95999999999998</v>
      </c>
      <c r="Y126" s="126">
        <v>433.94</v>
      </c>
      <c r="Z126" s="5">
        <v>314.39999999999998</v>
      </c>
      <c r="AA126" s="126">
        <v>440.16</v>
      </c>
      <c r="AB126" s="5">
        <v>318.83999999999997</v>
      </c>
      <c r="AC126" s="134">
        <v>446.38</v>
      </c>
      <c r="AD126" s="5">
        <v>323.27999999999997</v>
      </c>
      <c r="AE126" s="134">
        <v>452.6</v>
      </c>
      <c r="AF126" s="5">
        <v>327.72</v>
      </c>
      <c r="AG126" s="134">
        <v>458.81</v>
      </c>
      <c r="AH126" s="144">
        <v>332.16</v>
      </c>
      <c r="AI126" s="134">
        <v>465.03</v>
      </c>
      <c r="AJ126" s="144">
        <v>336.61</v>
      </c>
      <c r="AK126" s="134">
        <v>471.25</v>
      </c>
      <c r="AL126" s="144">
        <v>341.05</v>
      </c>
      <c r="AM126" s="134">
        <v>477.46</v>
      </c>
      <c r="AN126" s="144">
        <v>345.49</v>
      </c>
      <c r="AO126" s="144">
        <v>483.68</v>
      </c>
      <c r="AP126" s="5">
        <v>349.93</v>
      </c>
      <c r="AQ126" s="121">
        <v>489.9</v>
      </c>
      <c r="AR126" s="5">
        <v>199.19</v>
      </c>
      <c r="AS126" s="5">
        <v>194.75</v>
      </c>
      <c r="AT126" s="5">
        <v>190.31</v>
      </c>
      <c r="AU126" s="5">
        <v>185.86</v>
      </c>
      <c r="AV126" s="37">
        <v>122</v>
      </c>
      <c r="AW126" s="41">
        <v>143.35</v>
      </c>
      <c r="AX126" s="41">
        <v>146.49</v>
      </c>
      <c r="AY126" s="41">
        <v>149.62</v>
      </c>
      <c r="AZ126" s="41">
        <v>152.76</v>
      </c>
      <c r="BA126" s="41">
        <v>155.88999999999999</v>
      </c>
      <c r="BB126" s="41">
        <v>159.03</v>
      </c>
      <c r="BC126" s="41">
        <v>162.16999999999999</v>
      </c>
      <c r="BD126" s="41">
        <v>165.3</v>
      </c>
      <c r="BE126" s="42">
        <v>168.44</v>
      </c>
      <c r="BF126" s="62">
        <v>171.57</v>
      </c>
      <c r="BG126" s="62">
        <v>174.71</v>
      </c>
      <c r="BH126" s="68">
        <v>177.84</v>
      </c>
      <c r="BI126" s="42">
        <v>180.98</v>
      </c>
      <c r="BJ126" s="34">
        <v>154.11000000000001</v>
      </c>
      <c r="BK126" s="43">
        <v>187.25</v>
      </c>
      <c r="BL126" s="5">
        <v>190.38</v>
      </c>
      <c r="BM126" s="5">
        <v>193.52</v>
      </c>
      <c r="BN126" s="5">
        <v>196.65</v>
      </c>
      <c r="BO126" s="5">
        <v>199.79</v>
      </c>
      <c r="BP126" s="5">
        <v>202.93</v>
      </c>
      <c r="BQ126" s="5">
        <v>206.06</v>
      </c>
      <c r="BR126" s="144">
        <v>209.2</v>
      </c>
      <c r="BS126" s="144">
        <v>212.33</v>
      </c>
      <c r="BT126" s="144">
        <v>215.47</v>
      </c>
      <c r="BU126" s="144">
        <v>218.6</v>
      </c>
      <c r="BV126" s="144">
        <v>221.74</v>
      </c>
      <c r="BW126" s="5">
        <v>127.99</v>
      </c>
      <c r="BX126" s="5">
        <v>124.85</v>
      </c>
      <c r="BY126" s="5">
        <v>121.72</v>
      </c>
      <c r="BZ126" s="5">
        <v>118.58</v>
      </c>
    </row>
    <row r="127" spans="1:78" x14ac:dyDescent="0.45">
      <c r="A127" s="119" t="s">
        <v>584</v>
      </c>
      <c r="B127" s="41">
        <v>263.31</v>
      </c>
      <c r="C127" s="81">
        <v>368.63</v>
      </c>
      <c r="D127" s="41">
        <v>267.77999999999997</v>
      </c>
      <c r="E127" s="81">
        <v>374.9</v>
      </c>
      <c r="F127" s="41">
        <v>272.26</v>
      </c>
      <c r="G127" s="88">
        <v>381.16</v>
      </c>
      <c r="H127" s="42">
        <v>276.74</v>
      </c>
      <c r="I127" s="94">
        <v>387.43</v>
      </c>
      <c r="J127" s="62">
        <v>281.20999999999998</v>
      </c>
      <c r="K127" s="100">
        <v>393.7</v>
      </c>
      <c r="L127" s="62">
        <v>285.69</v>
      </c>
      <c r="M127" s="100">
        <v>399.97</v>
      </c>
      <c r="N127" s="68">
        <v>290.17</v>
      </c>
      <c r="O127" s="106">
        <v>406.24</v>
      </c>
      <c r="P127" s="42">
        <v>294.64999999999998</v>
      </c>
      <c r="Q127" s="94">
        <v>412.5</v>
      </c>
      <c r="R127" s="42">
        <v>299.12</v>
      </c>
      <c r="S127" s="112">
        <v>418.77</v>
      </c>
      <c r="T127" s="43">
        <v>303.60000000000002</v>
      </c>
      <c r="U127" s="45">
        <v>425.04</v>
      </c>
      <c r="V127" s="5">
        <v>308.08</v>
      </c>
      <c r="W127" s="45">
        <v>431.31</v>
      </c>
      <c r="X127" s="5">
        <v>312.55</v>
      </c>
      <c r="Y127" s="126">
        <v>437.57</v>
      </c>
      <c r="Z127" s="5">
        <v>317.02999999999997</v>
      </c>
      <c r="AA127" s="126">
        <v>443.84</v>
      </c>
      <c r="AB127" s="5">
        <v>321.51</v>
      </c>
      <c r="AC127" s="134">
        <v>450.11</v>
      </c>
      <c r="AD127" s="5">
        <v>325.99</v>
      </c>
      <c r="AE127" s="134">
        <v>456.38</v>
      </c>
      <c r="AF127" s="5">
        <v>330.46</v>
      </c>
      <c r="AG127" s="134">
        <v>462.65</v>
      </c>
      <c r="AH127" s="144">
        <v>334.94</v>
      </c>
      <c r="AI127" s="134">
        <v>468.92</v>
      </c>
      <c r="AJ127" s="144">
        <v>339.42</v>
      </c>
      <c r="AK127" s="134">
        <v>475.19</v>
      </c>
      <c r="AL127" s="144">
        <v>343.9</v>
      </c>
      <c r="AM127" s="134">
        <v>481.45</v>
      </c>
      <c r="AN127" s="144">
        <v>348.37</v>
      </c>
      <c r="AO127" s="144">
        <v>487.72</v>
      </c>
      <c r="AP127" s="5">
        <v>352.85</v>
      </c>
      <c r="AQ127" s="121">
        <v>493.99</v>
      </c>
      <c r="AR127" s="5">
        <v>200.85</v>
      </c>
      <c r="AS127" s="5">
        <v>196.37</v>
      </c>
      <c r="AT127" s="5">
        <v>191.9</v>
      </c>
      <c r="AU127" s="5">
        <v>187.42</v>
      </c>
      <c r="AV127" s="37">
        <v>123</v>
      </c>
      <c r="AW127" s="41">
        <v>144.47999999999999</v>
      </c>
      <c r="AX127" s="41">
        <v>147.63999999999999</v>
      </c>
      <c r="AY127" s="41">
        <v>150.80000000000001</v>
      </c>
      <c r="AZ127" s="41">
        <v>153.96</v>
      </c>
      <c r="BA127" s="41">
        <v>157.12</v>
      </c>
      <c r="BB127" s="41">
        <v>160.28</v>
      </c>
      <c r="BC127" s="41">
        <v>163.44</v>
      </c>
      <c r="BD127" s="41">
        <v>166.6</v>
      </c>
      <c r="BE127" s="42">
        <v>169.77</v>
      </c>
      <c r="BF127" s="62">
        <v>172.93</v>
      </c>
      <c r="BG127" s="62">
        <v>176.09</v>
      </c>
      <c r="BH127" s="68">
        <v>179.25</v>
      </c>
      <c r="BI127" s="42">
        <v>182.41</v>
      </c>
      <c r="BJ127" s="34">
        <v>185.57</v>
      </c>
      <c r="BK127" s="43">
        <v>188.73</v>
      </c>
      <c r="BL127" s="5">
        <v>191.89</v>
      </c>
      <c r="BM127" s="5">
        <v>195.05</v>
      </c>
      <c r="BN127" s="5">
        <v>198.22</v>
      </c>
      <c r="BO127" s="5">
        <v>201.38</v>
      </c>
      <c r="BP127" s="5">
        <v>204.54</v>
      </c>
      <c r="BQ127" s="5">
        <v>207.7</v>
      </c>
      <c r="BR127" s="144">
        <v>210.86</v>
      </c>
      <c r="BS127" s="144">
        <v>214.02</v>
      </c>
      <c r="BT127" s="144">
        <v>217.18</v>
      </c>
      <c r="BU127" s="144">
        <v>220.34</v>
      </c>
      <c r="BV127" s="144">
        <v>223.5</v>
      </c>
      <c r="BW127" s="5">
        <v>129.01</v>
      </c>
      <c r="BX127" s="5">
        <v>125.85</v>
      </c>
      <c r="BY127" s="5">
        <v>122.68</v>
      </c>
      <c r="BZ127" s="5">
        <v>119.52</v>
      </c>
    </row>
    <row r="128" spans="1:78" x14ac:dyDescent="0.45">
      <c r="A128" s="119" t="s">
        <v>585</v>
      </c>
      <c r="B128" s="41">
        <v>265.51</v>
      </c>
      <c r="C128" s="81">
        <v>371.71</v>
      </c>
      <c r="D128" s="41">
        <v>270.02</v>
      </c>
      <c r="E128" s="81">
        <v>378.03</v>
      </c>
      <c r="F128" s="41">
        <v>274.54000000000002</v>
      </c>
      <c r="G128" s="88">
        <v>384.35</v>
      </c>
      <c r="H128" s="42">
        <v>279.05</v>
      </c>
      <c r="I128" s="94">
        <v>390.67</v>
      </c>
      <c r="J128" s="62">
        <v>283.56</v>
      </c>
      <c r="K128" s="100">
        <v>396.99</v>
      </c>
      <c r="L128" s="62">
        <v>288.08</v>
      </c>
      <c r="M128" s="100">
        <v>403.31</v>
      </c>
      <c r="N128" s="68">
        <v>292.58999999999997</v>
      </c>
      <c r="O128" s="106">
        <v>409.63</v>
      </c>
      <c r="P128" s="42">
        <v>297.10000000000002</v>
      </c>
      <c r="Q128" s="94">
        <v>415.95</v>
      </c>
      <c r="R128" s="42">
        <v>301.62</v>
      </c>
      <c r="S128" s="112">
        <v>422.27</v>
      </c>
      <c r="T128" s="43">
        <v>306.13</v>
      </c>
      <c r="U128" s="45">
        <v>428.58</v>
      </c>
      <c r="V128" s="5">
        <v>310.64999999999998</v>
      </c>
      <c r="W128" s="45">
        <v>434.9</v>
      </c>
      <c r="X128" s="5">
        <v>315.16000000000003</v>
      </c>
      <c r="Y128" s="126">
        <v>441.22</v>
      </c>
      <c r="Z128" s="5">
        <v>319.67</v>
      </c>
      <c r="AA128" s="126">
        <v>447.54</v>
      </c>
      <c r="AB128" s="5">
        <v>324.19</v>
      </c>
      <c r="AC128" s="134">
        <v>453.86</v>
      </c>
      <c r="AD128" s="5">
        <v>328.7</v>
      </c>
      <c r="AE128" s="134">
        <v>460.18</v>
      </c>
      <c r="AF128" s="5">
        <v>333.21</v>
      </c>
      <c r="AG128" s="134">
        <v>466.5</v>
      </c>
      <c r="AH128" s="144">
        <v>337.73</v>
      </c>
      <c r="AI128" s="134">
        <v>472.82</v>
      </c>
      <c r="AJ128" s="144">
        <v>342.24</v>
      </c>
      <c r="AK128" s="134">
        <v>479.14</v>
      </c>
      <c r="AL128" s="144">
        <v>346.75</v>
      </c>
      <c r="AM128" s="134">
        <v>485.46</v>
      </c>
      <c r="AN128" s="144">
        <v>351.27</v>
      </c>
      <c r="AO128" s="144">
        <v>491.77</v>
      </c>
      <c r="AP128" s="5">
        <v>355.78</v>
      </c>
      <c r="AQ128" s="121">
        <v>498.09</v>
      </c>
      <c r="AR128" s="5">
        <v>202.52</v>
      </c>
      <c r="AS128" s="5">
        <v>198.01</v>
      </c>
      <c r="AT128" s="5">
        <v>193.49</v>
      </c>
      <c r="AU128" s="5">
        <v>188.98</v>
      </c>
      <c r="AV128" s="37">
        <v>124</v>
      </c>
      <c r="AW128" s="41">
        <v>145.66999999999999</v>
      </c>
      <c r="AX128" s="41">
        <v>148.86000000000001</v>
      </c>
      <c r="AY128" s="41">
        <v>152.04</v>
      </c>
      <c r="AZ128" s="41">
        <v>155.22999999999999</v>
      </c>
      <c r="BA128" s="41">
        <v>158.41999999999999</v>
      </c>
      <c r="BB128" s="41">
        <v>161.6</v>
      </c>
      <c r="BC128" s="41">
        <v>164.79</v>
      </c>
      <c r="BD128" s="41">
        <v>167.98</v>
      </c>
      <c r="BE128" s="42">
        <v>171.17</v>
      </c>
      <c r="BF128" s="62">
        <v>174.35</v>
      </c>
      <c r="BG128" s="62">
        <v>177.54</v>
      </c>
      <c r="BH128" s="68">
        <v>180.73</v>
      </c>
      <c r="BI128" s="42">
        <v>183.91</v>
      </c>
      <c r="BJ128" s="34">
        <v>187.1</v>
      </c>
      <c r="BK128" s="43">
        <v>190.29</v>
      </c>
      <c r="BL128" s="5">
        <v>193.47</v>
      </c>
      <c r="BM128" s="5">
        <v>196.66</v>
      </c>
      <c r="BN128" s="5">
        <v>199.85</v>
      </c>
      <c r="BO128" s="5">
        <v>203.03</v>
      </c>
      <c r="BP128" s="5">
        <v>206.22</v>
      </c>
      <c r="BQ128" s="5">
        <v>209.41</v>
      </c>
      <c r="BR128" s="144">
        <v>212.59</v>
      </c>
      <c r="BS128" s="144">
        <v>215.78</v>
      </c>
      <c r="BT128" s="144">
        <v>218.97</v>
      </c>
      <c r="BU128" s="144">
        <v>222.15</v>
      </c>
      <c r="BV128" s="144">
        <v>225.34</v>
      </c>
      <c r="BW128" s="5">
        <v>130.07</v>
      </c>
      <c r="BX128" s="5">
        <v>126.88</v>
      </c>
      <c r="BY128" s="5">
        <v>123.69</v>
      </c>
      <c r="BZ128" s="5">
        <v>120.51</v>
      </c>
    </row>
    <row r="129" spans="1:78" x14ac:dyDescent="0.45">
      <c r="A129" s="119" t="s">
        <v>586</v>
      </c>
      <c r="B129" s="41">
        <v>267.45999999999998</v>
      </c>
      <c r="C129" s="81">
        <v>374.44</v>
      </c>
      <c r="D129" s="41">
        <v>272.01</v>
      </c>
      <c r="E129" s="81">
        <v>380.81</v>
      </c>
      <c r="F129" s="41">
        <v>276.56</v>
      </c>
      <c r="G129" s="88">
        <v>387.18</v>
      </c>
      <c r="H129" s="42">
        <v>281.11</v>
      </c>
      <c r="I129" s="94">
        <v>393.55</v>
      </c>
      <c r="J129" s="62">
        <v>285.66000000000003</v>
      </c>
      <c r="K129" s="100">
        <v>399.92</v>
      </c>
      <c r="L129" s="62">
        <v>290.20999999999998</v>
      </c>
      <c r="M129" s="100">
        <v>406.29</v>
      </c>
      <c r="N129" s="68">
        <v>294.76</v>
      </c>
      <c r="O129" s="106">
        <v>412.66</v>
      </c>
      <c r="P129" s="42">
        <v>299.31</v>
      </c>
      <c r="Q129" s="94">
        <v>419.03</v>
      </c>
      <c r="R129" s="42">
        <v>303.86</v>
      </c>
      <c r="S129" s="112">
        <v>425.4</v>
      </c>
      <c r="T129" s="43">
        <v>308.41000000000003</v>
      </c>
      <c r="U129" s="45">
        <v>431.77</v>
      </c>
      <c r="V129" s="5">
        <v>312.95999999999998</v>
      </c>
      <c r="W129" s="45">
        <v>438.14</v>
      </c>
      <c r="X129" s="5">
        <v>317.51</v>
      </c>
      <c r="Y129" s="126">
        <v>444.51</v>
      </c>
      <c r="Z129" s="5">
        <v>322.06</v>
      </c>
      <c r="AA129" s="126">
        <v>450.88</v>
      </c>
      <c r="AB129" s="5">
        <v>326.61</v>
      </c>
      <c r="AC129" s="134">
        <v>457.25</v>
      </c>
      <c r="AD129" s="5">
        <v>331.16</v>
      </c>
      <c r="AE129" s="134">
        <v>463.62</v>
      </c>
      <c r="AF129" s="5">
        <v>335.71</v>
      </c>
      <c r="AG129" s="134">
        <v>469.99</v>
      </c>
      <c r="AH129" s="144">
        <v>340.26</v>
      </c>
      <c r="AI129" s="134">
        <v>476.36</v>
      </c>
      <c r="AJ129" s="144">
        <v>344.81</v>
      </c>
      <c r="AK129" s="134">
        <v>482.73</v>
      </c>
      <c r="AL129" s="144">
        <v>349.36</v>
      </c>
      <c r="AM129" s="134">
        <v>489.1</v>
      </c>
      <c r="AN129" s="144">
        <v>353.91</v>
      </c>
      <c r="AO129" s="144">
        <v>495.47</v>
      </c>
      <c r="AP129" s="5">
        <v>358.46</v>
      </c>
      <c r="AQ129" s="121">
        <v>501.84</v>
      </c>
      <c r="AR129" s="5">
        <v>204.04</v>
      </c>
      <c r="AS129" s="5">
        <v>199.49</v>
      </c>
      <c r="AT129" s="5">
        <v>194.94</v>
      </c>
      <c r="AU129" s="5">
        <v>190.39</v>
      </c>
      <c r="AV129" s="37">
        <v>125</v>
      </c>
      <c r="AW129" s="41">
        <v>146.87</v>
      </c>
      <c r="AX129" s="41">
        <v>150.08000000000001</v>
      </c>
      <c r="AY129" s="41">
        <v>153.29</v>
      </c>
      <c r="AZ129" s="41">
        <v>156.5</v>
      </c>
      <c r="BA129" s="41">
        <v>159.72</v>
      </c>
      <c r="BB129" s="41">
        <v>162.93</v>
      </c>
      <c r="BC129" s="41">
        <v>166.14</v>
      </c>
      <c r="BD129" s="41">
        <v>169.35</v>
      </c>
      <c r="BE129" s="42">
        <v>172.57</v>
      </c>
      <c r="BF129" s="62">
        <v>175.78</v>
      </c>
      <c r="BG129" s="62">
        <v>178.99</v>
      </c>
      <c r="BH129" s="68">
        <v>182.2</v>
      </c>
      <c r="BI129" s="42">
        <v>185.42</v>
      </c>
      <c r="BJ129" s="34">
        <v>188.63</v>
      </c>
      <c r="BK129" s="43">
        <v>191.84</v>
      </c>
      <c r="BL129" s="5">
        <v>195.05</v>
      </c>
      <c r="BM129" s="5">
        <v>198.27</v>
      </c>
      <c r="BN129" s="5">
        <v>201.48</v>
      </c>
      <c r="BO129" s="5">
        <v>204.69</v>
      </c>
      <c r="BP129" s="5">
        <v>207.9</v>
      </c>
      <c r="BQ129" s="5">
        <v>211.12</v>
      </c>
      <c r="BR129" s="144">
        <v>214.33</v>
      </c>
      <c r="BS129" s="144">
        <v>217.54</v>
      </c>
      <c r="BT129" s="144">
        <v>220.75</v>
      </c>
      <c r="BU129" s="144">
        <v>223.97</v>
      </c>
      <c r="BV129" s="144">
        <v>227.18</v>
      </c>
      <c r="BW129" s="5">
        <v>131.13</v>
      </c>
      <c r="BX129" s="5">
        <v>127.92</v>
      </c>
      <c r="BY129" s="5">
        <v>124.7</v>
      </c>
      <c r="BZ129" s="5">
        <v>121.49</v>
      </c>
    </row>
    <row r="130" spans="1:78" x14ac:dyDescent="0.45">
      <c r="A130" s="119" t="s">
        <v>587</v>
      </c>
      <c r="B130" s="41">
        <v>269.68</v>
      </c>
      <c r="C130" s="81">
        <v>377.5</v>
      </c>
      <c r="D130" s="41">
        <v>274.26</v>
      </c>
      <c r="E130" s="81">
        <v>383.97</v>
      </c>
      <c r="F130" s="41">
        <v>278.85000000000002</v>
      </c>
      <c r="G130" s="88">
        <v>390.39</v>
      </c>
      <c r="H130" s="42">
        <v>283.44</v>
      </c>
      <c r="I130" s="94">
        <v>396.81</v>
      </c>
      <c r="J130" s="62">
        <v>288.02</v>
      </c>
      <c r="K130" s="100">
        <v>403.23</v>
      </c>
      <c r="L130" s="62">
        <v>292.61</v>
      </c>
      <c r="M130" s="100">
        <v>409.65</v>
      </c>
      <c r="N130" s="68">
        <v>297.2</v>
      </c>
      <c r="O130" s="106">
        <v>416.07</v>
      </c>
      <c r="P130" s="42">
        <v>301.77999999999997</v>
      </c>
      <c r="Q130" s="94">
        <v>422.49</v>
      </c>
      <c r="R130" s="42">
        <v>306.37</v>
      </c>
      <c r="S130" s="112">
        <v>428.92</v>
      </c>
      <c r="T130" s="43">
        <v>310.95</v>
      </c>
      <c r="U130" s="45">
        <v>435.34</v>
      </c>
      <c r="V130" s="5">
        <v>315.54000000000002</v>
      </c>
      <c r="W130" s="45">
        <v>441.76</v>
      </c>
      <c r="X130" s="5">
        <v>320.13</v>
      </c>
      <c r="Y130" s="126">
        <v>448.18</v>
      </c>
      <c r="Z130" s="5">
        <v>324.70999999999998</v>
      </c>
      <c r="AA130" s="126">
        <v>454.59</v>
      </c>
      <c r="AB130" s="5">
        <v>329.3</v>
      </c>
      <c r="AC130" s="134">
        <v>461.02</v>
      </c>
      <c r="AD130" s="5">
        <v>333.89</v>
      </c>
      <c r="AE130" s="134">
        <v>467.44</v>
      </c>
      <c r="AF130" s="5">
        <v>338.47</v>
      </c>
      <c r="AG130" s="134">
        <v>473.86</v>
      </c>
      <c r="AH130" s="144">
        <v>343.06</v>
      </c>
      <c r="AI130" s="134">
        <v>480.28</v>
      </c>
      <c r="AJ130" s="144">
        <v>347.65</v>
      </c>
      <c r="AK130" s="134">
        <v>486.7</v>
      </c>
      <c r="AL130" s="144">
        <v>352.23</v>
      </c>
      <c r="AM130" s="134">
        <v>493.13</v>
      </c>
      <c r="AN130" s="144">
        <v>356.82</v>
      </c>
      <c r="AO130" s="144">
        <v>499.55</v>
      </c>
      <c r="AP130" s="5">
        <v>361.4</v>
      </c>
      <c r="AQ130" s="121">
        <v>505.96999999999997</v>
      </c>
      <c r="AR130" s="5">
        <v>205.72</v>
      </c>
      <c r="AS130" s="5">
        <v>201.13</v>
      </c>
      <c r="AT130" s="5">
        <v>196.55</v>
      </c>
      <c r="AU130" s="5">
        <v>191.96</v>
      </c>
      <c r="AV130" s="37">
        <v>126</v>
      </c>
      <c r="AW130" s="41">
        <v>147.99</v>
      </c>
      <c r="AX130" s="41">
        <v>151.22999999999999</v>
      </c>
      <c r="AY130" s="41">
        <v>154.47</v>
      </c>
      <c r="AZ130" s="41">
        <v>157.71</v>
      </c>
      <c r="BA130" s="41">
        <v>160.94999999999999</v>
      </c>
      <c r="BB130" s="41">
        <v>164.19</v>
      </c>
      <c r="BC130" s="41">
        <v>167.42</v>
      </c>
      <c r="BD130" s="41">
        <v>170.66</v>
      </c>
      <c r="BE130" s="42">
        <v>173.9</v>
      </c>
      <c r="BF130" s="62">
        <v>177.14</v>
      </c>
      <c r="BG130" s="62">
        <v>180.38</v>
      </c>
      <c r="BH130" s="68">
        <v>183.61</v>
      </c>
      <c r="BI130" s="42">
        <v>186.85</v>
      </c>
      <c r="BJ130" s="34">
        <v>190.09</v>
      </c>
      <c r="BK130" s="43">
        <v>193.33</v>
      </c>
      <c r="BL130" s="5">
        <v>196.57</v>
      </c>
      <c r="BM130" s="5">
        <v>199.81</v>
      </c>
      <c r="BN130" s="5">
        <v>203.04</v>
      </c>
      <c r="BO130" s="5">
        <v>206.28</v>
      </c>
      <c r="BP130" s="5">
        <v>209.52</v>
      </c>
      <c r="BQ130" s="5">
        <v>212.76</v>
      </c>
      <c r="BR130" s="144">
        <v>216</v>
      </c>
      <c r="BS130" s="144">
        <v>219.23</v>
      </c>
      <c r="BT130" s="144">
        <v>222.47</v>
      </c>
      <c r="BU130" s="144">
        <v>225.71</v>
      </c>
      <c r="BV130" s="144">
        <v>228.95</v>
      </c>
      <c r="BW130" s="5">
        <v>132.15</v>
      </c>
      <c r="BX130" s="5">
        <v>128.91</v>
      </c>
      <c r="BY130" s="5">
        <v>125.67</v>
      </c>
      <c r="BZ130" s="5">
        <v>122.43</v>
      </c>
    </row>
    <row r="131" spans="1:78" x14ac:dyDescent="0.45">
      <c r="A131" s="119" t="s">
        <v>588</v>
      </c>
      <c r="B131" s="41">
        <v>271.89999999999998</v>
      </c>
      <c r="C131" s="81">
        <v>380.67</v>
      </c>
      <c r="D131" s="41">
        <v>276.52999999999997</v>
      </c>
      <c r="E131" s="81">
        <v>387.14</v>
      </c>
      <c r="F131" s="41">
        <v>281.14999999999998</v>
      </c>
      <c r="G131" s="88">
        <v>393.61</v>
      </c>
      <c r="H131" s="42">
        <v>285.77</v>
      </c>
      <c r="I131" s="94">
        <v>400.08</v>
      </c>
      <c r="J131" s="62">
        <v>290.39999999999998</v>
      </c>
      <c r="K131" s="100">
        <v>406.55</v>
      </c>
      <c r="L131" s="62">
        <v>295.02</v>
      </c>
      <c r="M131" s="100">
        <v>413.03</v>
      </c>
      <c r="N131" s="68">
        <v>299.64</v>
      </c>
      <c r="O131" s="106">
        <v>419.5</v>
      </c>
      <c r="P131" s="42">
        <v>304.26</v>
      </c>
      <c r="Q131" s="94">
        <v>425.97</v>
      </c>
      <c r="R131" s="42">
        <v>308.89</v>
      </c>
      <c r="S131" s="112">
        <v>432.44</v>
      </c>
      <c r="T131" s="43">
        <v>313.51</v>
      </c>
      <c r="U131" s="45">
        <v>438.91</v>
      </c>
      <c r="V131" s="5">
        <v>318.13</v>
      </c>
      <c r="W131" s="45">
        <v>445.39</v>
      </c>
      <c r="X131" s="5">
        <v>322.76</v>
      </c>
      <c r="Y131" s="126">
        <v>451.86</v>
      </c>
      <c r="Z131" s="5">
        <v>327.38</v>
      </c>
      <c r="AA131" s="126">
        <v>458.33</v>
      </c>
      <c r="AB131" s="5">
        <v>332</v>
      </c>
      <c r="AC131" s="134">
        <v>464.8</v>
      </c>
      <c r="AD131" s="5">
        <v>336.62</v>
      </c>
      <c r="AE131" s="134">
        <v>471.27</v>
      </c>
      <c r="AF131" s="5">
        <v>341.25</v>
      </c>
      <c r="AG131" s="134">
        <v>477.75</v>
      </c>
      <c r="AH131" s="144">
        <v>345.87</v>
      </c>
      <c r="AI131" s="134">
        <v>484.22</v>
      </c>
      <c r="AJ131" s="144">
        <v>350.49</v>
      </c>
      <c r="AK131" s="134">
        <v>490.69</v>
      </c>
      <c r="AL131" s="144">
        <v>355.12</v>
      </c>
      <c r="AM131" s="134">
        <v>497.16</v>
      </c>
      <c r="AN131" s="144">
        <v>359.74</v>
      </c>
      <c r="AO131" s="144">
        <v>503.63</v>
      </c>
      <c r="AP131" s="5">
        <v>364.36</v>
      </c>
      <c r="AQ131" s="121">
        <v>510.11</v>
      </c>
      <c r="AR131" s="5">
        <v>207.4</v>
      </c>
      <c r="AS131" s="5">
        <v>202.78</v>
      </c>
      <c r="AT131" s="5">
        <v>198.16</v>
      </c>
      <c r="AU131" s="5">
        <v>193.54</v>
      </c>
      <c r="AV131" s="37">
        <v>127</v>
      </c>
      <c r="AW131" s="41">
        <v>149.19</v>
      </c>
      <c r="AX131" s="41">
        <v>152.46</v>
      </c>
      <c r="AY131" s="41">
        <v>155.72</v>
      </c>
      <c r="AZ131" s="41">
        <v>158.99</v>
      </c>
      <c r="BA131" s="41">
        <v>162.25</v>
      </c>
      <c r="BB131" s="41">
        <v>165.51</v>
      </c>
      <c r="BC131" s="41">
        <v>168.78</v>
      </c>
      <c r="BD131" s="41">
        <v>172.04</v>
      </c>
      <c r="BE131" s="42">
        <v>175.31</v>
      </c>
      <c r="BF131" s="62">
        <v>178.57</v>
      </c>
      <c r="BG131" s="62">
        <v>181.83</v>
      </c>
      <c r="BH131" s="68">
        <v>185.1</v>
      </c>
      <c r="BI131" s="42">
        <v>188.36</v>
      </c>
      <c r="BJ131" s="34">
        <v>191.63</v>
      </c>
      <c r="BK131" s="43">
        <v>194.89</v>
      </c>
      <c r="BL131" s="5">
        <v>198.15</v>
      </c>
      <c r="BM131" s="5">
        <v>201.42</v>
      </c>
      <c r="BN131" s="5">
        <v>204.68</v>
      </c>
      <c r="BO131" s="5">
        <v>207.94</v>
      </c>
      <c r="BP131" s="5">
        <v>211.21</v>
      </c>
      <c r="BQ131" s="5">
        <v>214.47</v>
      </c>
      <c r="BR131" s="144">
        <v>217.74</v>
      </c>
      <c r="BS131" s="144">
        <v>221</v>
      </c>
      <c r="BT131" s="144">
        <v>224.26</v>
      </c>
      <c r="BU131" s="144">
        <v>227.53</v>
      </c>
      <c r="BV131" s="144">
        <v>230.79</v>
      </c>
      <c r="BW131" s="5">
        <v>133.21</v>
      </c>
      <c r="BX131" s="5">
        <v>129.94999999999999</v>
      </c>
      <c r="BY131" s="5">
        <v>126.69</v>
      </c>
      <c r="BZ131" s="5">
        <v>123.42</v>
      </c>
    </row>
    <row r="132" spans="1:78" x14ac:dyDescent="0.45">
      <c r="A132" s="119" t="s">
        <v>589</v>
      </c>
      <c r="B132" s="41">
        <v>273.87</v>
      </c>
      <c r="C132" s="81">
        <v>383.41</v>
      </c>
      <c r="D132" s="41">
        <v>278.52999999999997</v>
      </c>
      <c r="E132" s="81">
        <v>389.94</v>
      </c>
      <c r="F132" s="41">
        <v>283.19</v>
      </c>
      <c r="G132" s="88">
        <v>396.46</v>
      </c>
      <c r="H132" s="42">
        <v>287.83999999999997</v>
      </c>
      <c r="I132" s="94">
        <v>402.98</v>
      </c>
      <c r="J132" s="62">
        <v>292.5</v>
      </c>
      <c r="K132" s="100">
        <v>409.51</v>
      </c>
      <c r="L132" s="62">
        <v>297.16000000000003</v>
      </c>
      <c r="M132" s="100">
        <v>416.03</v>
      </c>
      <c r="N132" s="68">
        <v>301.82</v>
      </c>
      <c r="O132" s="106">
        <v>422.55</v>
      </c>
      <c r="P132" s="42">
        <v>306.48</v>
      </c>
      <c r="Q132" s="94">
        <v>429.07</v>
      </c>
      <c r="R132" s="42">
        <v>311.14</v>
      </c>
      <c r="S132" s="112">
        <v>435.6</v>
      </c>
      <c r="T132" s="43">
        <v>315.8</v>
      </c>
      <c r="U132" s="45">
        <v>442.12</v>
      </c>
      <c r="V132" s="5">
        <v>320.45999999999998</v>
      </c>
      <c r="W132" s="45">
        <v>448.64</v>
      </c>
      <c r="X132" s="5">
        <v>325.12</v>
      </c>
      <c r="Y132" s="126">
        <v>455.17</v>
      </c>
      <c r="Z132" s="5">
        <v>329.78</v>
      </c>
      <c r="AA132" s="126">
        <v>461.69</v>
      </c>
      <c r="AB132" s="5">
        <v>334.44</v>
      </c>
      <c r="AC132" s="134">
        <v>468.21</v>
      </c>
      <c r="AD132" s="5">
        <v>339.1</v>
      </c>
      <c r="AE132" s="134">
        <v>474.73</v>
      </c>
      <c r="AF132" s="5">
        <v>343.76</v>
      </c>
      <c r="AG132" s="134">
        <v>481.26</v>
      </c>
      <c r="AH132" s="144">
        <v>348.41</v>
      </c>
      <c r="AI132" s="134">
        <v>487.78</v>
      </c>
      <c r="AJ132" s="144">
        <v>353.07</v>
      </c>
      <c r="AK132" s="134">
        <v>494.3</v>
      </c>
      <c r="AL132" s="144">
        <v>357.73</v>
      </c>
      <c r="AM132" s="134">
        <v>500.83</v>
      </c>
      <c r="AN132" s="144">
        <v>362.39</v>
      </c>
      <c r="AO132" s="144">
        <v>507.35</v>
      </c>
      <c r="AP132" s="5">
        <v>367.05</v>
      </c>
      <c r="AQ132" s="121">
        <v>513.87</v>
      </c>
      <c r="AR132" s="5">
        <v>208.93</v>
      </c>
      <c r="AS132" s="5">
        <v>204.27</v>
      </c>
      <c r="AT132" s="5">
        <v>199.61</v>
      </c>
      <c r="AU132" s="5">
        <v>196.54</v>
      </c>
      <c r="AV132" s="37">
        <v>128</v>
      </c>
      <c r="AW132" s="41">
        <v>150.4</v>
      </c>
      <c r="AX132" s="41">
        <v>153.69</v>
      </c>
      <c r="AY132" s="41">
        <v>156.97999999999999</v>
      </c>
      <c r="AZ132" s="41">
        <v>160.27000000000001</v>
      </c>
      <c r="BA132" s="41">
        <v>163.56</v>
      </c>
      <c r="BB132" s="41">
        <v>166.85</v>
      </c>
      <c r="BC132" s="41">
        <v>170.13</v>
      </c>
      <c r="BD132" s="41">
        <v>173.42</v>
      </c>
      <c r="BE132" s="42">
        <v>176.71</v>
      </c>
      <c r="BF132" s="62">
        <v>180</v>
      </c>
      <c r="BG132" s="62">
        <v>183.29</v>
      </c>
      <c r="BH132" s="68">
        <v>186.58</v>
      </c>
      <c r="BI132" s="42">
        <v>189.87</v>
      </c>
      <c r="BJ132" s="34">
        <v>193.16</v>
      </c>
      <c r="BK132" s="43">
        <v>196.45</v>
      </c>
      <c r="BL132" s="5">
        <v>199.74</v>
      </c>
      <c r="BM132" s="5">
        <v>203.03</v>
      </c>
      <c r="BN132" s="5">
        <v>206.32</v>
      </c>
      <c r="BO132" s="5">
        <v>209.61</v>
      </c>
      <c r="BP132" s="5">
        <v>212.9</v>
      </c>
      <c r="BQ132" s="5">
        <v>216.19</v>
      </c>
      <c r="BR132" s="144">
        <v>219.48</v>
      </c>
      <c r="BS132" s="144">
        <v>222.77</v>
      </c>
      <c r="BT132" s="144">
        <v>226.06</v>
      </c>
      <c r="BU132" s="144">
        <v>229.35</v>
      </c>
      <c r="BV132" s="144">
        <v>232.64</v>
      </c>
      <c r="BW132" s="5">
        <v>134.28</v>
      </c>
      <c r="BX132" s="5">
        <v>130.99</v>
      </c>
      <c r="BY132" s="5">
        <v>127.7</v>
      </c>
      <c r="BZ132" s="5">
        <v>124.41</v>
      </c>
    </row>
    <row r="133" spans="1:78" x14ac:dyDescent="0.45">
      <c r="A133" s="119" t="s">
        <v>590</v>
      </c>
      <c r="B133" s="41">
        <v>276.11</v>
      </c>
      <c r="C133" s="81">
        <v>356.56</v>
      </c>
      <c r="D133" s="41">
        <v>280.81</v>
      </c>
      <c r="E133" s="81">
        <v>393.13</v>
      </c>
      <c r="F133" s="41">
        <v>285.5</v>
      </c>
      <c r="G133" s="88">
        <v>399.7</v>
      </c>
      <c r="H133" s="42">
        <v>290.2</v>
      </c>
      <c r="I133" s="94">
        <v>406.28</v>
      </c>
      <c r="J133" s="62">
        <v>294.89</v>
      </c>
      <c r="K133" s="100">
        <v>412.85</v>
      </c>
      <c r="L133" s="62">
        <v>299.58999999999997</v>
      </c>
      <c r="M133" s="100">
        <v>419.42</v>
      </c>
      <c r="N133" s="68">
        <v>304.82</v>
      </c>
      <c r="O133" s="106">
        <v>426</v>
      </c>
      <c r="P133" s="42">
        <v>308.98</v>
      </c>
      <c r="Q133" s="94">
        <v>432.57</v>
      </c>
      <c r="R133" s="42">
        <v>313.68</v>
      </c>
      <c r="S133" s="112">
        <v>439.15</v>
      </c>
      <c r="T133" s="43">
        <v>318.37</v>
      </c>
      <c r="U133" s="45">
        <v>445.72</v>
      </c>
      <c r="V133" s="5">
        <v>323.07</v>
      </c>
      <c r="W133" s="45">
        <v>452.29</v>
      </c>
      <c r="X133" s="5">
        <v>327.76</v>
      </c>
      <c r="Y133" s="126">
        <v>458.86</v>
      </c>
      <c r="Z133" s="5">
        <v>332.46</v>
      </c>
      <c r="AA133" s="126">
        <v>465.44</v>
      </c>
      <c r="AB133" s="5">
        <v>337.15</v>
      </c>
      <c r="AC133" s="134">
        <v>472.02</v>
      </c>
      <c r="AD133" s="5">
        <v>341.85</v>
      </c>
      <c r="AE133" s="134">
        <v>478.59</v>
      </c>
      <c r="AF133" s="5">
        <v>346.54</v>
      </c>
      <c r="AG133" s="134">
        <v>485.16</v>
      </c>
      <c r="AH133" s="144">
        <v>351.24</v>
      </c>
      <c r="AI133" s="134">
        <v>491.74</v>
      </c>
      <c r="AJ133" s="144">
        <v>355.94</v>
      </c>
      <c r="AK133" s="134">
        <v>498.31</v>
      </c>
      <c r="AL133" s="144">
        <v>360.63</v>
      </c>
      <c r="AM133" s="134">
        <v>504.88</v>
      </c>
      <c r="AN133" s="144">
        <v>365.33</v>
      </c>
      <c r="AO133" s="144">
        <v>511.46</v>
      </c>
      <c r="AP133" s="5">
        <v>370.02</v>
      </c>
      <c r="AQ133" s="121">
        <v>518.03</v>
      </c>
      <c r="AR133" s="5">
        <v>210.63</v>
      </c>
      <c r="AS133" s="5">
        <v>205.93</v>
      </c>
      <c r="AT133" s="5">
        <v>201.23</v>
      </c>
      <c r="AU133" s="5">
        <v>198.13</v>
      </c>
      <c r="AV133" s="37">
        <v>129</v>
      </c>
      <c r="AW133" s="41">
        <v>150.53</v>
      </c>
      <c r="AX133" s="41">
        <v>154.84</v>
      </c>
      <c r="AY133" s="41">
        <v>158.16</v>
      </c>
      <c r="AZ133" s="41">
        <v>161.47</v>
      </c>
      <c r="BA133" s="41">
        <v>164.79</v>
      </c>
      <c r="BB133" s="41">
        <v>168.1</v>
      </c>
      <c r="BC133" s="41">
        <v>171.42</v>
      </c>
      <c r="BD133" s="41">
        <v>174.74</v>
      </c>
      <c r="BE133" s="42">
        <v>178.05</v>
      </c>
      <c r="BF133" s="62">
        <v>181.37</v>
      </c>
      <c r="BG133" s="62">
        <v>184.68</v>
      </c>
      <c r="BH133" s="68">
        <v>188</v>
      </c>
      <c r="BI133" s="42">
        <v>191.31</v>
      </c>
      <c r="BJ133" s="34">
        <v>194.63</v>
      </c>
      <c r="BK133" s="43">
        <v>197.94</v>
      </c>
      <c r="BL133" s="5">
        <v>201.26</v>
      </c>
      <c r="BM133" s="5">
        <v>204.57</v>
      </c>
      <c r="BN133" s="5">
        <v>207.89</v>
      </c>
      <c r="BO133" s="5">
        <v>211.2</v>
      </c>
      <c r="BP133" s="5">
        <v>214.52</v>
      </c>
      <c r="BQ133" s="5">
        <v>217.83</v>
      </c>
      <c r="BR133" s="144">
        <v>221.15</v>
      </c>
      <c r="BS133" s="144">
        <v>224.46</v>
      </c>
      <c r="BT133" s="144">
        <v>227.78</v>
      </c>
      <c r="BU133" s="144">
        <v>231.1</v>
      </c>
      <c r="BV133" s="144">
        <v>234.41</v>
      </c>
      <c r="BW133" s="5">
        <v>135.30000000000001</v>
      </c>
      <c r="BX133" s="5">
        <v>131.99</v>
      </c>
      <c r="BY133" s="5">
        <v>128.66999999999999</v>
      </c>
      <c r="BZ133" s="5">
        <v>125.36</v>
      </c>
    </row>
    <row r="134" spans="1:78" x14ac:dyDescent="0.45">
      <c r="A134" s="119" t="s">
        <v>591</v>
      </c>
      <c r="B134" s="41">
        <v>278.37</v>
      </c>
      <c r="C134" s="81">
        <v>389.71</v>
      </c>
      <c r="D134" s="41">
        <v>283.10000000000002</v>
      </c>
      <c r="E134" s="81">
        <v>396.34</v>
      </c>
      <c r="F134" s="41">
        <v>287.83</v>
      </c>
      <c r="G134" s="88">
        <v>402.96</v>
      </c>
      <c r="H134" s="42">
        <v>292.56</v>
      </c>
      <c r="I134" s="94">
        <v>409.59</v>
      </c>
      <c r="J134" s="62">
        <v>297.29000000000002</v>
      </c>
      <c r="K134" s="100">
        <v>416.21</v>
      </c>
      <c r="L134" s="62">
        <v>302.02999999999997</v>
      </c>
      <c r="M134" s="100">
        <v>422.84</v>
      </c>
      <c r="N134" s="68">
        <v>306.76</v>
      </c>
      <c r="O134" s="106">
        <v>429.46</v>
      </c>
      <c r="P134" s="42">
        <v>311.49</v>
      </c>
      <c r="Q134" s="94">
        <v>436.08</v>
      </c>
      <c r="R134" s="42">
        <v>316.22000000000003</v>
      </c>
      <c r="S134" s="112">
        <v>442.71</v>
      </c>
      <c r="T134" s="43">
        <v>320.95</v>
      </c>
      <c r="U134" s="45">
        <v>449.33</v>
      </c>
      <c r="V134" s="5">
        <v>325.69</v>
      </c>
      <c r="W134" s="45">
        <v>455.96</v>
      </c>
      <c r="X134" s="5">
        <v>330.42</v>
      </c>
      <c r="Y134" s="126">
        <v>462.59</v>
      </c>
      <c r="Z134" s="5">
        <v>335.15</v>
      </c>
      <c r="AA134" s="126">
        <v>469.21</v>
      </c>
      <c r="AB134" s="5">
        <v>339.88</v>
      </c>
      <c r="AC134" s="134">
        <v>475.83</v>
      </c>
      <c r="AD134" s="5">
        <v>344.61</v>
      </c>
      <c r="AE134" s="134">
        <v>482.46</v>
      </c>
      <c r="AF134" s="5">
        <v>349.35</v>
      </c>
      <c r="AG134" s="134">
        <v>489.08</v>
      </c>
      <c r="AH134" s="144">
        <v>354.08</v>
      </c>
      <c r="AI134" s="134">
        <v>495.71</v>
      </c>
      <c r="AJ134" s="144">
        <v>358.81</v>
      </c>
      <c r="AK134" s="134">
        <v>502.33</v>
      </c>
      <c r="AL134" s="144">
        <v>363.54</v>
      </c>
      <c r="AM134" s="134">
        <v>508.96</v>
      </c>
      <c r="AN134" s="144">
        <v>368.27</v>
      </c>
      <c r="AO134" s="144">
        <v>515.58000000000004</v>
      </c>
      <c r="AP134" s="5">
        <v>373.01</v>
      </c>
      <c r="AQ134" s="121">
        <v>522.21</v>
      </c>
      <c r="AR134" s="5">
        <v>212.32</v>
      </c>
      <c r="AS134" s="5">
        <v>207.59</v>
      </c>
      <c r="AT134" s="5">
        <v>202.86</v>
      </c>
      <c r="AU134" s="5">
        <v>199.56</v>
      </c>
      <c r="AV134" s="37">
        <v>130</v>
      </c>
      <c r="AW134" s="41">
        <v>152.74</v>
      </c>
      <c r="AX134" s="41">
        <v>156.08000000000001</v>
      </c>
      <c r="AY134" s="41">
        <v>159.41999999999999</v>
      </c>
      <c r="AZ134" s="41">
        <v>162.76</v>
      </c>
      <c r="BA134" s="41">
        <v>166.1</v>
      </c>
      <c r="BB134" s="41">
        <v>169.44</v>
      </c>
      <c r="BC134" s="41">
        <v>172.78</v>
      </c>
      <c r="BD134" s="41">
        <v>176.12</v>
      </c>
      <c r="BE134" s="42">
        <v>179.46</v>
      </c>
      <c r="BF134" s="62">
        <v>182.8</v>
      </c>
      <c r="BG134" s="62">
        <v>186.15</v>
      </c>
      <c r="BH134" s="68">
        <v>189.49</v>
      </c>
      <c r="BI134" s="42">
        <v>192.83</v>
      </c>
      <c r="BJ134" s="34">
        <v>196.17</v>
      </c>
      <c r="BK134" s="43">
        <v>199.51</v>
      </c>
      <c r="BL134" s="5">
        <v>202.85</v>
      </c>
      <c r="BM134" s="5">
        <v>206.19</v>
      </c>
      <c r="BN134" s="5">
        <v>209.53</v>
      </c>
      <c r="BO134" s="5">
        <v>212.87</v>
      </c>
      <c r="BP134" s="5">
        <v>216.21</v>
      </c>
      <c r="BQ134" s="5">
        <v>219.56</v>
      </c>
      <c r="BR134" s="144">
        <v>222.9</v>
      </c>
      <c r="BS134" s="144">
        <v>226.24</v>
      </c>
      <c r="BT134" s="144">
        <v>229.58</v>
      </c>
      <c r="BU134" s="144">
        <v>232.92</v>
      </c>
      <c r="BV134" s="144">
        <v>236.26</v>
      </c>
      <c r="BW134" s="5">
        <v>136.37</v>
      </c>
      <c r="BX134" s="5">
        <v>133.03</v>
      </c>
      <c r="BY134" s="5">
        <v>129.69</v>
      </c>
      <c r="BZ134" s="5">
        <v>126.35</v>
      </c>
    </row>
    <row r="135" spans="1:78" x14ac:dyDescent="0.45">
      <c r="A135" s="119" t="s">
        <v>592</v>
      </c>
      <c r="B135" s="41">
        <v>280.33999999999997</v>
      </c>
      <c r="C135" s="81">
        <v>392.48</v>
      </c>
      <c r="D135" s="41">
        <v>285.11</v>
      </c>
      <c r="E135" s="81">
        <v>399.15</v>
      </c>
      <c r="F135" s="41">
        <v>289.88</v>
      </c>
      <c r="G135" s="88">
        <v>405.83</v>
      </c>
      <c r="H135" s="42">
        <v>294.64999999999998</v>
      </c>
      <c r="I135" s="94">
        <v>412.5</v>
      </c>
      <c r="J135" s="62">
        <v>299.41000000000003</v>
      </c>
      <c r="K135" s="100">
        <v>419.18</v>
      </c>
      <c r="L135" s="62">
        <v>304.18</v>
      </c>
      <c r="M135" s="100">
        <v>425.86</v>
      </c>
      <c r="N135" s="68">
        <v>308.95</v>
      </c>
      <c r="O135" s="106">
        <v>432.53</v>
      </c>
      <c r="P135" s="42">
        <v>313.72000000000003</v>
      </c>
      <c r="Q135" s="94">
        <v>439.21</v>
      </c>
      <c r="R135" s="42">
        <v>318.49</v>
      </c>
      <c r="S135" s="112">
        <v>445.88</v>
      </c>
      <c r="T135" s="43">
        <v>323.26</v>
      </c>
      <c r="U135" s="45">
        <v>452.56</v>
      </c>
      <c r="V135" s="5">
        <v>328.03</v>
      </c>
      <c r="W135" s="45">
        <v>459.24</v>
      </c>
      <c r="X135" s="5">
        <v>332.79</v>
      </c>
      <c r="Y135" s="126">
        <v>465.91</v>
      </c>
      <c r="Z135" s="5">
        <v>337.56</v>
      </c>
      <c r="AA135" s="126">
        <v>472.58</v>
      </c>
      <c r="AB135" s="5">
        <v>342.23</v>
      </c>
      <c r="AC135" s="134">
        <v>479.26</v>
      </c>
      <c r="AD135" s="5">
        <v>347.1</v>
      </c>
      <c r="AE135" s="134">
        <v>485.94</v>
      </c>
      <c r="AF135" s="5">
        <v>351.87</v>
      </c>
      <c r="AG135" s="134">
        <v>492.61</v>
      </c>
      <c r="AH135" s="144">
        <v>356.64</v>
      </c>
      <c r="AI135" s="134">
        <v>499.29</v>
      </c>
      <c r="AJ135" s="144">
        <v>361.4</v>
      </c>
      <c r="AK135" s="134">
        <v>505.97</v>
      </c>
      <c r="AL135" s="144">
        <v>366.17</v>
      </c>
      <c r="AM135" s="134">
        <v>512.64</v>
      </c>
      <c r="AN135" s="144">
        <v>370.94</v>
      </c>
      <c r="AO135" s="144">
        <v>519.32000000000005</v>
      </c>
      <c r="AP135" s="5">
        <v>375.71</v>
      </c>
      <c r="AQ135" s="121">
        <v>525.99</v>
      </c>
      <c r="AR135" s="5">
        <v>213.86</v>
      </c>
      <c r="AS135" s="5">
        <v>209.09</v>
      </c>
      <c r="AT135" s="5">
        <v>204.32</v>
      </c>
      <c r="AU135" s="5">
        <v>201.16</v>
      </c>
      <c r="AV135" s="37">
        <v>131</v>
      </c>
      <c r="AW135" s="41">
        <v>153.87</v>
      </c>
      <c r="AX135" s="41">
        <v>157.24</v>
      </c>
      <c r="AY135" s="41">
        <v>160.6</v>
      </c>
      <c r="AZ135" s="41">
        <v>163.97</v>
      </c>
      <c r="BA135" s="41">
        <v>167.34</v>
      </c>
      <c r="BB135" s="41">
        <v>170.7</v>
      </c>
      <c r="BC135" s="41">
        <v>174.07</v>
      </c>
      <c r="BD135" s="41">
        <v>177.44</v>
      </c>
      <c r="BE135" s="42">
        <v>180.8</v>
      </c>
      <c r="BF135" s="62">
        <v>184.17</v>
      </c>
      <c r="BG135" s="62">
        <v>187.54</v>
      </c>
      <c r="BH135" s="68">
        <v>190.9</v>
      </c>
      <c r="BI135" s="42">
        <v>194.27</v>
      </c>
      <c r="BJ135" s="34">
        <v>197.64</v>
      </c>
      <c r="BK135" s="43">
        <v>201</v>
      </c>
      <c r="BL135" s="5">
        <v>204.37</v>
      </c>
      <c r="BM135" s="5">
        <v>207.74</v>
      </c>
      <c r="BN135" s="5">
        <v>211.1</v>
      </c>
      <c r="BO135" s="5">
        <v>214.47</v>
      </c>
      <c r="BP135" s="5">
        <v>217.84</v>
      </c>
      <c r="BQ135" s="5">
        <v>221.2</v>
      </c>
      <c r="BR135" s="144">
        <v>224.57</v>
      </c>
      <c r="BS135" s="144">
        <v>227.94</v>
      </c>
      <c r="BT135" s="144">
        <v>231.3</v>
      </c>
      <c r="BU135" s="144">
        <v>234.67</v>
      </c>
      <c r="BV135" s="144">
        <v>238.04</v>
      </c>
      <c r="BW135" s="5">
        <v>137.38999999999999</v>
      </c>
      <c r="BX135" s="5">
        <v>134.03</v>
      </c>
      <c r="BY135" s="5">
        <v>130.66</v>
      </c>
      <c r="BZ135" s="5">
        <v>127.29</v>
      </c>
    </row>
    <row r="136" spans="1:78" x14ac:dyDescent="0.45">
      <c r="A136" s="119" t="s">
        <v>593</v>
      </c>
      <c r="B136" s="41">
        <v>282.61</v>
      </c>
      <c r="C136" s="81">
        <v>395.66</v>
      </c>
      <c r="D136" s="41">
        <v>287.42</v>
      </c>
      <c r="E136" s="81">
        <v>402.38</v>
      </c>
      <c r="F136" s="41">
        <v>292.22000000000003</v>
      </c>
      <c r="G136" s="88">
        <v>409.11</v>
      </c>
      <c r="H136" s="42">
        <v>297.02999999999997</v>
      </c>
      <c r="I136" s="94">
        <v>415.84</v>
      </c>
      <c r="J136" s="62">
        <v>301.83</v>
      </c>
      <c r="K136" s="100">
        <v>422.56</v>
      </c>
      <c r="L136" s="62">
        <v>306.64</v>
      </c>
      <c r="M136" s="100">
        <v>429.29</v>
      </c>
      <c r="N136" s="68">
        <v>311.44</v>
      </c>
      <c r="O136" s="106">
        <v>436.02</v>
      </c>
      <c r="P136" s="42">
        <v>316.25</v>
      </c>
      <c r="Q136" s="94">
        <v>442.74</v>
      </c>
      <c r="R136" s="42">
        <v>321.05</v>
      </c>
      <c r="S136" s="112">
        <v>449.47</v>
      </c>
      <c r="T136" s="43">
        <v>325.86</v>
      </c>
      <c r="U136" s="45">
        <v>456.2</v>
      </c>
      <c r="V136" s="5">
        <v>330.66</v>
      </c>
      <c r="W136" s="45">
        <v>462.92</v>
      </c>
      <c r="X136" s="5">
        <v>335.46</v>
      </c>
      <c r="Y136" s="126">
        <v>469.64</v>
      </c>
      <c r="Z136" s="5">
        <v>340.27</v>
      </c>
      <c r="AA136" s="126">
        <v>476.38</v>
      </c>
      <c r="AB136" s="5">
        <v>345.07</v>
      </c>
      <c r="AC136" s="134">
        <v>483.1</v>
      </c>
      <c r="AD136" s="5">
        <v>349.88</v>
      </c>
      <c r="AE136" s="134">
        <v>489.83</v>
      </c>
      <c r="AF136" s="5">
        <v>354.68</v>
      </c>
      <c r="AG136" s="134">
        <v>496.56</v>
      </c>
      <c r="AH136" s="144">
        <v>359.49</v>
      </c>
      <c r="AI136" s="134">
        <v>503.28</v>
      </c>
      <c r="AJ136" s="144">
        <v>364.29</v>
      </c>
      <c r="AK136" s="134">
        <v>510.01</v>
      </c>
      <c r="AL136" s="144">
        <v>369.1</v>
      </c>
      <c r="AM136" s="134">
        <v>516.74</v>
      </c>
      <c r="AN136" s="144">
        <v>373.9</v>
      </c>
      <c r="AO136" s="144">
        <v>523.46</v>
      </c>
      <c r="AP136" s="5">
        <v>378.71</v>
      </c>
      <c r="AQ136" s="121">
        <v>530.19000000000005</v>
      </c>
      <c r="AR136" s="5">
        <v>215.57</v>
      </c>
      <c r="AS136" s="5">
        <v>210.77</v>
      </c>
      <c r="AT136" s="5">
        <v>205.96</v>
      </c>
      <c r="AU136" s="5">
        <v>202.59</v>
      </c>
      <c r="AV136" s="37">
        <v>132</v>
      </c>
      <c r="AW136" s="41">
        <v>155</v>
      </c>
      <c r="AX136" s="41">
        <v>158.38999999999999</v>
      </c>
      <c r="AY136" s="41">
        <v>161.79</v>
      </c>
      <c r="AZ136" s="41">
        <v>156.18</v>
      </c>
      <c r="BA136" s="41">
        <v>168.57</v>
      </c>
      <c r="BB136" s="41">
        <v>171.96</v>
      </c>
      <c r="BC136" s="41">
        <v>175.36</v>
      </c>
      <c r="BD136" s="41">
        <v>178.75</v>
      </c>
      <c r="BE136" s="42">
        <v>182.14</v>
      </c>
      <c r="BF136" s="62">
        <v>185.53</v>
      </c>
      <c r="BG136" s="62">
        <v>188.93</v>
      </c>
      <c r="BH136" s="68">
        <v>192.32</v>
      </c>
      <c r="BI136" s="42">
        <v>195.71</v>
      </c>
      <c r="BJ136" s="34">
        <v>199.1</v>
      </c>
      <c r="BK136" s="43">
        <v>202.5</v>
      </c>
      <c r="BL136" s="5">
        <v>205.89</v>
      </c>
      <c r="BM136" s="5">
        <v>209.28</v>
      </c>
      <c r="BN136" s="5">
        <v>212.67</v>
      </c>
      <c r="BO136" s="5">
        <v>216.07</v>
      </c>
      <c r="BP136" s="5">
        <v>219.46</v>
      </c>
      <c r="BQ136" s="5">
        <v>222.85</v>
      </c>
      <c r="BR136" s="144">
        <v>226.24</v>
      </c>
      <c r="BS136" s="144">
        <v>229.64</v>
      </c>
      <c r="BT136" s="144">
        <v>233.03</v>
      </c>
      <c r="BU136" s="144">
        <v>236.42</v>
      </c>
      <c r="BV136" s="144">
        <v>239.81</v>
      </c>
      <c r="BW136" s="5">
        <v>138.41999999999999</v>
      </c>
      <c r="BX136" s="5">
        <v>135.03</v>
      </c>
      <c r="BY136" s="5">
        <v>131.63</v>
      </c>
      <c r="BZ136" s="5">
        <v>128.24</v>
      </c>
    </row>
    <row r="137" spans="1:78" x14ac:dyDescent="0.45">
      <c r="A137" s="119" t="s">
        <v>594</v>
      </c>
      <c r="B137" s="41">
        <v>284.60000000000002</v>
      </c>
      <c r="C137" s="81">
        <v>398.44</v>
      </c>
      <c r="D137" s="41">
        <v>289.44</v>
      </c>
      <c r="E137" s="81">
        <v>405.21</v>
      </c>
      <c r="F137" s="41">
        <v>294.27999999999997</v>
      </c>
      <c r="G137" s="88">
        <v>411.99</v>
      </c>
      <c r="H137" s="42">
        <v>299.12</v>
      </c>
      <c r="I137" s="94">
        <v>418.77</v>
      </c>
      <c r="J137" s="62">
        <v>303.95999999999998</v>
      </c>
      <c r="K137" s="100">
        <v>425.55</v>
      </c>
      <c r="L137" s="62">
        <v>308.8</v>
      </c>
      <c r="M137" s="100">
        <v>432.32</v>
      </c>
      <c r="N137" s="68">
        <v>313.64</v>
      </c>
      <c r="O137" s="106">
        <v>439.1</v>
      </c>
      <c r="P137" s="42">
        <v>318.48</v>
      </c>
      <c r="Q137" s="94">
        <v>445.88</v>
      </c>
      <c r="R137" s="42">
        <v>323.33</v>
      </c>
      <c r="S137" s="112">
        <v>452.66</v>
      </c>
      <c r="T137" s="43">
        <v>328.17</v>
      </c>
      <c r="U137" s="45">
        <v>459.43</v>
      </c>
      <c r="V137" s="5">
        <v>333.01</v>
      </c>
      <c r="W137" s="45">
        <v>466.21100000000001</v>
      </c>
      <c r="X137" s="5">
        <v>337.85</v>
      </c>
      <c r="Y137" s="126">
        <v>472.99</v>
      </c>
      <c r="Z137" s="5">
        <v>342.69</v>
      </c>
      <c r="AA137" s="126">
        <v>479.77</v>
      </c>
      <c r="AB137" s="5">
        <v>347.53</v>
      </c>
      <c r="AC137" s="134">
        <v>486.54</v>
      </c>
      <c r="AD137" s="5">
        <v>352.37</v>
      </c>
      <c r="AE137" s="134">
        <v>493.32</v>
      </c>
      <c r="AF137" s="5">
        <v>357.21</v>
      </c>
      <c r="AG137" s="134">
        <v>500.1</v>
      </c>
      <c r="AH137" s="144">
        <v>362.06</v>
      </c>
      <c r="AI137" s="134">
        <v>506.88</v>
      </c>
      <c r="AJ137" s="144">
        <v>366.9</v>
      </c>
      <c r="AK137" s="134">
        <v>513.66</v>
      </c>
      <c r="AL137" s="144">
        <v>371.74</v>
      </c>
      <c r="AM137" s="134">
        <v>520.42999999999995</v>
      </c>
      <c r="AN137" s="144">
        <v>376.58</v>
      </c>
      <c r="AO137" s="144">
        <v>527.21</v>
      </c>
      <c r="AP137" s="5">
        <v>381.42</v>
      </c>
      <c r="AQ137" s="121">
        <v>533.99</v>
      </c>
      <c r="AR137" s="5">
        <v>217.11</v>
      </c>
      <c r="AS137" s="5">
        <v>212.27</v>
      </c>
      <c r="AT137" s="5">
        <v>207.43</v>
      </c>
      <c r="AU137" s="5">
        <v>204.2</v>
      </c>
      <c r="AV137" s="37">
        <v>133</v>
      </c>
      <c r="AW137" s="41">
        <v>156.22</v>
      </c>
      <c r="AX137" s="41">
        <v>159.63</v>
      </c>
      <c r="AY137" s="41">
        <v>163.05000000000001</v>
      </c>
      <c r="AZ137" s="41">
        <v>166.47</v>
      </c>
      <c r="BA137" s="41">
        <v>169.89</v>
      </c>
      <c r="BB137" s="41">
        <v>173.31</v>
      </c>
      <c r="BC137" s="41">
        <v>176.72</v>
      </c>
      <c r="BD137" s="41">
        <v>180.14</v>
      </c>
      <c r="BE137" s="42">
        <v>183.56</v>
      </c>
      <c r="BF137" s="62">
        <v>186.98</v>
      </c>
      <c r="BG137" s="62">
        <v>190.4</v>
      </c>
      <c r="BH137" s="68">
        <v>193.82</v>
      </c>
      <c r="BI137" s="42">
        <v>197.23</v>
      </c>
      <c r="BJ137" s="34">
        <v>200.65</v>
      </c>
      <c r="BK137" s="43">
        <v>204.07</v>
      </c>
      <c r="BL137" s="5">
        <v>207.49</v>
      </c>
      <c r="BM137" s="5">
        <v>210.91</v>
      </c>
      <c r="BN137" s="5">
        <v>214.32</v>
      </c>
      <c r="BO137" s="5">
        <v>217.74</v>
      </c>
      <c r="BP137" s="5">
        <v>221.16</v>
      </c>
      <c r="BQ137" s="5">
        <v>224.58</v>
      </c>
      <c r="BR137" s="144">
        <v>228</v>
      </c>
      <c r="BS137" s="144">
        <v>231.41</v>
      </c>
      <c r="BT137" s="144">
        <v>234.83</v>
      </c>
      <c r="BU137" s="144">
        <v>238.25</v>
      </c>
      <c r="BV137" s="144">
        <v>241.67</v>
      </c>
      <c r="BW137" s="5">
        <v>139.49</v>
      </c>
      <c r="BX137" s="5">
        <v>136.07</v>
      </c>
      <c r="BY137" s="5">
        <v>132.65</v>
      </c>
      <c r="BZ137" s="5">
        <v>129.24</v>
      </c>
    </row>
    <row r="138" spans="1:78" x14ac:dyDescent="0.45">
      <c r="A138" s="119" t="s">
        <v>595</v>
      </c>
      <c r="B138" s="41">
        <v>286.89</v>
      </c>
      <c r="C138" s="81">
        <v>401.64</v>
      </c>
      <c r="D138" s="41">
        <v>291.76</v>
      </c>
      <c r="E138" s="81">
        <v>408.47</v>
      </c>
      <c r="F138" s="41">
        <v>296.64</v>
      </c>
      <c r="G138" s="88">
        <v>415.3</v>
      </c>
      <c r="H138" s="42">
        <v>301.52</v>
      </c>
      <c r="I138" s="94">
        <v>422.12</v>
      </c>
      <c r="J138" s="62">
        <v>306.39999999999998</v>
      </c>
      <c r="K138" s="100">
        <v>428.95</v>
      </c>
      <c r="L138" s="62">
        <v>311.27</v>
      </c>
      <c r="M138" s="100">
        <v>435.78</v>
      </c>
      <c r="N138" s="68">
        <v>316.14999999999998</v>
      </c>
      <c r="O138" s="106">
        <v>442.61</v>
      </c>
      <c r="P138" s="42">
        <v>321.02999999999997</v>
      </c>
      <c r="Q138" s="94">
        <v>449.44</v>
      </c>
      <c r="R138" s="42">
        <v>325.91000000000003</v>
      </c>
      <c r="S138" s="112">
        <v>456.27</v>
      </c>
      <c r="T138" s="43">
        <v>330.78</v>
      </c>
      <c r="U138" s="45">
        <v>463.1</v>
      </c>
      <c r="V138" s="5">
        <v>335.66</v>
      </c>
      <c r="W138" s="45">
        <v>469.93</v>
      </c>
      <c r="X138" s="5">
        <v>340.54</v>
      </c>
      <c r="Y138" s="126">
        <v>476.76</v>
      </c>
      <c r="Z138" s="5">
        <v>345.42</v>
      </c>
      <c r="AA138" s="126">
        <v>483.59</v>
      </c>
      <c r="AB138" s="5">
        <v>350.29</v>
      </c>
      <c r="AC138" s="134">
        <v>490.41</v>
      </c>
      <c r="AD138" s="5">
        <v>355.17</v>
      </c>
      <c r="AE138" s="134">
        <v>497.24</v>
      </c>
      <c r="AF138" s="5">
        <v>360.05</v>
      </c>
      <c r="AG138" s="134">
        <v>504.07</v>
      </c>
      <c r="AH138" s="144">
        <v>364.93</v>
      </c>
      <c r="AI138" s="134">
        <v>510.9</v>
      </c>
      <c r="AJ138" s="144">
        <v>369.8</v>
      </c>
      <c r="AK138" s="134">
        <v>517.73</v>
      </c>
      <c r="AL138" s="144">
        <v>374.68</v>
      </c>
      <c r="AM138" s="134">
        <v>524.54999999999995</v>
      </c>
      <c r="AN138" s="144">
        <v>379.56</v>
      </c>
      <c r="AO138" s="144">
        <v>531.38</v>
      </c>
      <c r="AP138" s="5">
        <v>384.44</v>
      </c>
      <c r="AQ138" s="121">
        <v>538.21</v>
      </c>
      <c r="AR138" s="5">
        <v>218.83</v>
      </c>
      <c r="AS138" s="5">
        <v>213.95</v>
      </c>
      <c r="AT138" s="5">
        <v>209.08</v>
      </c>
      <c r="AU138" s="5">
        <v>205.64</v>
      </c>
      <c r="AV138" s="37">
        <v>134</v>
      </c>
      <c r="AW138" s="41">
        <v>157.35</v>
      </c>
      <c r="AX138" s="41">
        <v>160.80000000000001</v>
      </c>
      <c r="AY138" s="41">
        <v>164.24</v>
      </c>
      <c r="AZ138" s="41">
        <v>167.68</v>
      </c>
      <c r="BA138" s="41">
        <v>171.13</v>
      </c>
      <c r="BB138" s="41">
        <v>174.57</v>
      </c>
      <c r="BC138" s="41">
        <v>178.01</v>
      </c>
      <c r="BD138" s="41">
        <v>181.46</v>
      </c>
      <c r="BE138" s="42">
        <v>184.9</v>
      </c>
      <c r="BF138" s="62">
        <v>188.35</v>
      </c>
      <c r="BG138" s="62">
        <v>191.79</v>
      </c>
      <c r="BH138" s="68">
        <v>195.23</v>
      </c>
      <c r="BI138" s="42">
        <v>198.68</v>
      </c>
      <c r="BJ138" s="34">
        <v>202.12</v>
      </c>
      <c r="BK138" s="43">
        <v>205.57</v>
      </c>
      <c r="BL138" s="5">
        <v>209.01</v>
      </c>
      <c r="BM138" s="5">
        <v>212.45</v>
      </c>
      <c r="BN138" s="5">
        <v>215.9</v>
      </c>
      <c r="BO138" s="5">
        <v>219.34</v>
      </c>
      <c r="BP138" s="5">
        <v>222.78</v>
      </c>
      <c r="BQ138" s="5">
        <v>226.23</v>
      </c>
      <c r="BR138" s="144">
        <v>229.67</v>
      </c>
      <c r="BS138" s="144">
        <v>233.12</v>
      </c>
      <c r="BT138" s="144">
        <v>236.56</v>
      </c>
      <c r="BU138" s="144">
        <v>240</v>
      </c>
      <c r="BV138" s="144">
        <v>243.45</v>
      </c>
      <c r="BW138" s="5">
        <v>140.52000000000001</v>
      </c>
      <c r="BX138" s="5">
        <v>137.07</v>
      </c>
      <c r="BY138" s="5">
        <v>133.63</v>
      </c>
      <c r="BZ138" s="5">
        <v>130.18</v>
      </c>
    </row>
    <row r="139" spans="1:78" x14ac:dyDescent="0.45">
      <c r="A139" s="119" t="s">
        <v>596</v>
      </c>
      <c r="B139" s="41">
        <v>288.88</v>
      </c>
      <c r="C139" s="81">
        <v>404.43</v>
      </c>
      <c r="D139" s="41">
        <v>293.79000000000002</v>
      </c>
      <c r="E139" s="81">
        <v>411.31</v>
      </c>
      <c r="F139" s="41">
        <v>298.70999999999998</v>
      </c>
      <c r="G139" s="88">
        <v>418.19</v>
      </c>
      <c r="H139" s="42">
        <v>303.62</v>
      </c>
      <c r="I139" s="94">
        <v>425.07</v>
      </c>
      <c r="J139" s="62">
        <v>308.52999999999997</v>
      </c>
      <c r="K139" s="100">
        <v>431.95</v>
      </c>
      <c r="L139" s="62">
        <v>313.45</v>
      </c>
      <c r="M139" s="100">
        <v>438.83</v>
      </c>
      <c r="N139" s="68">
        <v>318.36</v>
      </c>
      <c r="O139" s="106">
        <v>445.71</v>
      </c>
      <c r="P139" s="42">
        <v>323.27999999999997</v>
      </c>
      <c r="Q139" s="94">
        <v>452.59</v>
      </c>
      <c r="R139" s="42">
        <v>328.19</v>
      </c>
      <c r="S139" s="112">
        <v>459.47</v>
      </c>
      <c r="T139" s="43">
        <v>333.1</v>
      </c>
      <c r="U139" s="45">
        <v>466.35</v>
      </c>
      <c r="V139" s="5">
        <v>338.02</v>
      </c>
      <c r="W139" s="45">
        <v>473.23</v>
      </c>
      <c r="X139" s="5">
        <v>342.93</v>
      </c>
      <c r="Y139" s="126">
        <v>480.1</v>
      </c>
      <c r="Z139" s="5">
        <v>347.85</v>
      </c>
      <c r="AA139" s="126">
        <v>486.99</v>
      </c>
      <c r="AB139" s="5">
        <v>352.76</v>
      </c>
      <c r="AC139" s="134">
        <v>493.86</v>
      </c>
      <c r="AD139" s="5">
        <v>357.67</v>
      </c>
      <c r="AE139" s="134">
        <v>500.74</v>
      </c>
      <c r="AF139" s="5">
        <v>362.59</v>
      </c>
      <c r="AG139" s="134">
        <v>507.62</v>
      </c>
      <c r="AH139" s="144">
        <v>367.5</v>
      </c>
      <c r="AI139" s="134">
        <v>514.5</v>
      </c>
      <c r="AJ139" s="144">
        <v>372.42</v>
      </c>
      <c r="AK139" s="134">
        <v>521.38</v>
      </c>
      <c r="AL139" s="144">
        <v>377.33</v>
      </c>
      <c r="AM139" s="134">
        <v>528.26</v>
      </c>
      <c r="AN139" s="144">
        <v>382.24</v>
      </c>
      <c r="AO139" s="144">
        <v>535.14</v>
      </c>
      <c r="AP139" s="5">
        <v>387.16</v>
      </c>
      <c r="AQ139" s="121">
        <v>542.02</v>
      </c>
      <c r="AR139" s="5">
        <v>220.38</v>
      </c>
      <c r="AS139" s="5">
        <v>215.46</v>
      </c>
      <c r="AT139" s="5">
        <v>210.55</v>
      </c>
      <c r="AU139" s="5">
        <v>207.08</v>
      </c>
      <c r="AV139" s="37">
        <v>135</v>
      </c>
      <c r="AW139" s="41">
        <v>158.57</v>
      </c>
      <c r="AX139" s="41">
        <v>162.04</v>
      </c>
      <c r="AY139" s="41">
        <v>165.51</v>
      </c>
      <c r="AZ139" s="41">
        <v>168.98</v>
      </c>
      <c r="BA139" s="41">
        <v>172.45</v>
      </c>
      <c r="BB139" s="41">
        <v>175.92</v>
      </c>
      <c r="BC139" s="41">
        <v>179.39</v>
      </c>
      <c r="BD139" s="41">
        <v>182.86</v>
      </c>
      <c r="BE139" s="42">
        <v>186.33</v>
      </c>
      <c r="BF139" s="62">
        <v>189.8</v>
      </c>
      <c r="BG139" s="62">
        <v>193.27</v>
      </c>
      <c r="BH139" s="68">
        <v>196.74</v>
      </c>
      <c r="BI139" s="42">
        <v>200.2</v>
      </c>
      <c r="BJ139" s="34">
        <v>203.67</v>
      </c>
      <c r="BK139" s="43">
        <v>207.14</v>
      </c>
      <c r="BL139" s="5">
        <v>210.61</v>
      </c>
      <c r="BM139" s="5">
        <v>214.08</v>
      </c>
      <c r="BN139" s="5">
        <v>217.55</v>
      </c>
      <c r="BO139" s="5">
        <v>221.02</v>
      </c>
      <c r="BP139" s="5">
        <v>224.49</v>
      </c>
      <c r="BQ139" s="5">
        <v>227.96</v>
      </c>
      <c r="BR139" s="144">
        <v>231.43</v>
      </c>
      <c r="BS139" s="144">
        <v>234.9</v>
      </c>
      <c r="BT139" s="144">
        <v>238.37</v>
      </c>
      <c r="BU139" s="144">
        <v>241.84</v>
      </c>
      <c r="BV139" s="144">
        <v>245.31</v>
      </c>
      <c r="BW139" s="5">
        <v>141.59</v>
      </c>
      <c r="BX139" s="5">
        <v>138.12</v>
      </c>
      <c r="BY139" s="5">
        <v>134.65</v>
      </c>
      <c r="BZ139" s="5">
        <v>131.18</v>
      </c>
    </row>
    <row r="140" spans="1:78" x14ac:dyDescent="0.45">
      <c r="A140" s="119" t="s">
        <v>597</v>
      </c>
      <c r="B140" s="41">
        <v>290.87</v>
      </c>
      <c r="C140" s="81">
        <v>407.22</v>
      </c>
      <c r="D140" s="41">
        <v>295.83</v>
      </c>
      <c r="E140" s="81">
        <v>414.16</v>
      </c>
      <c r="F140" s="41">
        <v>300.77999999999997</v>
      </c>
      <c r="G140" s="88">
        <v>421.09</v>
      </c>
      <c r="H140" s="42">
        <v>305.73</v>
      </c>
      <c r="I140" s="94">
        <v>428.02</v>
      </c>
      <c r="J140" s="62">
        <v>310.68</v>
      </c>
      <c r="K140" s="100">
        <v>434.95</v>
      </c>
      <c r="L140" s="62">
        <v>315.63</v>
      </c>
      <c r="M140" s="100">
        <v>441.88</v>
      </c>
      <c r="N140" s="68">
        <v>320.58</v>
      </c>
      <c r="O140" s="106">
        <v>448.81</v>
      </c>
      <c r="P140" s="42">
        <v>325.52999999999997</v>
      </c>
      <c r="Q140" s="94">
        <v>455.74</v>
      </c>
      <c r="R140" s="42">
        <v>330.48</v>
      </c>
      <c r="S140" s="112">
        <v>462.67</v>
      </c>
      <c r="T140" s="43">
        <v>335.43</v>
      </c>
      <c r="U140" s="45">
        <v>469.6</v>
      </c>
      <c r="V140" s="5">
        <v>340.38</v>
      </c>
      <c r="W140" s="45">
        <v>476.53</v>
      </c>
      <c r="X140" s="5">
        <v>345.33</v>
      </c>
      <c r="Y140" s="126">
        <v>483.46</v>
      </c>
      <c r="Z140" s="5">
        <v>350.28</v>
      </c>
      <c r="AA140" s="126">
        <v>490.39</v>
      </c>
      <c r="AB140" s="5">
        <v>355.23</v>
      </c>
      <c r="AC140" s="134">
        <v>497.32</v>
      </c>
      <c r="AD140" s="5">
        <v>360.18</v>
      </c>
      <c r="AE140" s="134">
        <v>504.25</v>
      </c>
      <c r="AF140" s="5">
        <v>365.13</v>
      </c>
      <c r="AG140" s="134">
        <v>511.18</v>
      </c>
      <c r="AH140" s="144">
        <v>370.08</v>
      </c>
      <c r="AI140" s="134">
        <v>518.11</v>
      </c>
      <c r="AJ140" s="144">
        <v>375.03</v>
      </c>
      <c r="AK140" s="134">
        <v>525.04</v>
      </c>
      <c r="AL140" s="144">
        <v>379.98</v>
      </c>
      <c r="AM140" s="134">
        <v>531.97</v>
      </c>
      <c r="AN140" s="144">
        <v>384.93</v>
      </c>
      <c r="AO140" s="144">
        <v>538.91</v>
      </c>
      <c r="AP140" s="5">
        <v>389.88</v>
      </c>
      <c r="AQ140" s="121">
        <v>545.84</v>
      </c>
      <c r="AR140" s="5">
        <v>221.93</v>
      </c>
      <c r="AS140" s="5">
        <v>216.98</v>
      </c>
      <c r="AT140" s="5">
        <v>212.03</v>
      </c>
      <c r="AU140" s="5">
        <v>208.7</v>
      </c>
      <c r="AV140" s="37">
        <v>136</v>
      </c>
      <c r="AW140" s="41">
        <v>159.71</v>
      </c>
      <c r="AX140" s="41">
        <v>163.19999999999999</v>
      </c>
      <c r="AY140" s="41">
        <v>166.7</v>
      </c>
      <c r="AZ140" s="41">
        <v>170.19</v>
      </c>
      <c r="BA140" s="41">
        <v>173.69</v>
      </c>
      <c r="BB140" s="41">
        <v>177.19</v>
      </c>
      <c r="BC140" s="41">
        <v>180.68</v>
      </c>
      <c r="BD140" s="41">
        <v>184.18</v>
      </c>
      <c r="BE140" s="42">
        <v>187.67</v>
      </c>
      <c r="BF140" s="62">
        <v>191.17</v>
      </c>
      <c r="BG140" s="62">
        <v>194.66</v>
      </c>
      <c r="BH140" s="68">
        <v>198.16</v>
      </c>
      <c r="BI140" s="42">
        <v>201.65</v>
      </c>
      <c r="BJ140" s="34">
        <v>205.15</v>
      </c>
      <c r="BK140" s="43">
        <v>208.64</v>
      </c>
      <c r="BL140" s="5">
        <v>212.14</v>
      </c>
      <c r="BM140" s="5">
        <v>215.63</v>
      </c>
      <c r="BN140" s="5">
        <v>219.13</v>
      </c>
      <c r="BO140" s="5">
        <v>222.62</v>
      </c>
      <c r="BP140" s="5">
        <v>226.12</v>
      </c>
      <c r="BQ140" s="5">
        <v>229.61</v>
      </c>
      <c r="BR140" s="144">
        <v>233.11</v>
      </c>
      <c r="BS140" s="144">
        <v>236.6</v>
      </c>
      <c r="BT140" s="144">
        <v>240.1</v>
      </c>
      <c r="BU140" s="144">
        <v>243.59</v>
      </c>
      <c r="BV140" s="144">
        <v>247.09</v>
      </c>
      <c r="BW140" s="5">
        <v>142.62</v>
      </c>
      <c r="BX140" s="5">
        <v>139.12</v>
      </c>
      <c r="BY140" s="5">
        <v>135.63</v>
      </c>
      <c r="BZ140" s="5">
        <v>132.13</v>
      </c>
    </row>
    <row r="141" spans="1:78" x14ac:dyDescent="0.45">
      <c r="A141" s="119" t="s">
        <v>598</v>
      </c>
      <c r="B141" s="41">
        <v>293.19</v>
      </c>
      <c r="C141" s="81">
        <v>410.46</v>
      </c>
      <c r="D141" s="41">
        <v>298.17</v>
      </c>
      <c r="E141" s="81">
        <v>417.44</v>
      </c>
      <c r="F141" s="41">
        <v>303.16000000000003</v>
      </c>
      <c r="G141" s="88">
        <v>424.43</v>
      </c>
      <c r="H141" s="42">
        <v>308.14999999999998</v>
      </c>
      <c r="I141" s="94">
        <v>431.41</v>
      </c>
      <c r="J141" s="62">
        <v>313.14</v>
      </c>
      <c r="K141" s="100">
        <v>438.39</v>
      </c>
      <c r="L141" s="62">
        <v>318.12</v>
      </c>
      <c r="M141" s="100">
        <v>445.37</v>
      </c>
      <c r="N141" s="68">
        <v>323.11</v>
      </c>
      <c r="O141" s="106">
        <v>452.35</v>
      </c>
      <c r="P141" s="42">
        <v>328.1</v>
      </c>
      <c r="Q141" s="94">
        <v>459.33</v>
      </c>
      <c r="R141" s="42">
        <v>333.08</v>
      </c>
      <c r="S141" s="112">
        <v>466.32</v>
      </c>
      <c r="T141" s="43">
        <v>338.07</v>
      </c>
      <c r="U141" s="45">
        <v>473.3</v>
      </c>
      <c r="V141" s="5">
        <v>343.06</v>
      </c>
      <c r="W141" s="45">
        <v>480.28</v>
      </c>
      <c r="X141" s="5">
        <v>348.04</v>
      </c>
      <c r="Y141" s="126">
        <v>487.26</v>
      </c>
      <c r="Z141" s="5">
        <v>353.03</v>
      </c>
      <c r="AA141" s="126">
        <v>494.24</v>
      </c>
      <c r="AB141" s="5">
        <v>358.02</v>
      </c>
      <c r="AC141" s="134">
        <v>501.22</v>
      </c>
      <c r="AD141" s="5">
        <v>363</v>
      </c>
      <c r="AE141" s="134">
        <v>508.2</v>
      </c>
      <c r="AF141" s="5">
        <v>367.99</v>
      </c>
      <c r="AG141" s="134">
        <v>515.19000000000005</v>
      </c>
      <c r="AH141" s="144">
        <v>372.98</v>
      </c>
      <c r="AI141" s="134">
        <v>522.16999999999996</v>
      </c>
      <c r="AJ141" s="144">
        <v>377.96</v>
      </c>
      <c r="AK141" s="134">
        <v>529.15</v>
      </c>
      <c r="AL141" s="144">
        <v>382.95</v>
      </c>
      <c r="AM141" s="134">
        <v>536.13</v>
      </c>
      <c r="AN141" s="144">
        <v>387.94</v>
      </c>
      <c r="AO141" s="144">
        <v>543.11</v>
      </c>
      <c r="AP141" s="5">
        <v>392.92</v>
      </c>
      <c r="AQ141" s="121">
        <v>550.09</v>
      </c>
      <c r="AR141" s="5">
        <v>223.66</v>
      </c>
      <c r="AS141" s="5">
        <v>218.67</v>
      </c>
      <c r="AT141" s="5">
        <v>213.69</v>
      </c>
      <c r="AU141" s="5">
        <v>210</v>
      </c>
      <c r="AV141" s="37">
        <v>137</v>
      </c>
      <c r="AW141" s="41">
        <v>160.93</v>
      </c>
      <c r="AX141" s="41">
        <v>164.45</v>
      </c>
      <c r="AY141" s="41">
        <v>167.97</v>
      </c>
      <c r="AZ141" s="41">
        <v>171.5</v>
      </c>
      <c r="BA141" s="41">
        <v>175.02</v>
      </c>
      <c r="BB141" s="41">
        <v>178.54</v>
      </c>
      <c r="BC141" s="41">
        <v>182.06</v>
      </c>
      <c r="BD141" s="41">
        <v>185.58</v>
      </c>
      <c r="BE141" s="42">
        <v>189.1</v>
      </c>
      <c r="BF141" s="62">
        <v>192.62</v>
      </c>
      <c r="BG141" s="62">
        <v>196.14</v>
      </c>
      <c r="BH141" s="68">
        <v>199.66</v>
      </c>
      <c r="BI141" s="42">
        <v>203.18</v>
      </c>
      <c r="BJ141" s="34">
        <v>206.7</v>
      </c>
      <c r="BK141" s="43">
        <v>210.23</v>
      </c>
      <c r="BL141" s="5">
        <v>213.75</v>
      </c>
      <c r="BM141" s="5">
        <v>217.27</v>
      </c>
      <c r="BN141" s="5">
        <v>220.79</v>
      </c>
      <c r="BO141" s="5">
        <v>224.31</v>
      </c>
      <c r="BP141" s="5">
        <v>227.83</v>
      </c>
      <c r="BQ141" s="5">
        <v>231.35</v>
      </c>
      <c r="BR141" s="144">
        <v>234.87</v>
      </c>
      <c r="BS141" s="144">
        <v>238.39</v>
      </c>
      <c r="BT141" s="144">
        <v>241.91</v>
      </c>
      <c r="BU141" s="144">
        <v>245.43</v>
      </c>
      <c r="BV141" s="144">
        <v>248.96</v>
      </c>
      <c r="BW141" s="5">
        <v>143.69999999999999</v>
      </c>
      <c r="BX141" s="5">
        <v>140.18</v>
      </c>
      <c r="BY141" s="5">
        <v>136.66</v>
      </c>
      <c r="BZ141" s="5">
        <v>133.13</v>
      </c>
    </row>
    <row r="142" spans="1:78" x14ac:dyDescent="0.45">
      <c r="A142" s="119" t="s">
        <v>599</v>
      </c>
      <c r="B142" s="41">
        <v>295.19</v>
      </c>
      <c r="C142" s="81">
        <v>413.27</v>
      </c>
      <c r="D142" s="41">
        <v>300.22000000000003</v>
      </c>
      <c r="E142" s="81">
        <v>420.3</v>
      </c>
      <c r="F142" s="41">
        <v>305.24</v>
      </c>
      <c r="G142" s="88">
        <v>427.34</v>
      </c>
      <c r="H142" s="42">
        <v>310.26</v>
      </c>
      <c r="I142" s="94">
        <v>434.37</v>
      </c>
      <c r="J142" s="62">
        <v>315.29000000000002</v>
      </c>
      <c r="K142" s="100">
        <v>441.4</v>
      </c>
      <c r="L142" s="62">
        <v>320.31</v>
      </c>
      <c r="M142" s="100">
        <v>448.43</v>
      </c>
      <c r="N142" s="68">
        <v>325.33</v>
      </c>
      <c r="O142" s="106">
        <v>455.47</v>
      </c>
      <c r="P142" s="42">
        <v>330.36</v>
      </c>
      <c r="Q142" s="94">
        <v>462.5</v>
      </c>
      <c r="R142" s="42">
        <v>335.38</v>
      </c>
      <c r="S142" s="112">
        <v>469.53</v>
      </c>
      <c r="T142" s="43">
        <v>340.4</v>
      </c>
      <c r="U142" s="45">
        <v>476.56</v>
      </c>
      <c r="V142" s="5">
        <v>345.43</v>
      </c>
      <c r="W142" s="45">
        <v>483.6</v>
      </c>
      <c r="X142" s="5">
        <v>350.45</v>
      </c>
      <c r="Y142" s="126">
        <v>490.63</v>
      </c>
      <c r="Z142" s="5">
        <v>355.47</v>
      </c>
      <c r="AA142" s="126">
        <v>497.66</v>
      </c>
      <c r="AB142" s="5">
        <v>360.5</v>
      </c>
      <c r="AC142" s="134">
        <v>504.69</v>
      </c>
      <c r="AD142" s="5">
        <v>365.52</v>
      </c>
      <c r="AE142" s="134">
        <v>511.73</v>
      </c>
      <c r="AF142" s="5">
        <v>370.54</v>
      </c>
      <c r="AG142" s="134">
        <v>518.76</v>
      </c>
      <c r="AH142" s="144">
        <v>375.57</v>
      </c>
      <c r="AI142" s="134">
        <v>525.79</v>
      </c>
      <c r="AJ142" s="144">
        <v>380.59</v>
      </c>
      <c r="AK142" s="134">
        <v>532.82000000000005</v>
      </c>
      <c r="AL142" s="144">
        <v>385.61</v>
      </c>
      <c r="AM142" s="134">
        <v>539.86</v>
      </c>
      <c r="AN142" s="144">
        <v>390.63</v>
      </c>
      <c r="AO142" s="144">
        <v>546.89</v>
      </c>
      <c r="AP142" s="5">
        <v>395.66</v>
      </c>
      <c r="AQ142" s="121">
        <v>553.91999999999996</v>
      </c>
      <c r="AR142" s="5">
        <v>225.22</v>
      </c>
      <c r="AS142" s="5">
        <v>220.19</v>
      </c>
      <c r="AT142" s="5">
        <v>215.17</v>
      </c>
      <c r="AU142" s="5">
        <v>15</v>
      </c>
      <c r="AV142" s="37">
        <v>138</v>
      </c>
      <c r="AW142" s="41">
        <v>162.07</v>
      </c>
      <c r="AX142" s="41">
        <v>165.62</v>
      </c>
      <c r="AY142" s="41">
        <v>169.17</v>
      </c>
      <c r="AZ142" s="41">
        <v>172.71</v>
      </c>
      <c r="BA142" s="41">
        <v>176.26</v>
      </c>
      <c r="BB142" s="41">
        <v>179.81</v>
      </c>
      <c r="BC142" s="41">
        <v>183.35</v>
      </c>
      <c r="BD142" s="41">
        <v>186.9</v>
      </c>
      <c r="BE142" s="42">
        <v>190.45</v>
      </c>
      <c r="BF142" s="62">
        <v>193.99</v>
      </c>
      <c r="BG142" s="62">
        <v>197.54</v>
      </c>
      <c r="BH142" s="68">
        <v>201.09</v>
      </c>
      <c r="BI142" s="42">
        <v>204.63</v>
      </c>
      <c r="BJ142" s="34">
        <v>208.18</v>
      </c>
      <c r="BK142" s="43">
        <v>211.73</v>
      </c>
      <c r="BL142" s="5">
        <v>215.27</v>
      </c>
      <c r="BM142" s="5">
        <v>218.82</v>
      </c>
      <c r="BN142" s="5">
        <v>222.37</v>
      </c>
      <c r="BO142" s="5">
        <v>225.91</v>
      </c>
      <c r="BP142" s="5">
        <v>229.46</v>
      </c>
      <c r="BQ142" s="5">
        <v>233.01</v>
      </c>
      <c r="BR142" s="144">
        <v>236.55</v>
      </c>
      <c r="BS142" s="144">
        <v>240.1</v>
      </c>
      <c r="BT142" s="144">
        <v>243.65</v>
      </c>
      <c r="BU142" s="144">
        <v>247.19</v>
      </c>
      <c r="BV142" s="144">
        <v>250.74</v>
      </c>
      <c r="BW142" s="5">
        <v>144.72999999999999</v>
      </c>
      <c r="BX142" s="5">
        <v>141.18</v>
      </c>
      <c r="BY142" s="5">
        <v>137.63</v>
      </c>
      <c r="BZ142" s="5">
        <v>134.09</v>
      </c>
    </row>
    <row r="143" spans="1:78" x14ac:dyDescent="0.45">
      <c r="A143" s="119" t="s">
        <v>600</v>
      </c>
      <c r="B143" s="41">
        <v>297.52999999999997</v>
      </c>
      <c r="C143" s="81">
        <v>416.54</v>
      </c>
      <c r="D143" s="41">
        <v>302.58999999999997</v>
      </c>
      <c r="E143" s="81">
        <v>423.62</v>
      </c>
      <c r="F143" s="41">
        <v>307.64999999999998</v>
      </c>
      <c r="G143" s="88">
        <v>430.7</v>
      </c>
      <c r="H143" s="42">
        <v>312.70999999999998</v>
      </c>
      <c r="I143" s="94">
        <v>437.79</v>
      </c>
      <c r="J143" s="62">
        <v>317.76</v>
      </c>
      <c r="K143" s="100">
        <v>444.87</v>
      </c>
      <c r="L143" s="62">
        <v>322.82</v>
      </c>
      <c r="M143" s="100">
        <v>451.95</v>
      </c>
      <c r="N143" s="68">
        <v>327.88</v>
      </c>
      <c r="O143" s="106">
        <v>459.04</v>
      </c>
      <c r="P143" s="42">
        <v>332.94</v>
      </c>
      <c r="Q143" s="94">
        <v>466.12</v>
      </c>
      <c r="R143" s="42">
        <v>338</v>
      </c>
      <c r="S143" s="112">
        <v>473.2</v>
      </c>
      <c r="T143" s="43">
        <v>343.06</v>
      </c>
      <c r="U143" s="45">
        <v>480.29</v>
      </c>
      <c r="V143" s="5">
        <v>348.12</v>
      </c>
      <c r="W143" s="45">
        <v>487.37</v>
      </c>
      <c r="X143" s="5">
        <v>353.18</v>
      </c>
      <c r="Y143" s="126">
        <v>494.45</v>
      </c>
      <c r="Z143" s="5">
        <v>358.24</v>
      </c>
      <c r="AA143" s="126">
        <v>501.54</v>
      </c>
      <c r="AB143" s="5">
        <v>363.3</v>
      </c>
      <c r="AC143" s="134">
        <v>508.62</v>
      </c>
      <c r="AD143" s="5">
        <v>368.36</v>
      </c>
      <c r="AE143" s="134">
        <v>515.71</v>
      </c>
      <c r="AF143" s="5">
        <v>373.42</v>
      </c>
      <c r="AG143" s="134">
        <v>522.79</v>
      </c>
      <c r="AH143" s="144">
        <v>378.48</v>
      </c>
      <c r="AI143" s="134">
        <v>529.87</v>
      </c>
      <c r="AJ143" s="144">
        <v>383.54</v>
      </c>
      <c r="AK143" s="134">
        <v>536.96</v>
      </c>
      <c r="AL143" s="144">
        <v>388.6</v>
      </c>
      <c r="AM143" s="134">
        <v>544.04</v>
      </c>
      <c r="AN143" s="144">
        <v>393.66</v>
      </c>
      <c r="AO143" s="144">
        <v>551.12</v>
      </c>
      <c r="AP143" s="5">
        <v>398.72</v>
      </c>
      <c r="AQ143" s="121">
        <v>558.21</v>
      </c>
      <c r="AR143" s="5">
        <v>226.96</v>
      </c>
      <c r="AS143" s="5">
        <v>221.9</v>
      </c>
      <c r="AT143" s="5">
        <v>216.84</v>
      </c>
      <c r="AU143" s="5">
        <v>211.78</v>
      </c>
      <c r="AV143" s="37">
        <v>139</v>
      </c>
      <c r="AW143" s="41">
        <v>163.22</v>
      </c>
      <c r="AX143" s="41">
        <v>166.79</v>
      </c>
      <c r="AY143" s="41">
        <v>170.36</v>
      </c>
      <c r="AZ143" s="41">
        <v>173.93</v>
      </c>
      <c r="BA143" s="41">
        <v>177.51</v>
      </c>
      <c r="BB143" s="41">
        <v>181.08</v>
      </c>
      <c r="BC143" s="41">
        <v>184.65</v>
      </c>
      <c r="BD143" s="41">
        <v>188.22</v>
      </c>
      <c r="BE143" s="42">
        <v>191.79</v>
      </c>
      <c r="BF143" s="62">
        <v>195.37</v>
      </c>
      <c r="BG143" s="62">
        <v>198.94</v>
      </c>
      <c r="BH143" s="68">
        <v>202.51</v>
      </c>
      <c r="BI143" s="42">
        <v>206.08</v>
      </c>
      <c r="BJ143" s="34">
        <v>209.66</v>
      </c>
      <c r="BK143" s="43">
        <v>213.23</v>
      </c>
      <c r="BL143" s="5">
        <v>216.8</v>
      </c>
      <c r="BM143" s="5">
        <v>220.37</v>
      </c>
      <c r="BN143" s="5">
        <v>223.95</v>
      </c>
      <c r="BO143" s="5">
        <v>227.52</v>
      </c>
      <c r="BP143" s="5">
        <v>231.09</v>
      </c>
      <c r="BQ143" s="5">
        <v>234.66</v>
      </c>
      <c r="BR143" s="144">
        <v>238.23</v>
      </c>
      <c r="BS143" s="144">
        <v>241.81</v>
      </c>
      <c r="BT143" s="144">
        <v>245.38</v>
      </c>
      <c r="BU143" s="144">
        <v>248.95</v>
      </c>
      <c r="BV143" s="144">
        <v>252.52</v>
      </c>
      <c r="BW143" s="5">
        <v>145.75</v>
      </c>
      <c r="BX143" s="5">
        <v>142.18</v>
      </c>
      <c r="BY143" s="5">
        <v>138.61000000000001</v>
      </c>
      <c r="BZ143" s="5">
        <v>135.04</v>
      </c>
    </row>
    <row r="144" spans="1:78" x14ac:dyDescent="0.45">
      <c r="A144" s="119" t="s">
        <v>601</v>
      </c>
      <c r="B144" s="41">
        <v>299.54000000000002</v>
      </c>
      <c r="C144" s="81">
        <v>419.36</v>
      </c>
      <c r="D144" s="41">
        <v>304.64</v>
      </c>
      <c r="E144" s="81">
        <v>426.49</v>
      </c>
      <c r="F144" s="41">
        <v>309.73</v>
      </c>
      <c r="G144" s="88">
        <v>433.63</v>
      </c>
      <c r="H144" s="42">
        <v>314.83</v>
      </c>
      <c r="I144" s="94">
        <v>440.76</v>
      </c>
      <c r="J144" s="62">
        <v>319.93</v>
      </c>
      <c r="K144" s="100">
        <v>447.9</v>
      </c>
      <c r="L144" s="62">
        <v>325.02</v>
      </c>
      <c r="M144" s="100">
        <v>455.03</v>
      </c>
      <c r="N144" s="68">
        <v>330.12</v>
      </c>
      <c r="O144" s="106">
        <v>462.17</v>
      </c>
      <c r="P144" s="42">
        <v>335.21</v>
      </c>
      <c r="Q144" s="94">
        <v>469.3</v>
      </c>
      <c r="R144" s="42">
        <v>340.31</v>
      </c>
      <c r="S144" s="112">
        <v>476.43</v>
      </c>
      <c r="T144" s="43">
        <v>345.41</v>
      </c>
      <c r="U144" s="45">
        <v>483.57</v>
      </c>
      <c r="V144" s="5">
        <v>350.5</v>
      </c>
      <c r="W144" s="45">
        <v>490.7</v>
      </c>
      <c r="X144" s="5">
        <v>355.6</v>
      </c>
      <c r="Y144" s="126">
        <v>497.84</v>
      </c>
      <c r="Z144" s="5">
        <v>360.69</v>
      </c>
      <c r="AA144" s="126">
        <v>504.97</v>
      </c>
      <c r="AB144" s="5">
        <v>365.79</v>
      </c>
      <c r="AC144" s="134">
        <v>512.11</v>
      </c>
      <c r="AD144" s="5">
        <v>370.89</v>
      </c>
      <c r="AE144" s="134">
        <v>519.24</v>
      </c>
      <c r="AF144" s="5">
        <v>375.98</v>
      </c>
      <c r="AG144" s="134">
        <v>526.38</v>
      </c>
      <c r="AH144" s="144">
        <v>381.08</v>
      </c>
      <c r="AI144" s="134">
        <v>533.51</v>
      </c>
      <c r="AJ144" s="144">
        <v>386.17</v>
      </c>
      <c r="AK144" s="134">
        <v>540.64</v>
      </c>
      <c r="AL144" s="144">
        <v>391.27</v>
      </c>
      <c r="AM144" s="134">
        <v>547.78</v>
      </c>
      <c r="AN144" s="144">
        <v>396.37</v>
      </c>
      <c r="AO144" s="144">
        <v>554.91</v>
      </c>
      <c r="AP144" s="5">
        <v>401.46</v>
      </c>
      <c r="AQ144" s="121">
        <v>562.04999999999995</v>
      </c>
      <c r="AR144" s="5">
        <v>228.52</v>
      </c>
      <c r="AS144" s="5">
        <v>223.42</v>
      </c>
      <c r="AT144" s="5">
        <v>218.33</v>
      </c>
      <c r="AU144" s="5">
        <v>213.23</v>
      </c>
      <c r="AV144" s="37">
        <v>140</v>
      </c>
      <c r="AW144" s="41">
        <v>164.36</v>
      </c>
      <c r="AX144" s="41">
        <v>167.96</v>
      </c>
      <c r="AY144" s="41">
        <v>171.56</v>
      </c>
      <c r="AZ144" s="41">
        <v>175.15</v>
      </c>
      <c r="BA144" s="41">
        <v>178.75</v>
      </c>
      <c r="BB144" s="41">
        <v>182.35</v>
      </c>
      <c r="BC144" s="41">
        <v>185.95</v>
      </c>
      <c r="BD144" s="41">
        <v>189.55</v>
      </c>
      <c r="BE144" s="42">
        <v>193.14</v>
      </c>
      <c r="BF144" s="62">
        <v>196.74</v>
      </c>
      <c r="BG144" s="62">
        <v>200.34</v>
      </c>
      <c r="BH144" s="68">
        <v>203.94</v>
      </c>
      <c r="BI144" s="42">
        <v>207.54</v>
      </c>
      <c r="BJ144" s="34">
        <v>211.13</v>
      </c>
      <c r="BK144" s="43">
        <v>214.73</v>
      </c>
      <c r="BL144" s="5">
        <v>218.33</v>
      </c>
      <c r="BM144" s="5">
        <v>221.93</v>
      </c>
      <c r="BN144" s="5">
        <v>225.53</v>
      </c>
      <c r="BO144" s="5">
        <v>229.12</v>
      </c>
      <c r="BP144" s="5">
        <v>232.72</v>
      </c>
      <c r="BQ144" s="5">
        <v>236.32</v>
      </c>
      <c r="BR144" s="144">
        <v>239.92</v>
      </c>
      <c r="BS144" s="144">
        <v>243.52</v>
      </c>
      <c r="BT144" s="144">
        <v>247.11</v>
      </c>
      <c r="BU144" s="144">
        <v>250.71</v>
      </c>
      <c r="BV144" s="144">
        <v>254.31</v>
      </c>
      <c r="BW144" s="5">
        <v>146.77799999999999</v>
      </c>
      <c r="BX144" s="5">
        <v>143.19</v>
      </c>
      <c r="BY144" s="5">
        <v>139.59</v>
      </c>
      <c r="BZ144" s="5">
        <v>135.99</v>
      </c>
    </row>
    <row r="145" spans="1:78" x14ac:dyDescent="0.45">
      <c r="A145" s="119" t="s">
        <v>602</v>
      </c>
      <c r="B145" s="41">
        <v>301.56</v>
      </c>
      <c r="C145" s="81">
        <v>422.19</v>
      </c>
      <c r="D145" s="41">
        <v>306.69</v>
      </c>
      <c r="E145" s="81">
        <v>429.37</v>
      </c>
      <c r="F145" s="41">
        <v>311.83</v>
      </c>
      <c r="G145" s="88">
        <v>436.56</v>
      </c>
      <c r="H145" s="42">
        <v>316.95999999999998</v>
      </c>
      <c r="I145" s="94">
        <v>443.74</v>
      </c>
      <c r="J145" s="62">
        <v>322.08999999999997</v>
      </c>
      <c r="K145" s="100">
        <v>450.93</v>
      </c>
      <c r="L145" s="62">
        <v>327.22000000000003</v>
      </c>
      <c r="M145" s="100">
        <v>458.11</v>
      </c>
      <c r="N145" s="68">
        <v>332.36</v>
      </c>
      <c r="O145" s="106">
        <v>465.3</v>
      </c>
      <c r="P145" s="42">
        <v>337.49</v>
      </c>
      <c r="Q145" s="94">
        <v>472.48</v>
      </c>
      <c r="R145" s="42">
        <v>342.62</v>
      </c>
      <c r="S145" s="112">
        <v>479.67</v>
      </c>
      <c r="T145" s="43">
        <v>347.75</v>
      </c>
      <c r="U145" s="45">
        <v>486.85</v>
      </c>
      <c r="V145" s="5">
        <v>352.89</v>
      </c>
      <c r="W145" s="45">
        <v>494.04</v>
      </c>
      <c r="X145" s="5">
        <v>358.02</v>
      </c>
      <c r="Y145" s="126">
        <v>501.23</v>
      </c>
      <c r="Z145" s="5">
        <v>363.15</v>
      </c>
      <c r="AA145" s="126">
        <v>508.41</v>
      </c>
      <c r="AB145" s="5">
        <v>368.28</v>
      </c>
      <c r="AC145" s="134">
        <v>515.6</v>
      </c>
      <c r="AD145" s="5">
        <v>373.42</v>
      </c>
      <c r="AE145" s="134">
        <v>522.78</v>
      </c>
      <c r="AF145" s="5">
        <v>378.55</v>
      </c>
      <c r="AG145" s="134">
        <v>529.97</v>
      </c>
      <c r="AH145" s="144">
        <v>383.68</v>
      </c>
      <c r="AI145" s="134">
        <v>537.15</v>
      </c>
      <c r="AJ145" s="144">
        <v>388.81</v>
      </c>
      <c r="AK145" s="134">
        <v>544.34</v>
      </c>
      <c r="AL145" s="144">
        <v>393.94</v>
      </c>
      <c r="AM145" s="134">
        <v>551.52</v>
      </c>
      <c r="AN145" s="144">
        <v>399.08</v>
      </c>
      <c r="AO145" s="144">
        <v>558.74</v>
      </c>
      <c r="AP145" s="5">
        <v>404.21</v>
      </c>
      <c r="AQ145" s="121">
        <v>565.89</v>
      </c>
      <c r="AR145" s="5">
        <v>230.08</v>
      </c>
      <c r="AS145" s="5">
        <v>224.95</v>
      </c>
      <c r="AT145" s="5">
        <v>219.82</v>
      </c>
      <c r="AU145" s="5">
        <v>214.69</v>
      </c>
      <c r="AV145" s="37">
        <v>141</v>
      </c>
      <c r="AW145" s="41">
        <v>165.59</v>
      </c>
      <c r="AX145" s="41">
        <v>169.22</v>
      </c>
      <c r="AY145" s="41">
        <v>172.84</v>
      </c>
      <c r="AZ145" s="41">
        <v>176.46</v>
      </c>
      <c r="BA145" s="41">
        <v>180.09</v>
      </c>
      <c r="BB145" s="41">
        <v>183.71</v>
      </c>
      <c r="BC145" s="41">
        <v>187.33</v>
      </c>
      <c r="BD145" s="41">
        <v>190.96</v>
      </c>
      <c r="BE145" s="42">
        <v>194.58</v>
      </c>
      <c r="BF145" s="62">
        <v>198.2</v>
      </c>
      <c r="BG145" s="62">
        <v>201.83</v>
      </c>
      <c r="BH145" s="68">
        <v>205.45</v>
      </c>
      <c r="BI145" s="42">
        <v>209.08</v>
      </c>
      <c r="BJ145" s="34">
        <v>212.7</v>
      </c>
      <c r="BK145" s="43">
        <v>216.32</v>
      </c>
      <c r="BL145" s="5">
        <v>219.95</v>
      </c>
      <c r="BM145" s="5">
        <v>223.57</v>
      </c>
      <c r="BN145" s="5">
        <v>227.19</v>
      </c>
      <c r="BO145" s="5">
        <v>230.82</v>
      </c>
      <c r="BP145" s="5">
        <v>234.44</v>
      </c>
      <c r="BQ145" s="5">
        <v>238.07</v>
      </c>
      <c r="BR145" s="144">
        <v>241.69</v>
      </c>
      <c r="BS145" s="144">
        <v>245.31</v>
      </c>
      <c r="BT145" s="144">
        <v>248.94</v>
      </c>
      <c r="BU145" s="144">
        <v>252.56</v>
      </c>
      <c r="BV145" s="144">
        <v>256.18</v>
      </c>
      <c r="BW145" s="5">
        <v>147.87</v>
      </c>
      <c r="BX145" s="5">
        <v>144.24</v>
      </c>
      <c r="BY145" s="5">
        <v>140.62</v>
      </c>
      <c r="BZ145" s="5">
        <v>137</v>
      </c>
    </row>
    <row r="146" spans="1:78" x14ac:dyDescent="0.45">
      <c r="A146" s="119" t="s">
        <v>603</v>
      </c>
      <c r="B146" s="41">
        <v>303.92</v>
      </c>
      <c r="C146" s="81">
        <v>425.49</v>
      </c>
      <c r="D146" s="41">
        <v>309.08999999999997</v>
      </c>
      <c r="E146" s="81">
        <v>432.73</v>
      </c>
      <c r="F146" s="41">
        <v>314.26</v>
      </c>
      <c r="G146" s="88">
        <v>439.96</v>
      </c>
      <c r="H146" s="42">
        <v>319.43</v>
      </c>
      <c r="I146" s="94">
        <v>447.2</v>
      </c>
      <c r="J146" s="62">
        <v>324.60000000000002</v>
      </c>
      <c r="K146" s="100">
        <v>454.44</v>
      </c>
      <c r="L146" s="62">
        <v>329.77</v>
      </c>
      <c r="M146" s="100">
        <v>461.67</v>
      </c>
      <c r="N146" s="68">
        <v>334.93</v>
      </c>
      <c r="O146" s="106">
        <v>468.91</v>
      </c>
      <c r="P146" s="42">
        <v>340.1</v>
      </c>
      <c r="Q146" s="94">
        <v>476.14</v>
      </c>
      <c r="R146" s="42">
        <v>345.27</v>
      </c>
      <c r="S146" s="112">
        <v>483.38</v>
      </c>
      <c r="T146" s="43">
        <v>350.44</v>
      </c>
      <c r="U146" s="45">
        <v>490.62</v>
      </c>
      <c r="V146" s="5">
        <v>355.61</v>
      </c>
      <c r="W146" s="45">
        <v>497.85</v>
      </c>
      <c r="X146" s="5">
        <v>360.78</v>
      </c>
      <c r="Y146" s="126">
        <v>505.09</v>
      </c>
      <c r="Z146" s="5">
        <v>365.95</v>
      </c>
      <c r="AA146" s="126">
        <v>512.33000000000004</v>
      </c>
      <c r="AB146" s="5">
        <v>371.12</v>
      </c>
      <c r="AC146" s="134">
        <v>519.55999999999995</v>
      </c>
      <c r="AD146" s="5">
        <v>376.28</v>
      </c>
      <c r="AE146" s="134">
        <v>526.79999999999995</v>
      </c>
      <c r="AF146" s="5">
        <v>381.45</v>
      </c>
      <c r="AG146" s="134">
        <v>534.04</v>
      </c>
      <c r="AH146" s="144">
        <v>386.62</v>
      </c>
      <c r="AI146" s="134">
        <v>541.27</v>
      </c>
      <c r="AJ146" s="144">
        <v>391.79</v>
      </c>
      <c r="AK146" s="134">
        <v>548.51</v>
      </c>
      <c r="AL146" s="144">
        <v>396.96</v>
      </c>
      <c r="AM146" s="134">
        <v>555.74</v>
      </c>
      <c r="AN146" s="144">
        <v>402.13</v>
      </c>
      <c r="AO146" s="144">
        <v>562.98</v>
      </c>
      <c r="AP146" s="5">
        <v>407.3</v>
      </c>
      <c r="AQ146" s="121">
        <v>570.22</v>
      </c>
      <c r="AR146" s="5">
        <v>231.84</v>
      </c>
      <c r="AS146" s="5">
        <v>226.67</v>
      </c>
      <c r="AT146" s="5">
        <v>221.51</v>
      </c>
      <c r="AU146" s="5">
        <v>216.34</v>
      </c>
      <c r="AV146" s="37">
        <v>142</v>
      </c>
      <c r="AW146" s="41">
        <v>166.74</v>
      </c>
      <c r="AX146" s="41">
        <v>170.39</v>
      </c>
      <c r="AY146" s="41">
        <v>147.04</v>
      </c>
      <c r="AZ146" s="41">
        <v>177.69</v>
      </c>
      <c r="BA146" s="41">
        <v>181.33</v>
      </c>
      <c r="BB146" s="41">
        <v>184.98</v>
      </c>
      <c r="BC146" s="41">
        <v>188.63</v>
      </c>
      <c r="BD146" s="41">
        <v>192.28</v>
      </c>
      <c r="BE146" s="42">
        <v>195.93</v>
      </c>
      <c r="BF146" s="62">
        <v>199.58</v>
      </c>
      <c r="BG146" s="62">
        <v>203.23</v>
      </c>
      <c r="BH146" s="68">
        <v>206.88</v>
      </c>
      <c r="BI146" s="42">
        <v>210.53</v>
      </c>
      <c r="BJ146" s="34">
        <v>214.18</v>
      </c>
      <c r="BK146" s="43">
        <v>217.83</v>
      </c>
      <c r="BL146" s="5">
        <v>221.48</v>
      </c>
      <c r="BM146" s="5">
        <v>225.13</v>
      </c>
      <c r="BN146" s="5">
        <v>228.78</v>
      </c>
      <c r="BO146" s="5">
        <v>232.43</v>
      </c>
      <c r="BP146" s="5">
        <v>236.08</v>
      </c>
      <c r="BQ146" s="5">
        <v>239.73</v>
      </c>
      <c r="BR146" s="144">
        <v>243.37</v>
      </c>
      <c r="BS146" s="144">
        <v>247.02</v>
      </c>
      <c r="BT146" s="144">
        <v>250.67</v>
      </c>
      <c r="BU146" s="144">
        <v>254.32</v>
      </c>
      <c r="BV146" s="144">
        <v>257.97000000000003</v>
      </c>
      <c r="BW146" s="5">
        <v>148.9</v>
      </c>
      <c r="BX146" s="5">
        <v>145.285</v>
      </c>
      <c r="BY146" s="5">
        <v>141.6</v>
      </c>
      <c r="BZ146" s="5">
        <v>137.94999999999999</v>
      </c>
    </row>
    <row r="147" spans="1:78" x14ac:dyDescent="0.45">
      <c r="A147" s="119" t="s">
        <v>604</v>
      </c>
      <c r="B147" s="41">
        <v>305.95</v>
      </c>
      <c r="C147" s="81">
        <v>428.33</v>
      </c>
      <c r="D147" s="41">
        <v>311.16000000000003</v>
      </c>
      <c r="E147" s="81">
        <v>435.62</v>
      </c>
      <c r="F147" s="41">
        <v>316.36</v>
      </c>
      <c r="G147" s="88">
        <v>422.91</v>
      </c>
      <c r="H147" s="42">
        <v>321.57</v>
      </c>
      <c r="I147" s="94">
        <v>450.19</v>
      </c>
      <c r="J147" s="62">
        <v>326.77</v>
      </c>
      <c r="K147" s="100">
        <v>457.48</v>
      </c>
      <c r="L147" s="62">
        <v>331.98</v>
      </c>
      <c r="M147" s="100">
        <v>464.77</v>
      </c>
      <c r="N147" s="68">
        <v>337.18</v>
      </c>
      <c r="O147" s="106">
        <v>472.06</v>
      </c>
      <c r="P147" s="42">
        <v>342.39</v>
      </c>
      <c r="Q147" s="94">
        <v>479.34</v>
      </c>
      <c r="R147" s="42">
        <v>347.59</v>
      </c>
      <c r="S147" s="112">
        <v>486.63</v>
      </c>
      <c r="T147" s="43">
        <v>352.8</v>
      </c>
      <c r="U147" s="45">
        <v>493.92</v>
      </c>
      <c r="V147" s="5">
        <v>358</v>
      </c>
      <c r="W147" s="45">
        <v>501.21</v>
      </c>
      <c r="X147" s="5">
        <v>363.21</v>
      </c>
      <c r="Y147" s="126">
        <v>508.49</v>
      </c>
      <c r="Z147" s="5">
        <v>368.41</v>
      </c>
      <c r="AA147" s="126">
        <v>515.77</v>
      </c>
      <c r="AB147" s="5">
        <v>373.62</v>
      </c>
      <c r="AC147" s="134">
        <v>523.07000000000005</v>
      </c>
      <c r="AD147" s="5">
        <v>378.82</v>
      </c>
      <c r="AE147" s="134">
        <v>530.35</v>
      </c>
      <c r="AF147" s="5">
        <v>384.03</v>
      </c>
      <c r="AG147" s="134">
        <v>537.64</v>
      </c>
      <c r="AH147" s="144">
        <v>389.23</v>
      </c>
      <c r="AI147" s="134">
        <v>544.92999999999995</v>
      </c>
      <c r="AJ147" s="144">
        <v>394.44</v>
      </c>
      <c r="AK147" s="134">
        <v>552.22</v>
      </c>
      <c r="AL147" s="144">
        <v>399.65</v>
      </c>
      <c r="AM147" s="134">
        <v>559.5</v>
      </c>
      <c r="AN147" s="144">
        <v>404.85</v>
      </c>
      <c r="AO147" s="144">
        <v>566.79</v>
      </c>
      <c r="AP147" s="5">
        <v>410.06</v>
      </c>
      <c r="AQ147" s="121">
        <v>574.08000000000004</v>
      </c>
      <c r="AR147" s="5">
        <v>233.41</v>
      </c>
      <c r="AS147" s="5">
        <v>228.21</v>
      </c>
      <c r="AT147" s="5">
        <v>223</v>
      </c>
      <c r="AU147" s="5">
        <v>217.8</v>
      </c>
      <c r="AV147" s="37">
        <v>143</v>
      </c>
      <c r="AW147" s="41">
        <v>167.88</v>
      </c>
      <c r="AX147" s="41">
        <v>171.56</v>
      </c>
      <c r="AY147" s="41">
        <v>175.23</v>
      </c>
      <c r="AZ147" s="41">
        <v>178.91</v>
      </c>
      <c r="BA147" s="41">
        <v>182.58</v>
      </c>
      <c r="BB147" s="41">
        <v>186.26</v>
      </c>
      <c r="BC147" s="41">
        <v>189.93</v>
      </c>
      <c r="BD147" s="41">
        <v>193.61</v>
      </c>
      <c r="BE147" s="42">
        <v>197.28</v>
      </c>
      <c r="BF147" s="62">
        <v>200.96</v>
      </c>
      <c r="BG147" s="62">
        <v>204.64</v>
      </c>
      <c r="BH147" s="68">
        <v>208.31</v>
      </c>
      <c r="BI147" s="42">
        <v>211.99</v>
      </c>
      <c r="BJ147" s="34">
        <v>215.66</v>
      </c>
      <c r="BK147" s="43">
        <v>219.34</v>
      </c>
      <c r="BL147" s="5">
        <v>223.01</v>
      </c>
      <c r="BM147" s="5">
        <v>226.69</v>
      </c>
      <c r="BN147" s="5">
        <v>230.36</v>
      </c>
      <c r="BO147" s="5">
        <v>234.04</v>
      </c>
      <c r="BP147" s="5">
        <v>237.71</v>
      </c>
      <c r="BQ147" s="5">
        <v>241.39</v>
      </c>
      <c r="BR147" s="144">
        <v>245.06</v>
      </c>
      <c r="BS147" s="144">
        <v>248.74</v>
      </c>
      <c r="BT147" s="144">
        <v>252.41</v>
      </c>
      <c r="BU147" s="144">
        <v>256.08999999999997</v>
      </c>
      <c r="BV147" s="144">
        <v>259.76</v>
      </c>
      <c r="BW147" s="5">
        <v>149.93</v>
      </c>
      <c r="BX147" s="5">
        <v>146.26</v>
      </c>
      <c r="BY147" s="5">
        <v>142.58000000000001</v>
      </c>
      <c r="BZ147" s="5">
        <v>138.91</v>
      </c>
    </row>
    <row r="148" spans="1:78" x14ac:dyDescent="0.45">
      <c r="A148" s="119" t="s">
        <v>605</v>
      </c>
      <c r="B148" s="41">
        <v>307.99</v>
      </c>
      <c r="C148" s="81">
        <v>431.18</v>
      </c>
      <c r="D148" s="41">
        <v>313.23</v>
      </c>
      <c r="E148" s="81">
        <v>438.52</v>
      </c>
      <c r="F148" s="41">
        <v>318.47000000000003</v>
      </c>
      <c r="G148" s="88">
        <v>445.86</v>
      </c>
      <c r="H148" s="42">
        <v>323.70999999999998</v>
      </c>
      <c r="I148" s="94">
        <v>453.19</v>
      </c>
      <c r="J148" s="62">
        <v>328.95</v>
      </c>
      <c r="K148" s="100">
        <v>460.53</v>
      </c>
      <c r="L148" s="62">
        <v>334.19</v>
      </c>
      <c r="M148" s="100">
        <v>467.87</v>
      </c>
      <c r="N148" s="68">
        <v>339.43</v>
      </c>
      <c r="O148" s="106">
        <v>475.21</v>
      </c>
      <c r="P148" s="42">
        <v>344.68</v>
      </c>
      <c r="Q148" s="94">
        <v>482.55</v>
      </c>
      <c r="R148" s="42">
        <v>349.92</v>
      </c>
      <c r="S148" s="112">
        <v>489.89</v>
      </c>
      <c r="T148" s="43">
        <v>355.16</v>
      </c>
      <c r="U148" s="45">
        <v>497.22</v>
      </c>
      <c r="V148" s="5">
        <v>360.4</v>
      </c>
      <c r="W148" s="45">
        <v>504.56</v>
      </c>
      <c r="X148" s="5">
        <v>365.64</v>
      </c>
      <c r="Y148" s="126">
        <v>511.9</v>
      </c>
      <c r="Z148" s="5">
        <v>370.88</v>
      </c>
      <c r="AA148" s="126">
        <v>519.23</v>
      </c>
      <c r="AB148" s="5">
        <v>376.13</v>
      </c>
      <c r="AC148" s="134">
        <v>526.58000000000004</v>
      </c>
      <c r="AD148" s="5">
        <v>381.37</v>
      </c>
      <c r="AE148" s="134">
        <v>533.91999999999996</v>
      </c>
      <c r="AF148" s="5">
        <v>386.61</v>
      </c>
      <c r="AG148" s="134">
        <v>541.25</v>
      </c>
      <c r="AH148" s="144">
        <v>391.85</v>
      </c>
      <c r="AI148" s="134">
        <v>548.59</v>
      </c>
      <c r="AJ148" s="144">
        <v>397.09</v>
      </c>
      <c r="AK148" s="134">
        <v>555.92999999999995</v>
      </c>
      <c r="AL148" s="144">
        <v>402.33</v>
      </c>
      <c r="AM148" s="134">
        <v>563.27</v>
      </c>
      <c r="AN148" s="144">
        <v>407.58</v>
      </c>
      <c r="AO148" s="144">
        <v>570.61</v>
      </c>
      <c r="AP148" s="5">
        <v>412.82</v>
      </c>
      <c r="AQ148" s="121">
        <v>577.94000000000005</v>
      </c>
      <c r="AR148" s="5">
        <v>234.98</v>
      </c>
      <c r="AS148" s="5">
        <v>229.74</v>
      </c>
      <c r="AT148" s="5">
        <v>224.5</v>
      </c>
      <c r="AU148" s="5">
        <v>219.26</v>
      </c>
      <c r="AV148" s="37">
        <v>144</v>
      </c>
      <c r="AW148" s="41">
        <v>169.12</v>
      </c>
      <c r="AX148" s="41">
        <v>172.83</v>
      </c>
      <c r="AY148" s="41">
        <v>176.53</v>
      </c>
      <c r="AZ148" s="41">
        <v>180.23</v>
      </c>
      <c r="BA148" s="41">
        <v>183.93</v>
      </c>
      <c r="BB148" s="41">
        <v>187.63</v>
      </c>
      <c r="BC148" s="41">
        <v>191.33</v>
      </c>
      <c r="BD148" s="41">
        <v>195.03</v>
      </c>
      <c r="BE148" s="42">
        <v>198.73</v>
      </c>
      <c r="BF148" s="62">
        <v>202.43</v>
      </c>
      <c r="BG148" s="62">
        <v>206.13</v>
      </c>
      <c r="BH148" s="68">
        <v>209.83</v>
      </c>
      <c r="BI148" s="42">
        <v>213.53</v>
      </c>
      <c r="BJ148" s="34">
        <v>217.23</v>
      </c>
      <c r="BK148" s="43">
        <v>220.94</v>
      </c>
      <c r="BL148" s="5">
        <v>224.64</v>
      </c>
      <c r="BM148" s="5">
        <v>228.34</v>
      </c>
      <c r="BN148" s="5">
        <v>232.04</v>
      </c>
      <c r="BO148" s="5">
        <v>235.74</v>
      </c>
      <c r="BP148" s="5">
        <v>239.44</v>
      </c>
      <c r="BQ148" s="5">
        <v>243.14</v>
      </c>
      <c r="BR148" s="144">
        <v>246.84</v>
      </c>
      <c r="BS148" s="144">
        <v>250.54</v>
      </c>
      <c r="BT148" s="144">
        <v>254.24</v>
      </c>
      <c r="BU148" s="144">
        <v>257.94</v>
      </c>
      <c r="BV148" s="144">
        <v>261.64</v>
      </c>
      <c r="BW148" s="5">
        <v>151.02000000000001</v>
      </c>
      <c r="BX148" s="5">
        <v>147.32</v>
      </c>
      <c r="BY148" s="5">
        <v>143.62</v>
      </c>
      <c r="BZ148" s="5">
        <v>139.91999999999999</v>
      </c>
    </row>
    <row r="149" spans="1:78" x14ac:dyDescent="0.45">
      <c r="A149" s="119" t="s">
        <v>606</v>
      </c>
      <c r="B149" s="41">
        <v>310.37</v>
      </c>
      <c r="C149" s="81">
        <v>434.52</v>
      </c>
      <c r="D149" s="41">
        <v>315.64999999999998</v>
      </c>
      <c r="E149" s="81">
        <v>441.91</v>
      </c>
      <c r="F149" s="41">
        <v>320.93</v>
      </c>
      <c r="G149" s="88">
        <v>449.3</v>
      </c>
      <c r="H149" s="42">
        <v>326.20999999999998</v>
      </c>
      <c r="I149" s="94">
        <v>456.69</v>
      </c>
      <c r="J149" s="62">
        <v>331.49</v>
      </c>
      <c r="K149" s="100">
        <v>464.08</v>
      </c>
      <c r="L149" s="62">
        <v>336.76</v>
      </c>
      <c r="M149" s="100">
        <v>471.47</v>
      </c>
      <c r="N149" s="68">
        <v>342.04</v>
      </c>
      <c r="O149" s="106">
        <v>478.86</v>
      </c>
      <c r="P149" s="42">
        <v>347.32</v>
      </c>
      <c r="Q149" s="94">
        <v>486.25</v>
      </c>
      <c r="R149" s="42">
        <v>352.6</v>
      </c>
      <c r="S149" s="112">
        <v>493.64</v>
      </c>
      <c r="T149" s="43">
        <v>357.88</v>
      </c>
      <c r="U149" s="45">
        <v>501.03</v>
      </c>
      <c r="V149" s="5">
        <v>363.15</v>
      </c>
      <c r="W149" s="45">
        <v>508.42</v>
      </c>
      <c r="X149" s="5">
        <v>368.43</v>
      </c>
      <c r="Y149" s="126">
        <v>515.79999999999995</v>
      </c>
      <c r="Z149" s="5">
        <v>373.71</v>
      </c>
      <c r="AA149" s="126">
        <v>523.19000000000005</v>
      </c>
      <c r="AB149" s="5">
        <v>378.99</v>
      </c>
      <c r="AC149" s="134">
        <v>530.58000000000004</v>
      </c>
      <c r="AD149" s="5">
        <v>384.27</v>
      </c>
      <c r="AE149" s="134">
        <v>537.97</v>
      </c>
      <c r="AF149" s="5">
        <v>389.54</v>
      </c>
      <c r="AG149" s="134">
        <v>545.36</v>
      </c>
      <c r="AH149" s="144">
        <v>394.82</v>
      </c>
      <c r="AI149" s="134">
        <v>552.75</v>
      </c>
      <c r="AJ149" s="144">
        <v>400.1</v>
      </c>
      <c r="AK149" s="134">
        <v>560.14</v>
      </c>
      <c r="AL149" s="144">
        <v>405.38</v>
      </c>
      <c r="AM149" s="134">
        <v>567.53</v>
      </c>
      <c r="AN149" s="144">
        <v>410.66</v>
      </c>
      <c r="AO149" s="144">
        <v>574.91999999999996</v>
      </c>
      <c r="AP149" s="5">
        <v>415.93</v>
      </c>
      <c r="AQ149" s="121">
        <v>582.30999999999995</v>
      </c>
      <c r="AR149" s="5">
        <v>236.76</v>
      </c>
      <c r="AS149" s="5">
        <v>231.48</v>
      </c>
      <c r="AT149" s="5">
        <v>226.2</v>
      </c>
      <c r="AU149" s="5">
        <v>220.93</v>
      </c>
      <c r="AV149" s="37">
        <v>145</v>
      </c>
      <c r="AW149" s="41">
        <v>170.27</v>
      </c>
      <c r="AX149" s="41">
        <v>174</v>
      </c>
      <c r="AY149" s="41">
        <v>177.73</v>
      </c>
      <c r="AZ149" s="41">
        <v>181.45</v>
      </c>
      <c r="BA149" s="41">
        <v>185.18</v>
      </c>
      <c r="BB149" s="41">
        <v>188.91</v>
      </c>
      <c r="BC149" s="41">
        <v>192.63</v>
      </c>
      <c r="BD149" s="41">
        <v>196.36</v>
      </c>
      <c r="BE149" s="42">
        <v>200.09</v>
      </c>
      <c r="BF149" s="62">
        <v>203.81</v>
      </c>
      <c r="BG149" s="62">
        <v>207.54</v>
      </c>
      <c r="BH149" s="68">
        <v>211.27</v>
      </c>
      <c r="BI149" s="42">
        <v>214.99</v>
      </c>
      <c r="BJ149" s="34">
        <v>218.72</v>
      </c>
      <c r="BK149" s="43">
        <v>222.45</v>
      </c>
      <c r="BL149" s="5">
        <v>226.17</v>
      </c>
      <c r="BM149" s="5">
        <v>229.9</v>
      </c>
      <c r="BN149" s="5">
        <v>233.62</v>
      </c>
      <c r="BO149" s="5">
        <v>237.35</v>
      </c>
      <c r="BP149" s="5">
        <v>241.08</v>
      </c>
      <c r="BQ149" s="5">
        <v>244.8</v>
      </c>
      <c r="BR149" s="144">
        <v>248.53</v>
      </c>
      <c r="BS149" s="144">
        <v>252.26</v>
      </c>
      <c r="BT149" s="144">
        <v>255.98</v>
      </c>
      <c r="BU149" s="144">
        <v>259.70999999999998</v>
      </c>
      <c r="BV149" s="144">
        <v>263.44</v>
      </c>
      <c r="BW149" s="5">
        <v>152.05000000000001</v>
      </c>
      <c r="BX149" s="5">
        <v>148.33000000000001</v>
      </c>
      <c r="BY149" s="5">
        <v>144.6</v>
      </c>
      <c r="BZ149" s="5">
        <v>140.87</v>
      </c>
    </row>
    <row r="150" spans="1:78" x14ac:dyDescent="0.45">
      <c r="A150" s="119" t="s">
        <v>607</v>
      </c>
      <c r="B150" s="41">
        <v>312.42</v>
      </c>
      <c r="C150" s="81">
        <v>437.39</v>
      </c>
      <c r="D150" s="41">
        <v>317.73</v>
      </c>
      <c r="E150" s="81">
        <v>444.83</v>
      </c>
      <c r="F150" s="41">
        <v>323.05</v>
      </c>
      <c r="G150" s="88">
        <v>452.27</v>
      </c>
      <c r="H150" s="42">
        <v>328.36</v>
      </c>
      <c r="I150" s="94">
        <v>459.71</v>
      </c>
      <c r="J150" s="62">
        <v>333.68</v>
      </c>
      <c r="K150" s="100">
        <v>467.15</v>
      </c>
      <c r="L150" s="62">
        <v>338.99</v>
      </c>
      <c r="M150" s="100">
        <v>474.59</v>
      </c>
      <c r="N150" s="68">
        <v>344.31</v>
      </c>
      <c r="O150" s="106">
        <v>482.03</v>
      </c>
      <c r="P150" s="42">
        <v>349.62</v>
      </c>
      <c r="Q150" s="94">
        <v>489.47</v>
      </c>
      <c r="R150" s="42">
        <v>354.93</v>
      </c>
      <c r="S150" s="112">
        <v>496.91</v>
      </c>
      <c r="T150" s="43">
        <v>360.25</v>
      </c>
      <c r="U150" s="45">
        <v>504.35</v>
      </c>
      <c r="V150" s="5">
        <v>365.56</v>
      </c>
      <c r="W150" s="45">
        <v>511.79</v>
      </c>
      <c r="X150" s="5">
        <v>370.88</v>
      </c>
      <c r="Y150" s="126">
        <v>519.23</v>
      </c>
      <c r="Z150" s="5">
        <v>376.19</v>
      </c>
      <c r="AA150" s="126">
        <v>526.66999999999996</v>
      </c>
      <c r="AB150" s="5">
        <v>381.51</v>
      </c>
      <c r="AC150" s="134">
        <v>534.11</v>
      </c>
      <c r="AD150" s="5">
        <v>386.82</v>
      </c>
      <c r="AE150" s="134">
        <v>541.54999999999995</v>
      </c>
      <c r="AF150" s="5">
        <v>392.14</v>
      </c>
      <c r="AG150" s="134">
        <v>548.99</v>
      </c>
      <c r="AH150" s="144">
        <v>397.45</v>
      </c>
      <c r="AI150" s="134">
        <v>556.42999999999995</v>
      </c>
      <c r="AJ150" s="144">
        <v>402.76</v>
      </c>
      <c r="AK150" s="134">
        <v>563.87</v>
      </c>
      <c r="AL150" s="144">
        <v>408.08</v>
      </c>
      <c r="AM150" s="134">
        <v>571.30999999999995</v>
      </c>
      <c r="AN150" s="144">
        <v>413.39</v>
      </c>
      <c r="AO150" s="144">
        <v>578.75</v>
      </c>
      <c r="AP150" s="5">
        <v>418.71</v>
      </c>
      <c r="AQ150" s="121">
        <v>586.19000000000005</v>
      </c>
      <c r="AR150" s="5">
        <v>238.34</v>
      </c>
      <c r="AS150" s="5">
        <v>233.02</v>
      </c>
      <c r="AT150" s="5">
        <v>227.71</v>
      </c>
      <c r="AU150" s="5">
        <v>222.39</v>
      </c>
      <c r="AV150" s="37">
        <v>146</v>
      </c>
      <c r="AW150" s="41">
        <v>171.43</v>
      </c>
      <c r="AX150" s="41">
        <v>175.18</v>
      </c>
      <c r="AY150" s="41">
        <v>178.93</v>
      </c>
      <c r="AZ150" s="41">
        <v>182.68</v>
      </c>
      <c r="BA150" s="41">
        <v>186.43</v>
      </c>
      <c r="BB150" s="41">
        <v>190.19</v>
      </c>
      <c r="BC150" s="41">
        <v>193.94</v>
      </c>
      <c r="BD150" s="41">
        <v>197.69</v>
      </c>
      <c r="BE150" s="42">
        <v>201.44</v>
      </c>
      <c r="BF150" s="62">
        <v>205.19</v>
      </c>
      <c r="BG150" s="62">
        <v>208.95</v>
      </c>
      <c r="BH150" s="68">
        <v>212.7</v>
      </c>
      <c r="BI150" s="42">
        <v>216.45</v>
      </c>
      <c r="BJ150" s="34">
        <v>220.2</v>
      </c>
      <c r="BK150" s="43">
        <v>223.96</v>
      </c>
      <c r="BL150" s="5">
        <v>227.71</v>
      </c>
      <c r="BM150" s="5">
        <v>231.46</v>
      </c>
      <c r="BN150" s="5">
        <v>235.21</v>
      </c>
      <c r="BO150" s="5">
        <v>238.96</v>
      </c>
      <c r="BP150" s="5">
        <v>242.72</v>
      </c>
      <c r="BQ150" s="5">
        <v>246.47</v>
      </c>
      <c r="BR150" s="144">
        <v>250.22</v>
      </c>
      <c r="BS150" s="144">
        <v>253.97</v>
      </c>
      <c r="BT150" s="144">
        <v>257.73</v>
      </c>
      <c r="BU150" s="144">
        <v>261.48</v>
      </c>
      <c r="BV150" s="144">
        <v>265.23</v>
      </c>
      <c r="BW150" s="5">
        <v>153.09</v>
      </c>
      <c r="BX150" s="5">
        <v>149.34</v>
      </c>
      <c r="BY150" s="5">
        <v>145.58000000000001</v>
      </c>
      <c r="BZ150" s="5">
        <v>141.83000000000001</v>
      </c>
    </row>
    <row r="151" spans="1:78" x14ac:dyDescent="0.45">
      <c r="A151" s="119" t="s">
        <v>608</v>
      </c>
      <c r="B151" s="41">
        <v>314.47000000000003</v>
      </c>
      <c r="C151" s="81">
        <v>440.25</v>
      </c>
      <c r="D151" s="41">
        <v>319.82</v>
      </c>
      <c r="E151" s="81">
        <v>447.75</v>
      </c>
      <c r="F151" s="41">
        <v>325.17</v>
      </c>
      <c r="G151" s="88">
        <v>455.24</v>
      </c>
      <c r="H151" s="42">
        <v>330.52</v>
      </c>
      <c r="I151" s="94">
        <v>462.73</v>
      </c>
      <c r="J151" s="62">
        <v>335.87</v>
      </c>
      <c r="K151" s="100">
        <v>470.22</v>
      </c>
      <c r="L151" s="62">
        <v>341.22</v>
      </c>
      <c r="M151" s="100">
        <v>477.71</v>
      </c>
      <c r="N151" s="68">
        <v>346.57</v>
      </c>
      <c r="O151" s="106">
        <v>485.2</v>
      </c>
      <c r="P151" s="42">
        <v>351.92</v>
      </c>
      <c r="Q151" s="94">
        <v>492.69</v>
      </c>
      <c r="R151" s="42">
        <v>357.27</v>
      </c>
      <c r="S151" s="112">
        <v>500.18</v>
      </c>
      <c r="T151" s="43">
        <v>362.63</v>
      </c>
      <c r="U151" s="45">
        <v>507.68</v>
      </c>
      <c r="V151" s="5">
        <v>367.98</v>
      </c>
      <c r="W151" s="45">
        <v>515.16999999999996</v>
      </c>
      <c r="X151" s="5">
        <v>373.33</v>
      </c>
      <c r="Y151" s="126">
        <v>522.66</v>
      </c>
      <c r="Z151" s="5">
        <v>378.68</v>
      </c>
      <c r="AA151" s="126">
        <v>530.15</v>
      </c>
      <c r="AB151" s="5">
        <v>384.03</v>
      </c>
      <c r="AC151" s="134">
        <v>537.64</v>
      </c>
      <c r="AD151" s="5">
        <v>389.38</v>
      </c>
      <c r="AE151" s="134">
        <v>545.13</v>
      </c>
      <c r="AF151" s="5">
        <v>394.73</v>
      </c>
      <c r="AG151" s="134">
        <v>552.62</v>
      </c>
      <c r="AH151" s="144">
        <v>400.08</v>
      </c>
      <c r="AI151" s="134">
        <v>560.11</v>
      </c>
      <c r="AJ151" s="144">
        <v>405.43</v>
      </c>
      <c r="AK151" s="134">
        <v>567.6</v>
      </c>
      <c r="AL151" s="144">
        <v>410.78</v>
      </c>
      <c r="AM151" s="134">
        <v>575.1</v>
      </c>
      <c r="AN151" s="144">
        <v>416.13</v>
      </c>
      <c r="AO151" s="144">
        <v>582.59</v>
      </c>
      <c r="AP151" s="5">
        <v>421.48</v>
      </c>
      <c r="AQ151" s="121">
        <v>590.08000000000004</v>
      </c>
      <c r="AR151" s="5">
        <v>239.92</v>
      </c>
      <c r="AS151" s="5">
        <v>234.57</v>
      </c>
      <c r="AT151" s="5">
        <v>229.21</v>
      </c>
      <c r="AU151" s="5">
        <v>223.86</v>
      </c>
      <c r="AV151" s="37">
        <v>147</v>
      </c>
      <c r="AW151" s="41">
        <v>172.58</v>
      </c>
      <c r="AX151" s="41">
        <v>176.35</v>
      </c>
      <c r="AY151" s="41">
        <v>180.13</v>
      </c>
      <c r="AZ151" s="41">
        <v>183.91</v>
      </c>
      <c r="BA151" s="41">
        <v>187.69</v>
      </c>
      <c r="BB151" s="41">
        <v>191.47</v>
      </c>
      <c r="BC151" s="41">
        <v>195.24</v>
      </c>
      <c r="BD151" s="41">
        <v>199.02</v>
      </c>
      <c r="BE151" s="42">
        <v>202.8</v>
      </c>
      <c r="BF151" s="62">
        <v>206.58</v>
      </c>
      <c r="BG151" s="62">
        <v>210.36</v>
      </c>
      <c r="BH151" s="68">
        <v>214.13</v>
      </c>
      <c r="BI151" s="42">
        <v>217.91</v>
      </c>
      <c r="BJ151" s="34">
        <v>221.69</v>
      </c>
      <c r="BK151" s="43">
        <v>225.47</v>
      </c>
      <c r="BL151" s="5">
        <v>229.25</v>
      </c>
      <c r="BM151" s="5">
        <v>233.02</v>
      </c>
      <c r="BN151" s="5">
        <v>236.8</v>
      </c>
      <c r="BO151" s="5">
        <v>240.58</v>
      </c>
      <c r="BP151" s="5">
        <v>244.36</v>
      </c>
      <c r="BQ151" s="5">
        <v>248.13</v>
      </c>
      <c r="BR151" s="144">
        <v>251.91</v>
      </c>
      <c r="BS151" s="144">
        <v>255.69</v>
      </c>
      <c r="BT151" s="144">
        <v>259.47000000000003</v>
      </c>
      <c r="BU151" s="144">
        <v>263.25</v>
      </c>
      <c r="BV151" s="144">
        <v>267.02</v>
      </c>
      <c r="BW151" s="5">
        <v>154.12</v>
      </c>
      <c r="BX151" s="5">
        <v>150.34</v>
      </c>
      <c r="BY151" s="5">
        <v>146.57</v>
      </c>
      <c r="BZ151" s="5">
        <v>142.79</v>
      </c>
    </row>
    <row r="152" spans="1:78" x14ac:dyDescent="0.45">
      <c r="A152" s="119" t="s">
        <v>609</v>
      </c>
      <c r="B152" s="41">
        <v>316.52</v>
      </c>
      <c r="C152" s="81">
        <v>443.13</v>
      </c>
      <c r="D152" s="41">
        <v>321.91000000000003</v>
      </c>
      <c r="E152" s="81">
        <v>450.67</v>
      </c>
      <c r="F152" s="41">
        <v>327.29000000000002</v>
      </c>
      <c r="G152" s="88">
        <v>458.21</v>
      </c>
      <c r="H152" s="42">
        <v>332.68</v>
      </c>
      <c r="I152" s="94">
        <v>465.75</v>
      </c>
      <c r="J152" s="62">
        <v>338.07</v>
      </c>
      <c r="K152" s="100">
        <v>473.3</v>
      </c>
      <c r="L152" s="62">
        <v>343.46</v>
      </c>
      <c r="M152" s="100">
        <v>480.84</v>
      </c>
      <c r="N152" s="68">
        <v>348.84</v>
      </c>
      <c r="O152" s="106">
        <v>488.38</v>
      </c>
      <c r="P152" s="42">
        <v>354.23</v>
      </c>
      <c r="Q152" s="94">
        <v>495.92</v>
      </c>
      <c r="R152" s="42">
        <v>359.62</v>
      </c>
      <c r="S152" s="112">
        <v>503.47</v>
      </c>
      <c r="T152" s="43">
        <v>365.01</v>
      </c>
      <c r="U152" s="45">
        <v>511.01</v>
      </c>
      <c r="V152" s="5">
        <v>370.39</v>
      </c>
      <c r="W152" s="45">
        <v>518.54999999999995</v>
      </c>
      <c r="X152" s="5">
        <v>375.78</v>
      </c>
      <c r="Y152" s="126">
        <v>526.09</v>
      </c>
      <c r="Z152" s="5">
        <v>381.17</v>
      </c>
      <c r="AA152" s="126">
        <v>533.64</v>
      </c>
      <c r="AB152" s="5">
        <v>386.55</v>
      </c>
      <c r="AC152" s="134">
        <v>541.17999999999995</v>
      </c>
      <c r="AD152" s="5">
        <v>391.94</v>
      </c>
      <c r="AE152" s="134">
        <v>548.72</v>
      </c>
      <c r="AF152" s="5">
        <v>397.33</v>
      </c>
      <c r="AG152" s="134">
        <v>556.26</v>
      </c>
      <c r="AH152" s="144">
        <v>402.72</v>
      </c>
      <c r="AI152" s="134">
        <v>563.79999999999995</v>
      </c>
      <c r="AJ152" s="144">
        <v>408.1</v>
      </c>
      <c r="AK152" s="134">
        <v>571.34</v>
      </c>
      <c r="AL152" s="144">
        <v>413.49</v>
      </c>
      <c r="AM152" s="134">
        <v>578.89</v>
      </c>
      <c r="AN152" s="144">
        <v>418.88</v>
      </c>
      <c r="AO152" s="144">
        <v>586.42999999999995</v>
      </c>
      <c r="AP152" s="5">
        <v>424.26</v>
      </c>
      <c r="AQ152" s="121">
        <v>593.97</v>
      </c>
      <c r="AR152" s="5">
        <v>241.5</v>
      </c>
      <c r="AS152" s="5">
        <v>236.11</v>
      </c>
      <c r="AT152" s="5">
        <v>230.72</v>
      </c>
      <c r="AU152" s="5">
        <v>225.34</v>
      </c>
      <c r="AV152" s="37">
        <v>148</v>
      </c>
      <c r="AW152" s="41">
        <v>173.73</v>
      </c>
      <c r="AX152" s="41">
        <v>177.53</v>
      </c>
      <c r="AY152" s="41">
        <v>181.34</v>
      </c>
      <c r="AZ152" s="41">
        <v>185.14</v>
      </c>
      <c r="BA152" s="41">
        <v>188.94</v>
      </c>
      <c r="BB152" s="41">
        <v>192.75</v>
      </c>
      <c r="BC152" s="41">
        <v>196.55</v>
      </c>
      <c r="BD152" s="41">
        <v>200.36</v>
      </c>
      <c r="BE152" s="42">
        <v>204.16</v>
      </c>
      <c r="BF152" s="62">
        <v>207.96</v>
      </c>
      <c r="BG152" s="62">
        <v>211.77</v>
      </c>
      <c r="BH152" s="68">
        <v>215.57</v>
      </c>
      <c r="BI152" s="42">
        <v>219.37</v>
      </c>
      <c r="BJ152" s="34">
        <v>223.18</v>
      </c>
      <c r="BK152" s="43">
        <v>226.98</v>
      </c>
      <c r="BL152" s="5">
        <v>230.78</v>
      </c>
      <c r="BM152" s="5">
        <v>234.59</v>
      </c>
      <c r="BN152" s="5">
        <v>238.39</v>
      </c>
      <c r="BO152" s="5">
        <v>242.19</v>
      </c>
      <c r="BP152" s="5">
        <v>246</v>
      </c>
      <c r="BQ152" s="5">
        <v>249.8</v>
      </c>
      <c r="BR152" s="144">
        <v>253.61</v>
      </c>
      <c r="BS152" s="144">
        <v>257.41000000000003</v>
      </c>
      <c r="BT152" s="144">
        <v>261.20999999999998</v>
      </c>
      <c r="BU152" s="144">
        <v>265.02</v>
      </c>
      <c r="BV152" s="144">
        <v>268.82</v>
      </c>
      <c r="BW152" s="5">
        <v>155.16</v>
      </c>
      <c r="BX152" s="5">
        <v>151.35</v>
      </c>
      <c r="BY152" s="5">
        <v>147.55000000000001</v>
      </c>
      <c r="BZ152" s="5">
        <v>143.75</v>
      </c>
    </row>
    <row r="153" spans="1:78" x14ac:dyDescent="0.45">
      <c r="A153" s="119" t="s">
        <v>610</v>
      </c>
      <c r="B153" s="41">
        <v>318.58</v>
      </c>
      <c r="C153" s="81">
        <v>446.01</v>
      </c>
      <c r="D153" s="41">
        <v>324</v>
      </c>
      <c r="E153" s="81">
        <v>453.6</v>
      </c>
      <c r="F153" s="41">
        <v>329.42</v>
      </c>
      <c r="G153" s="88">
        <v>461.19</v>
      </c>
      <c r="H153" s="42">
        <v>334.85</v>
      </c>
      <c r="I153" s="94">
        <v>468.79</v>
      </c>
      <c r="J153" s="62">
        <v>340.27</v>
      </c>
      <c r="K153" s="100">
        <v>476.38</v>
      </c>
      <c r="L153" s="62">
        <v>345.7</v>
      </c>
      <c r="M153" s="100">
        <v>483.97</v>
      </c>
      <c r="N153" s="68">
        <v>351.12</v>
      </c>
      <c r="O153" s="106">
        <v>491.57</v>
      </c>
      <c r="P153" s="42">
        <v>356.54</v>
      </c>
      <c r="Q153" s="94">
        <v>499.16</v>
      </c>
      <c r="R153" s="42">
        <v>361.97</v>
      </c>
      <c r="S153" s="112">
        <v>506.75</v>
      </c>
      <c r="T153" s="43">
        <v>367.39</v>
      </c>
      <c r="U153" s="45">
        <v>514.35</v>
      </c>
      <c r="V153" s="5">
        <v>372.81</v>
      </c>
      <c r="W153" s="45">
        <v>521.94000000000005</v>
      </c>
      <c r="X153" s="5">
        <v>378.24</v>
      </c>
      <c r="Y153" s="126">
        <v>529.54</v>
      </c>
      <c r="Z153" s="5">
        <v>383.66</v>
      </c>
      <c r="AA153" s="126">
        <v>537.12</v>
      </c>
      <c r="AB153" s="5">
        <v>389.08</v>
      </c>
      <c r="AC153" s="134">
        <v>544.72</v>
      </c>
      <c r="AD153" s="5">
        <v>394.51</v>
      </c>
      <c r="AE153" s="134">
        <v>552.30999999999995</v>
      </c>
      <c r="AF153" s="5">
        <v>399.93</v>
      </c>
      <c r="AG153" s="134">
        <v>559.9</v>
      </c>
      <c r="AH153" s="144">
        <v>405.35</v>
      </c>
      <c r="AI153" s="134">
        <v>567.5</v>
      </c>
      <c r="AJ153" s="144">
        <v>410.78</v>
      </c>
      <c r="AK153" s="134">
        <v>575.09</v>
      </c>
      <c r="AL153" s="144">
        <v>416.2</v>
      </c>
      <c r="AM153" s="134">
        <v>582.67999999999995</v>
      </c>
      <c r="AN153" s="144">
        <v>421.63</v>
      </c>
      <c r="AO153" s="144">
        <v>590.28</v>
      </c>
      <c r="AP153" s="5">
        <v>427.05</v>
      </c>
      <c r="AQ153" s="121">
        <v>597.87</v>
      </c>
      <c r="AR153" s="5">
        <v>243.08</v>
      </c>
      <c r="AS153" s="5">
        <v>237.66</v>
      </c>
      <c r="AT153" s="5">
        <v>232.23</v>
      </c>
      <c r="AU153" s="5">
        <v>226.81</v>
      </c>
      <c r="AV153" s="37">
        <v>149</v>
      </c>
      <c r="AW153" s="41">
        <v>174.98</v>
      </c>
      <c r="AX153" s="41">
        <v>178.81</v>
      </c>
      <c r="AY153" s="41">
        <v>182.64</v>
      </c>
      <c r="AZ153" s="41">
        <v>186.47</v>
      </c>
      <c r="BA153" s="41">
        <v>190.3</v>
      </c>
      <c r="BB153" s="41">
        <v>194.13</v>
      </c>
      <c r="BC153" s="41">
        <v>197.96</v>
      </c>
      <c r="BD153" s="41">
        <v>201.79</v>
      </c>
      <c r="BE153" s="42">
        <v>205.62</v>
      </c>
      <c r="BF153" s="62">
        <v>209.45</v>
      </c>
      <c r="BG153" s="62">
        <v>213.28</v>
      </c>
      <c r="BH153" s="68">
        <v>217.11</v>
      </c>
      <c r="BI153" s="42">
        <v>220.93</v>
      </c>
      <c r="BJ153" s="34">
        <v>224.76</v>
      </c>
      <c r="BK153" s="43">
        <v>228.59</v>
      </c>
      <c r="BL153" s="5">
        <v>232.42</v>
      </c>
      <c r="BM153" s="5">
        <v>236.25</v>
      </c>
      <c r="BN153" s="5">
        <v>240.08</v>
      </c>
      <c r="BO153" s="5">
        <v>243.91</v>
      </c>
      <c r="BP153" s="5">
        <v>247.74</v>
      </c>
      <c r="BQ153" s="5">
        <v>251.57</v>
      </c>
      <c r="BR153" s="144">
        <v>255.4</v>
      </c>
      <c r="BS153" s="144">
        <v>259.23</v>
      </c>
      <c r="BT153" s="144">
        <v>263.06</v>
      </c>
      <c r="BU153" s="144">
        <v>266.89</v>
      </c>
      <c r="BV153" s="144">
        <v>270.72000000000003</v>
      </c>
      <c r="BW153" s="5">
        <v>156.26</v>
      </c>
      <c r="BX153" s="5">
        <v>152.43</v>
      </c>
      <c r="BY153" s="5">
        <v>148.6</v>
      </c>
      <c r="BZ153" s="5">
        <v>144.77000000000001</v>
      </c>
    </row>
    <row r="154" spans="1:78" x14ac:dyDescent="0.45">
      <c r="A154" s="119" t="s">
        <v>611</v>
      </c>
      <c r="B154" s="41">
        <v>321.01</v>
      </c>
      <c r="C154" s="81">
        <v>449.42</v>
      </c>
      <c r="D154" s="41">
        <v>326.47000000000003</v>
      </c>
      <c r="E154" s="81">
        <v>457.06</v>
      </c>
      <c r="F154" s="41">
        <v>331.93</v>
      </c>
      <c r="G154" s="88">
        <v>464.71</v>
      </c>
      <c r="H154" s="42">
        <v>337.39</v>
      </c>
      <c r="I154" s="94">
        <v>472.35</v>
      </c>
      <c r="J154" s="62">
        <v>342.85</v>
      </c>
      <c r="K154" s="100">
        <v>480</v>
      </c>
      <c r="L154" s="62">
        <v>348.31</v>
      </c>
      <c r="M154" s="100">
        <v>487.64</v>
      </c>
      <c r="N154" s="68">
        <v>353.77</v>
      </c>
      <c r="O154" s="106">
        <v>495.28</v>
      </c>
      <c r="P154" s="42">
        <v>359.23</v>
      </c>
      <c r="Q154" s="94">
        <v>502.93</v>
      </c>
      <c r="R154" s="42">
        <v>364.69</v>
      </c>
      <c r="S154" s="112">
        <v>510.57</v>
      </c>
      <c r="T154" s="43">
        <v>370.15</v>
      </c>
      <c r="U154" s="45">
        <v>518.22</v>
      </c>
      <c r="V154" s="5">
        <v>375.61</v>
      </c>
      <c r="W154" s="45">
        <v>525.86</v>
      </c>
      <c r="X154" s="5">
        <v>381.07</v>
      </c>
      <c r="Y154" s="126">
        <v>533.5</v>
      </c>
      <c r="Z154" s="5">
        <v>386.53</v>
      </c>
      <c r="AA154" s="126">
        <v>541.14</v>
      </c>
      <c r="AB154" s="5">
        <v>391.99</v>
      </c>
      <c r="AC154" s="134">
        <v>548.79</v>
      </c>
      <c r="AD154" s="5">
        <v>397.45</v>
      </c>
      <c r="AE154" s="134">
        <v>556.44000000000005</v>
      </c>
      <c r="AF154" s="5">
        <v>402.91</v>
      </c>
      <c r="AG154" s="134">
        <v>564.08000000000004</v>
      </c>
      <c r="AH154" s="144">
        <v>408.37</v>
      </c>
      <c r="AI154" s="134">
        <v>571.72</v>
      </c>
      <c r="AJ154" s="144">
        <v>413.83</v>
      </c>
      <c r="AK154" s="134">
        <v>579.37</v>
      </c>
      <c r="AL154" s="144">
        <v>419.29</v>
      </c>
      <c r="AM154" s="134">
        <v>587.01</v>
      </c>
      <c r="AN154" s="144">
        <v>424.75</v>
      </c>
      <c r="AO154" s="144">
        <v>594.66</v>
      </c>
      <c r="AP154" s="5">
        <v>430.21</v>
      </c>
      <c r="AQ154" s="121">
        <v>602.29999999999995</v>
      </c>
      <c r="AR154" s="5">
        <v>244.89</v>
      </c>
      <c r="AS154" s="5">
        <v>239.43</v>
      </c>
      <c r="AT154" s="5">
        <v>233.97</v>
      </c>
      <c r="AU154" s="5">
        <v>228.51</v>
      </c>
      <c r="AV154" s="37">
        <v>150</v>
      </c>
      <c r="AW154" s="41">
        <v>176.14</v>
      </c>
      <c r="AX154" s="41">
        <v>179.99</v>
      </c>
      <c r="AY154" s="41">
        <v>183.85</v>
      </c>
      <c r="AZ154" s="41">
        <v>187.7</v>
      </c>
      <c r="BA154" s="41">
        <v>191.56</v>
      </c>
      <c r="BB154" s="41">
        <v>195.41</v>
      </c>
      <c r="BC154" s="41">
        <v>199.27</v>
      </c>
      <c r="BD154" s="41">
        <v>203.12</v>
      </c>
      <c r="BE154" s="42">
        <v>206.98</v>
      </c>
      <c r="BF154" s="62">
        <v>210.83</v>
      </c>
      <c r="BG154" s="62">
        <v>214.69</v>
      </c>
      <c r="BH154" s="68">
        <v>218.54</v>
      </c>
      <c r="BI154" s="42">
        <v>222.4</v>
      </c>
      <c r="BJ154" s="34">
        <v>226.25</v>
      </c>
      <c r="BK154" s="43">
        <v>230.11</v>
      </c>
      <c r="BL154" s="5">
        <v>233.96</v>
      </c>
      <c r="BM154" s="5">
        <v>237.82</v>
      </c>
      <c r="BN154" s="5">
        <v>241.67</v>
      </c>
      <c r="BO154" s="5">
        <v>245.53</v>
      </c>
      <c r="BP154" s="5">
        <v>249.38</v>
      </c>
      <c r="BQ154" s="5">
        <v>253.24</v>
      </c>
      <c r="BR154" s="144">
        <v>257.08999999999997</v>
      </c>
      <c r="BS154" s="144">
        <v>260.95</v>
      </c>
      <c r="BT154" s="144">
        <v>264.8</v>
      </c>
      <c r="BU154" s="144">
        <v>268.66000000000003</v>
      </c>
      <c r="BV154" s="144">
        <v>272.51</v>
      </c>
      <c r="BW154" s="5">
        <v>157.29</v>
      </c>
      <c r="BX154" s="5">
        <v>153.44</v>
      </c>
      <c r="BY154" s="5">
        <v>149.58000000000001</v>
      </c>
      <c r="BZ154" s="5">
        <v>145.72999999999999</v>
      </c>
    </row>
    <row r="155" spans="1:78" x14ac:dyDescent="0.45">
      <c r="A155" s="119" t="s">
        <v>612</v>
      </c>
      <c r="B155" s="41">
        <v>323.08</v>
      </c>
      <c r="C155" s="81">
        <v>452.32</v>
      </c>
      <c r="D155" s="41">
        <v>328.58</v>
      </c>
      <c r="E155" s="81">
        <v>460.01</v>
      </c>
      <c r="F155" s="41">
        <v>334.08</v>
      </c>
      <c r="G155" s="88">
        <v>467.71</v>
      </c>
      <c r="H155" s="42">
        <v>339.57</v>
      </c>
      <c r="I155" s="94">
        <v>475.4</v>
      </c>
      <c r="J155" s="62">
        <v>345.07</v>
      </c>
      <c r="K155" s="100">
        <v>483.1</v>
      </c>
      <c r="L155" s="62">
        <v>350.56</v>
      </c>
      <c r="M155" s="100">
        <v>490.79</v>
      </c>
      <c r="N155" s="68">
        <v>356.06</v>
      </c>
      <c r="O155" s="106">
        <v>498.49</v>
      </c>
      <c r="P155" s="42">
        <v>361.56</v>
      </c>
      <c r="Q155" s="94">
        <v>506.18</v>
      </c>
      <c r="R155" s="42">
        <v>367.05</v>
      </c>
      <c r="S155" s="112">
        <v>513.88</v>
      </c>
      <c r="T155" s="43">
        <v>372.55</v>
      </c>
      <c r="U155" s="45">
        <v>521.57000000000005</v>
      </c>
      <c r="V155" s="5">
        <v>378.05</v>
      </c>
      <c r="W155" s="45">
        <v>529.27</v>
      </c>
      <c r="X155" s="5">
        <v>383.54</v>
      </c>
      <c r="Y155" s="126">
        <v>536.96</v>
      </c>
      <c r="Z155" s="5">
        <v>389.04</v>
      </c>
      <c r="AA155" s="126">
        <v>544.66</v>
      </c>
      <c r="AB155" s="5">
        <v>394.54</v>
      </c>
      <c r="AC155" s="134">
        <v>552.35</v>
      </c>
      <c r="AD155" s="5">
        <v>400.03</v>
      </c>
      <c r="AE155" s="134">
        <v>560.04999999999995</v>
      </c>
      <c r="AF155" s="5">
        <v>405.53</v>
      </c>
      <c r="AG155" s="134">
        <v>567.74</v>
      </c>
      <c r="AH155" s="144">
        <v>411.03</v>
      </c>
      <c r="AI155" s="134">
        <v>575.44000000000005</v>
      </c>
      <c r="AJ155" s="144">
        <v>416.52</v>
      </c>
      <c r="AK155" s="134">
        <v>583.13</v>
      </c>
      <c r="AL155" s="144">
        <v>422.02</v>
      </c>
      <c r="AM155" s="134">
        <v>590.83000000000004</v>
      </c>
      <c r="AN155" s="144">
        <v>427.51</v>
      </c>
      <c r="AO155" s="144">
        <v>598.52</v>
      </c>
      <c r="AP155" s="5">
        <v>433.01</v>
      </c>
      <c r="AQ155" s="121">
        <v>606.22</v>
      </c>
      <c r="AR155" s="5">
        <v>246.48</v>
      </c>
      <c r="AS155" s="5">
        <v>240.98</v>
      </c>
      <c r="AT155" s="5">
        <v>235.49</v>
      </c>
      <c r="AU155" s="5">
        <v>229.99</v>
      </c>
      <c r="AV155" s="37">
        <v>151</v>
      </c>
      <c r="AW155" s="41">
        <v>177.3</v>
      </c>
      <c r="AX155" s="41">
        <v>181.18</v>
      </c>
      <c r="AY155" s="41">
        <v>185.06</v>
      </c>
      <c r="AZ155" s="41">
        <v>188.94</v>
      </c>
      <c r="BA155" s="41">
        <v>192.82</v>
      </c>
      <c r="BB155" s="41">
        <v>196.7</v>
      </c>
      <c r="BC155" s="41">
        <v>200.58</v>
      </c>
      <c r="BD155" s="41">
        <v>204.46</v>
      </c>
      <c r="BE155" s="42">
        <v>208.34</v>
      </c>
      <c r="BF155" s="62">
        <v>212.22</v>
      </c>
      <c r="BG155" s="62">
        <v>216.1</v>
      </c>
      <c r="BH155" s="68">
        <v>219.98</v>
      </c>
      <c r="BI155" s="42">
        <v>223.86</v>
      </c>
      <c r="BJ155" s="34">
        <v>227.75</v>
      </c>
      <c r="BK155" s="43">
        <v>231.63</v>
      </c>
      <c r="BL155" s="5">
        <v>235.51</v>
      </c>
      <c r="BM155" s="5">
        <v>239.39</v>
      </c>
      <c r="BN155" s="5">
        <v>243.27</v>
      </c>
      <c r="BO155" s="5">
        <v>247.15</v>
      </c>
      <c r="BP155" s="5">
        <v>251.03</v>
      </c>
      <c r="BQ155" s="5">
        <v>254.91</v>
      </c>
      <c r="BR155" s="144">
        <v>258.79000000000002</v>
      </c>
      <c r="BS155" s="144">
        <v>262.67</v>
      </c>
      <c r="BT155" s="144">
        <v>266.55</v>
      </c>
      <c r="BU155" s="144">
        <v>270.43</v>
      </c>
      <c r="BV155" s="144">
        <v>274.31</v>
      </c>
      <c r="BW155" s="5">
        <v>158.33000000000001</v>
      </c>
      <c r="BX155" s="5">
        <v>154.44999999999999</v>
      </c>
      <c r="BY155" s="5">
        <v>150.57</v>
      </c>
      <c r="BZ155" s="5">
        <v>146.69</v>
      </c>
    </row>
    <row r="156" spans="1:78" x14ac:dyDescent="0.45">
      <c r="A156" s="119" t="s">
        <v>613</v>
      </c>
      <c r="B156" s="41">
        <v>325.16000000000003</v>
      </c>
      <c r="C156" s="81">
        <v>455.22</v>
      </c>
      <c r="D156" s="41">
        <v>330.69</v>
      </c>
      <c r="E156" s="81">
        <v>462.96</v>
      </c>
      <c r="F156" s="41">
        <v>336.22</v>
      </c>
      <c r="G156" s="88">
        <v>470.71</v>
      </c>
      <c r="H156" s="42">
        <v>341.75</v>
      </c>
      <c r="I156" s="94">
        <v>478.46</v>
      </c>
      <c r="J156" s="62">
        <v>347.29</v>
      </c>
      <c r="K156" s="100">
        <v>486.2</v>
      </c>
      <c r="L156" s="62">
        <v>352.82</v>
      </c>
      <c r="M156" s="100">
        <v>493.95</v>
      </c>
      <c r="N156" s="68">
        <v>358.35</v>
      </c>
      <c r="O156" s="106">
        <v>501.69</v>
      </c>
      <c r="P156" s="42">
        <v>363.89</v>
      </c>
      <c r="Q156" s="94">
        <v>509.44</v>
      </c>
      <c r="R156" s="42">
        <v>369.42</v>
      </c>
      <c r="S156" s="112">
        <v>517.19000000000005</v>
      </c>
      <c r="T156" s="43">
        <v>374.95</v>
      </c>
      <c r="U156" s="45">
        <v>524.92999999999995</v>
      </c>
      <c r="V156" s="5">
        <v>380.48</v>
      </c>
      <c r="W156" s="45">
        <v>532.67999999999995</v>
      </c>
      <c r="X156" s="5">
        <v>386.02</v>
      </c>
      <c r="Y156" s="126">
        <v>540.42999999999995</v>
      </c>
      <c r="Z156" s="5">
        <v>391.55</v>
      </c>
      <c r="AA156" s="126">
        <v>548.16999999999996</v>
      </c>
      <c r="AB156" s="5">
        <v>397.08</v>
      </c>
      <c r="AC156" s="134">
        <v>555.91999999999996</v>
      </c>
      <c r="AD156" s="5">
        <v>402.62</v>
      </c>
      <c r="AE156" s="134">
        <v>563.66</v>
      </c>
      <c r="AF156" s="5">
        <v>408.15</v>
      </c>
      <c r="AG156" s="134">
        <v>571.41</v>
      </c>
      <c r="AH156" s="144">
        <v>413.68</v>
      </c>
      <c r="AI156" s="134">
        <v>579.15</v>
      </c>
      <c r="AJ156" s="144">
        <v>419.21</v>
      </c>
      <c r="AK156" s="134">
        <v>586.9</v>
      </c>
      <c r="AL156" s="144">
        <v>424.75</v>
      </c>
      <c r="AM156" s="134">
        <v>594.65</v>
      </c>
      <c r="AN156" s="144">
        <v>430.28</v>
      </c>
      <c r="AO156" s="144">
        <v>602.39</v>
      </c>
      <c r="AP156" s="5">
        <v>435.81</v>
      </c>
      <c r="AQ156" s="121">
        <v>610.14</v>
      </c>
      <c r="AR156" s="5">
        <v>248.07</v>
      </c>
      <c r="AS156" s="5">
        <v>242.54</v>
      </c>
      <c r="AT156" s="5">
        <v>237.01</v>
      </c>
      <c r="AU156" s="5">
        <v>231.47</v>
      </c>
      <c r="AV156" s="37">
        <v>152</v>
      </c>
      <c r="AW156" s="41">
        <v>178.46</v>
      </c>
      <c r="AX156" s="41">
        <v>182.36</v>
      </c>
      <c r="AY156" s="41">
        <v>186.27</v>
      </c>
      <c r="AZ156" s="41">
        <v>190.17</v>
      </c>
      <c r="BA156" s="41">
        <v>194.08</v>
      </c>
      <c r="BB156" s="41">
        <v>197.99</v>
      </c>
      <c r="BC156" s="41">
        <v>201.89</v>
      </c>
      <c r="BD156" s="41">
        <v>205.8</v>
      </c>
      <c r="BE156" s="42">
        <v>209.71</v>
      </c>
      <c r="BF156" s="62">
        <v>213.61</v>
      </c>
      <c r="BG156" s="62">
        <v>217.52</v>
      </c>
      <c r="BH156" s="68">
        <v>221.43</v>
      </c>
      <c r="BI156" s="42">
        <v>225.33</v>
      </c>
      <c r="BJ156" s="34">
        <v>229.24</v>
      </c>
      <c r="BK156" s="43">
        <v>233.14</v>
      </c>
      <c r="BL156" s="5">
        <v>237.05</v>
      </c>
      <c r="BM156" s="5">
        <v>240.96</v>
      </c>
      <c r="BN156" s="5">
        <v>244.86</v>
      </c>
      <c r="BO156" s="5">
        <v>248.77</v>
      </c>
      <c r="BP156" s="5">
        <v>252.68</v>
      </c>
      <c r="BQ156" s="5">
        <v>256.58</v>
      </c>
      <c r="BR156" s="144">
        <v>260.49</v>
      </c>
      <c r="BS156" s="144">
        <v>264.39999999999998</v>
      </c>
      <c r="BT156" s="144">
        <v>268.3</v>
      </c>
      <c r="BU156" s="144">
        <v>272.20999999999998</v>
      </c>
      <c r="BV156" s="144">
        <v>276.12</v>
      </c>
      <c r="BW156" s="5">
        <v>159.37</v>
      </c>
      <c r="BX156" s="5">
        <v>155.46</v>
      </c>
      <c r="BY156" s="5">
        <v>151.56</v>
      </c>
      <c r="BZ156" s="5">
        <v>147.65</v>
      </c>
    </row>
    <row r="157" spans="1:78" x14ac:dyDescent="0.45">
      <c r="A157" s="119" t="s">
        <v>614</v>
      </c>
      <c r="B157" s="41">
        <v>327.23</v>
      </c>
      <c r="C157" s="81">
        <v>458.13</v>
      </c>
      <c r="D157" s="41">
        <v>332.8</v>
      </c>
      <c r="E157" s="81">
        <v>465.92</v>
      </c>
      <c r="F157" s="41">
        <v>338.37</v>
      </c>
      <c r="G157" s="88">
        <v>473.72</v>
      </c>
      <c r="H157" s="42">
        <v>343.94</v>
      </c>
      <c r="I157" s="94">
        <v>481.52</v>
      </c>
      <c r="J157" s="62">
        <v>349.51</v>
      </c>
      <c r="K157" s="100">
        <v>489.32</v>
      </c>
      <c r="L157" s="62">
        <v>355.08</v>
      </c>
      <c r="M157" s="100">
        <v>497.11</v>
      </c>
      <c r="N157" s="68">
        <v>360.65</v>
      </c>
      <c r="O157" s="106">
        <v>504.91</v>
      </c>
      <c r="P157" s="42">
        <v>366.22</v>
      </c>
      <c r="Q157" s="94">
        <v>512.71</v>
      </c>
      <c r="R157" s="42">
        <v>371.79</v>
      </c>
      <c r="S157" s="112">
        <v>520.5</v>
      </c>
      <c r="T157" s="43">
        <v>377.36</v>
      </c>
      <c r="U157" s="45">
        <v>528.29999999999995</v>
      </c>
      <c r="V157" s="5">
        <v>382.93</v>
      </c>
      <c r="W157" s="45">
        <v>536.1</v>
      </c>
      <c r="X157" s="5">
        <v>388.5</v>
      </c>
      <c r="Y157" s="126">
        <v>543.9</v>
      </c>
      <c r="Z157" s="5">
        <v>394.06</v>
      </c>
      <c r="AA157" s="126">
        <v>551.67999999999995</v>
      </c>
      <c r="AB157" s="5">
        <v>399.63</v>
      </c>
      <c r="AC157" s="134">
        <v>559.49</v>
      </c>
      <c r="AD157" s="5">
        <v>405.2</v>
      </c>
      <c r="AE157" s="134">
        <v>567.28</v>
      </c>
      <c r="AF157" s="5">
        <v>410.77</v>
      </c>
      <c r="AG157" s="134">
        <v>575.08000000000004</v>
      </c>
      <c r="AH157" s="144">
        <v>416.34</v>
      </c>
      <c r="AI157" s="134">
        <v>582.88</v>
      </c>
      <c r="AJ157" s="144">
        <v>421.91</v>
      </c>
      <c r="AK157" s="134">
        <v>590.66999999999996</v>
      </c>
      <c r="AL157" s="144">
        <v>427.48</v>
      </c>
      <c r="AM157" s="134">
        <v>598.47</v>
      </c>
      <c r="AN157" s="144">
        <v>433.05</v>
      </c>
      <c r="AO157" s="144">
        <v>606.27</v>
      </c>
      <c r="AP157" s="5">
        <v>438.62</v>
      </c>
      <c r="AQ157" s="121">
        <v>614.07000000000005</v>
      </c>
      <c r="AR157" s="5">
        <v>249.67</v>
      </c>
      <c r="AS157" s="5">
        <v>244.1</v>
      </c>
      <c r="AT157" s="5">
        <v>238.53</v>
      </c>
      <c r="AU157" s="5">
        <v>232.96</v>
      </c>
      <c r="AV157" s="37">
        <v>153</v>
      </c>
      <c r="AW157" s="41">
        <v>179.61</v>
      </c>
      <c r="AX157" s="41">
        <v>183.55</v>
      </c>
      <c r="AY157" s="41">
        <v>187.48</v>
      </c>
      <c r="AZ157" s="41">
        <v>191.41</v>
      </c>
      <c r="BA157" s="41">
        <v>195.34</v>
      </c>
      <c r="BB157" s="41">
        <v>199.28</v>
      </c>
      <c r="BC157" s="41">
        <v>203.21</v>
      </c>
      <c r="BD157" s="41">
        <v>207.14</v>
      </c>
      <c r="BE157" s="42">
        <v>211.07</v>
      </c>
      <c r="BF157" s="62">
        <v>215</v>
      </c>
      <c r="BG157" s="62">
        <v>218.94</v>
      </c>
      <c r="BH157" s="68">
        <v>222.87</v>
      </c>
      <c r="BI157" s="42">
        <v>226.8</v>
      </c>
      <c r="BJ157" s="34">
        <v>230.73</v>
      </c>
      <c r="BK157" s="43">
        <v>234.66</v>
      </c>
      <c r="BL157" s="5">
        <v>238.6</v>
      </c>
      <c r="BM157" s="5">
        <v>242.53</v>
      </c>
      <c r="BN157" s="5">
        <v>246.46</v>
      </c>
      <c r="BO157" s="5">
        <v>250.39</v>
      </c>
      <c r="BP157" s="5">
        <v>254.32</v>
      </c>
      <c r="BQ157" s="5">
        <v>258.26</v>
      </c>
      <c r="BR157" s="144">
        <v>262.19</v>
      </c>
      <c r="BS157" s="144">
        <v>266.12</v>
      </c>
      <c r="BT157" s="144">
        <v>270.05</v>
      </c>
      <c r="BU157" s="144">
        <v>273.99</v>
      </c>
      <c r="BV157" s="144">
        <v>277.92</v>
      </c>
      <c r="BW157" s="5">
        <v>160.41</v>
      </c>
      <c r="BX157" s="5">
        <v>156.47999999999999</v>
      </c>
      <c r="BY157" s="5">
        <v>152.55000000000001</v>
      </c>
      <c r="BZ157" s="5">
        <v>148.61000000000001</v>
      </c>
    </row>
    <row r="158" spans="1:78" x14ac:dyDescent="0.45">
      <c r="A158" s="119" t="s">
        <v>615</v>
      </c>
      <c r="B158" s="41">
        <v>329.32</v>
      </c>
      <c r="C158" s="81">
        <v>461.04</v>
      </c>
      <c r="D158" s="41">
        <v>334.92</v>
      </c>
      <c r="E158" s="81">
        <v>468.89</v>
      </c>
      <c r="F158" s="41">
        <v>340.53</v>
      </c>
      <c r="G158" s="88">
        <v>476.74</v>
      </c>
      <c r="H158" s="42">
        <v>346.13</v>
      </c>
      <c r="I158" s="94">
        <v>484.59</v>
      </c>
      <c r="J158" s="62">
        <v>351.74</v>
      </c>
      <c r="K158" s="100">
        <v>492.43</v>
      </c>
      <c r="L158" s="62">
        <v>357.34</v>
      </c>
      <c r="M158" s="100">
        <v>500.28</v>
      </c>
      <c r="N158" s="68">
        <v>362.95</v>
      </c>
      <c r="O158" s="106">
        <v>508.13</v>
      </c>
      <c r="P158" s="42">
        <v>368.56</v>
      </c>
      <c r="Q158" s="94">
        <v>515.98</v>
      </c>
      <c r="R158" s="42">
        <v>374.16</v>
      </c>
      <c r="S158" s="112">
        <v>523.83000000000004</v>
      </c>
      <c r="T158" s="43">
        <v>379.77</v>
      </c>
      <c r="U158" s="45">
        <v>531.66999999999996</v>
      </c>
      <c r="V158" s="5">
        <v>385.37</v>
      </c>
      <c r="W158" s="45">
        <v>539.52</v>
      </c>
      <c r="X158" s="5">
        <v>390.98</v>
      </c>
      <c r="Y158" s="126">
        <v>547.37</v>
      </c>
      <c r="Z158" s="5">
        <v>396.58</v>
      </c>
      <c r="AA158" s="126">
        <v>555.21</v>
      </c>
      <c r="AB158" s="5">
        <v>402.19</v>
      </c>
      <c r="AC158" s="134">
        <v>563.05999999999995</v>
      </c>
      <c r="AD158" s="5">
        <v>407.79</v>
      </c>
      <c r="AE158" s="134">
        <v>570.91</v>
      </c>
      <c r="AF158" s="5">
        <v>413.4</v>
      </c>
      <c r="AG158" s="134">
        <v>578.76</v>
      </c>
      <c r="AH158" s="144">
        <v>419.01</v>
      </c>
      <c r="AI158" s="134">
        <v>586.61</v>
      </c>
      <c r="AJ158" s="144">
        <v>424.61</v>
      </c>
      <c r="AK158" s="134">
        <v>594.46</v>
      </c>
      <c r="AL158" s="144">
        <v>430.22</v>
      </c>
      <c r="AM158" s="134">
        <v>602.29999999999995</v>
      </c>
      <c r="AN158" s="144">
        <v>435.82</v>
      </c>
      <c r="AO158" s="144">
        <v>610.15</v>
      </c>
      <c r="AP158" s="5">
        <v>441.43</v>
      </c>
      <c r="AQ158" s="121">
        <v>618</v>
      </c>
      <c r="AR158" s="5">
        <v>251.27</v>
      </c>
      <c r="AS158" s="5">
        <v>245.66</v>
      </c>
      <c r="AT158" s="5">
        <v>240.06</v>
      </c>
      <c r="AU158" s="5">
        <v>234.45</v>
      </c>
      <c r="AV158" s="37">
        <v>154</v>
      </c>
      <c r="AW158" s="41">
        <v>180.78</v>
      </c>
      <c r="AX158" s="41">
        <v>184.73</v>
      </c>
      <c r="AY158" s="41">
        <v>188.69</v>
      </c>
      <c r="AZ158" s="41">
        <v>192.65</v>
      </c>
      <c r="BA158" s="41">
        <v>196.61</v>
      </c>
      <c r="BB158" s="41">
        <v>200.56</v>
      </c>
      <c r="BC158" s="41">
        <v>204.52</v>
      </c>
      <c r="BD158" s="41">
        <v>208.48</v>
      </c>
      <c r="BE158" s="42">
        <v>212.44</v>
      </c>
      <c r="BF158" s="62">
        <v>216.4</v>
      </c>
      <c r="BG158" s="62">
        <v>220.35</v>
      </c>
      <c r="BH158" s="68">
        <v>224.31</v>
      </c>
      <c r="BI158" s="42">
        <v>228.27</v>
      </c>
      <c r="BJ158" s="34">
        <v>232.23</v>
      </c>
      <c r="BK158" s="43">
        <v>236.18</v>
      </c>
      <c r="BL158" s="5">
        <v>240.14</v>
      </c>
      <c r="BM158" s="5">
        <v>244.1</v>
      </c>
      <c r="BN158" s="5">
        <v>248.06</v>
      </c>
      <c r="BO158" s="5">
        <v>252.02</v>
      </c>
      <c r="BP158" s="5">
        <v>255.97</v>
      </c>
      <c r="BQ158" s="5">
        <v>259.93</v>
      </c>
      <c r="BR158" s="144">
        <v>263.89</v>
      </c>
      <c r="BS158" s="144">
        <v>267.85000000000002</v>
      </c>
      <c r="BT158" s="144">
        <v>271.81</v>
      </c>
      <c r="BU158" s="144">
        <v>275.76</v>
      </c>
      <c r="BV158" s="144">
        <v>279.72000000000003</v>
      </c>
      <c r="BW158" s="5">
        <v>161.44999999999999</v>
      </c>
      <c r="BX158" s="5">
        <v>157.49</v>
      </c>
      <c r="BY158" s="5">
        <v>153.53</v>
      </c>
      <c r="BZ158" s="5">
        <v>149.58000000000001</v>
      </c>
    </row>
    <row r="159" spans="1:78" x14ac:dyDescent="0.45">
      <c r="A159" s="119" t="s">
        <v>616</v>
      </c>
      <c r="B159" s="41">
        <v>331.4</v>
      </c>
      <c r="C159" s="81">
        <v>463.96</v>
      </c>
      <c r="D159" s="41">
        <v>337.05</v>
      </c>
      <c r="E159" s="81">
        <v>471.86</v>
      </c>
      <c r="F159" s="41">
        <v>342.69</v>
      </c>
      <c r="G159" s="88">
        <v>479.76</v>
      </c>
      <c r="H159" s="42">
        <v>348.33</v>
      </c>
      <c r="I159" s="94">
        <v>487.66</v>
      </c>
      <c r="J159" s="62">
        <v>353.97</v>
      </c>
      <c r="K159" s="100">
        <v>495.56</v>
      </c>
      <c r="L159" s="62">
        <v>359.61</v>
      </c>
      <c r="M159" s="100">
        <v>503.46</v>
      </c>
      <c r="N159" s="68">
        <v>365.26</v>
      </c>
      <c r="O159" s="106">
        <v>511.36</v>
      </c>
      <c r="P159" s="42">
        <v>370.9</v>
      </c>
      <c r="Q159" s="94">
        <v>519.26</v>
      </c>
      <c r="R159" s="42">
        <v>376.54</v>
      </c>
      <c r="S159" s="112">
        <v>527.15</v>
      </c>
      <c r="T159" s="43">
        <v>382.18</v>
      </c>
      <c r="U159" s="45">
        <v>535.04999999999995</v>
      </c>
      <c r="V159" s="5">
        <v>387.82</v>
      </c>
      <c r="W159" s="45">
        <v>542.95000000000005</v>
      </c>
      <c r="X159" s="5">
        <v>393.47</v>
      </c>
      <c r="Y159" s="126">
        <v>550.86</v>
      </c>
      <c r="Z159" s="5">
        <v>399.11</v>
      </c>
      <c r="AA159" s="126">
        <v>558.75</v>
      </c>
      <c r="AB159" s="5">
        <v>404.75</v>
      </c>
      <c r="AC159" s="134">
        <v>566.65</v>
      </c>
      <c r="AD159" s="5">
        <v>410.39</v>
      </c>
      <c r="AE159" s="134">
        <v>574.54999999999995</v>
      </c>
      <c r="AF159" s="5">
        <v>416.03</v>
      </c>
      <c r="AG159" s="134">
        <v>582.45000000000005</v>
      </c>
      <c r="AH159" s="144">
        <v>421.68</v>
      </c>
      <c r="AI159" s="134">
        <v>590.35</v>
      </c>
      <c r="AJ159" s="144">
        <v>427.32</v>
      </c>
      <c r="AK159" s="134">
        <v>598.24</v>
      </c>
      <c r="AL159" s="144">
        <v>432.96</v>
      </c>
      <c r="AM159" s="134">
        <v>606.14</v>
      </c>
      <c r="AN159" s="144">
        <v>438.6</v>
      </c>
      <c r="AO159" s="144">
        <v>614.04</v>
      </c>
      <c r="AP159" s="5">
        <v>444.24</v>
      </c>
      <c r="AQ159" s="121">
        <v>621.94000000000005</v>
      </c>
      <c r="AR159" s="5">
        <v>252.87</v>
      </c>
      <c r="AS159" s="5">
        <v>247.23</v>
      </c>
      <c r="AT159" s="5">
        <v>241.58</v>
      </c>
      <c r="AU159" s="5">
        <v>235.94</v>
      </c>
      <c r="AV159" s="37">
        <v>155</v>
      </c>
      <c r="AW159" s="41">
        <v>181.94</v>
      </c>
      <c r="AX159" s="41">
        <v>185.92</v>
      </c>
      <c r="AY159" s="41">
        <v>189.9</v>
      </c>
      <c r="AZ159" s="41">
        <v>193.89</v>
      </c>
      <c r="BA159" s="41">
        <v>197.87</v>
      </c>
      <c r="BB159" s="41">
        <v>201.86</v>
      </c>
      <c r="BC159" s="41">
        <v>205.84</v>
      </c>
      <c r="BD159" s="41">
        <v>209.82</v>
      </c>
      <c r="BE159" s="42">
        <v>213.81</v>
      </c>
      <c r="BF159" s="62">
        <v>217.79</v>
      </c>
      <c r="BG159" s="62">
        <v>221.77</v>
      </c>
      <c r="BH159" s="68">
        <v>225.76</v>
      </c>
      <c r="BI159" s="42">
        <v>229.74</v>
      </c>
      <c r="BJ159" s="34">
        <v>233.72</v>
      </c>
      <c r="BK159" s="43">
        <v>237.71</v>
      </c>
      <c r="BL159" s="5">
        <v>241.69</v>
      </c>
      <c r="BM159" s="5">
        <v>245.67</v>
      </c>
      <c r="BN159" s="5">
        <v>249.66</v>
      </c>
      <c r="BO159" s="5">
        <v>253.64</v>
      </c>
      <c r="BP159" s="5">
        <v>257.62</v>
      </c>
      <c r="BQ159" s="5">
        <v>261.61</v>
      </c>
      <c r="BR159" s="144">
        <v>265.58999999999997</v>
      </c>
      <c r="BS159" s="144">
        <v>269.57</v>
      </c>
      <c r="BT159" s="144">
        <v>273.56</v>
      </c>
      <c r="BU159" s="144">
        <v>277.54000000000002</v>
      </c>
      <c r="BV159" s="144">
        <v>281.52999999999997</v>
      </c>
      <c r="BW159" s="5">
        <v>162.49</v>
      </c>
      <c r="BX159" s="5">
        <v>158.51</v>
      </c>
      <c r="BY159" s="5">
        <v>154.52000000000001</v>
      </c>
      <c r="BZ159" s="5">
        <v>150.54</v>
      </c>
    </row>
    <row r="160" spans="1:78" x14ac:dyDescent="0.45">
      <c r="A160" s="119" t="s">
        <v>617</v>
      </c>
      <c r="B160" s="41">
        <v>333.49</v>
      </c>
      <c r="C160" s="81">
        <v>466.89</v>
      </c>
      <c r="D160" s="41">
        <v>339.17</v>
      </c>
      <c r="E160" s="81">
        <v>474.84</v>
      </c>
      <c r="F160" s="41">
        <v>344.85</v>
      </c>
      <c r="G160" s="88">
        <v>482.79</v>
      </c>
      <c r="H160" s="42">
        <v>350.53</v>
      </c>
      <c r="I160" s="94">
        <v>490.74</v>
      </c>
      <c r="J160" s="62">
        <v>356.21</v>
      </c>
      <c r="K160" s="100">
        <v>498.69</v>
      </c>
      <c r="L160" s="62">
        <v>361.89</v>
      </c>
      <c r="M160" s="100">
        <v>506.64</v>
      </c>
      <c r="N160" s="68">
        <v>367.57</v>
      </c>
      <c r="O160" s="106">
        <v>514.59</v>
      </c>
      <c r="P160" s="42">
        <v>373.24</v>
      </c>
      <c r="Q160" s="94">
        <v>522.54</v>
      </c>
      <c r="R160" s="42">
        <v>378.92</v>
      </c>
      <c r="S160" s="112">
        <v>530.49</v>
      </c>
      <c r="T160" s="43">
        <v>384.6</v>
      </c>
      <c r="U160" s="45">
        <v>538.44000000000005</v>
      </c>
      <c r="V160" s="5">
        <v>390.28</v>
      </c>
      <c r="W160" s="45">
        <v>546.39</v>
      </c>
      <c r="X160" s="5">
        <v>395.96</v>
      </c>
      <c r="Y160" s="126">
        <v>554.34</v>
      </c>
      <c r="Z160" s="5">
        <v>401.64</v>
      </c>
      <c r="AA160" s="126">
        <v>562.29999999999995</v>
      </c>
      <c r="AB160" s="5">
        <v>407.31</v>
      </c>
      <c r="AC160" s="134">
        <v>570.24</v>
      </c>
      <c r="AD160" s="5">
        <v>412.99</v>
      </c>
      <c r="AE160" s="134">
        <v>578.19000000000005</v>
      </c>
      <c r="AF160" s="5">
        <v>418.67</v>
      </c>
      <c r="AG160" s="134">
        <v>586.14</v>
      </c>
      <c r="AH160" s="144">
        <v>424.35</v>
      </c>
      <c r="AI160" s="134">
        <v>594.09</v>
      </c>
      <c r="AJ160" s="144">
        <v>430.03</v>
      </c>
      <c r="AK160" s="134">
        <v>602.04</v>
      </c>
      <c r="AL160" s="144">
        <v>435.71</v>
      </c>
      <c r="AM160" s="134">
        <v>609.99</v>
      </c>
      <c r="AN160" s="144">
        <v>441.38</v>
      </c>
      <c r="AO160" s="144">
        <v>617.94000000000005</v>
      </c>
      <c r="AP160" s="5">
        <v>447.06</v>
      </c>
      <c r="AQ160" s="121">
        <v>625.89</v>
      </c>
      <c r="AR160" s="5">
        <v>254.47</v>
      </c>
      <c r="AS160" s="5">
        <v>248.79</v>
      </c>
      <c r="AT160" s="5">
        <v>243.12</v>
      </c>
      <c r="AU160" s="5">
        <v>237.44</v>
      </c>
      <c r="AV160" s="37">
        <v>156</v>
      </c>
      <c r="AW160" s="41">
        <v>183.1</v>
      </c>
      <c r="AX160" s="41">
        <v>187.11</v>
      </c>
      <c r="AY160" s="41">
        <v>191.12</v>
      </c>
      <c r="AZ160" s="41">
        <v>195.13</v>
      </c>
      <c r="BA160" s="41">
        <v>199.14</v>
      </c>
      <c r="BB160" s="41">
        <v>203.15</v>
      </c>
      <c r="BC160" s="41">
        <v>207.16</v>
      </c>
      <c r="BD160" s="41">
        <v>211.17</v>
      </c>
      <c r="BE160" s="42">
        <v>215.17</v>
      </c>
      <c r="BF160" s="62">
        <v>219.18</v>
      </c>
      <c r="BG160" s="62">
        <v>223.19</v>
      </c>
      <c r="BH160" s="68">
        <v>227.2</v>
      </c>
      <c r="BI160" s="42">
        <v>231.21</v>
      </c>
      <c r="BJ160" s="34">
        <v>235.22</v>
      </c>
      <c r="BK160" s="43">
        <v>239.23</v>
      </c>
      <c r="BL160" s="5">
        <v>243.24</v>
      </c>
      <c r="BM160" s="5">
        <v>247.25</v>
      </c>
      <c r="BN160" s="5">
        <v>251.26</v>
      </c>
      <c r="BO160" s="5">
        <v>255.27</v>
      </c>
      <c r="BP160" s="5">
        <v>259.27999999999997</v>
      </c>
      <c r="BQ160" s="5">
        <v>263.29000000000002</v>
      </c>
      <c r="BR160" s="144">
        <v>267.29000000000002</v>
      </c>
      <c r="BS160" s="144">
        <v>271.3</v>
      </c>
      <c r="BT160" s="144">
        <v>275.31</v>
      </c>
      <c r="BU160" s="144">
        <v>279.32</v>
      </c>
      <c r="BV160" s="144">
        <v>293.33</v>
      </c>
      <c r="BW160" s="5">
        <v>163.53</v>
      </c>
      <c r="BX160" s="5">
        <v>159.52000000000001</v>
      </c>
      <c r="BY160" s="5">
        <v>155.51</v>
      </c>
      <c r="BZ160" s="5">
        <v>151.5</v>
      </c>
    </row>
    <row r="161" spans="1:78" x14ac:dyDescent="0.45">
      <c r="A161" s="119" t="s">
        <v>618</v>
      </c>
      <c r="B161" s="41">
        <v>335.59</v>
      </c>
      <c r="C161" s="81">
        <v>469.83</v>
      </c>
      <c r="D161" s="41">
        <v>341.31</v>
      </c>
      <c r="E161" s="81">
        <v>477.83</v>
      </c>
      <c r="F161" s="41">
        <v>347.02</v>
      </c>
      <c r="G161" s="88">
        <v>485.83</v>
      </c>
      <c r="H161" s="42">
        <v>352.74</v>
      </c>
      <c r="I161" s="94">
        <v>493.83</v>
      </c>
      <c r="J161" s="62">
        <v>358.45</v>
      </c>
      <c r="K161" s="100">
        <v>501.83</v>
      </c>
      <c r="L161" s="62">
        <v>364.16</v>
      </c>
      <c r="M161" s="100">
        <v>509.83</v>
      </c>
      <c r="N161" s="68">
        <v>369.88</v>
      </c>
      <c r="O161" s="106">
        <v>517.83000000000004</v>
      </c>
      <c r="P161" s="42">
        <v>375.59</v>
      </c>
      <c r="Q161" s="94">
        <v>525.83000000000004</v>
      </c>
      <c r="R161" s="42">
        <v>381.31</v>
      </c>
      <c r="S161" s="112">
        <v>533.83000000000004</v>
      </c>
      <c r="T161" s="43">
        <v>387.02</v>
      </c>
      <c r="U161" s="45">
        <v>541.83000000000004</v>
      </c>
      <c r="V161" s="5">
        <v>392.74</v>
      </c>
      <c r="W161" s="45">
        <v>549.83000000000004</v>
      </c>
      <c r="X161" s="5">
        <v>398.45</v>
      </c>
      <c r="Y161" s="126">
        <v>557.83000000000004</v>
      </c>
      <c r="Z161" s="5">
        <v>404.17</v>
      </c>
      <c r="AA161" s="126">
        <v>565.84</v>
      </c>
      <c r="AB161" s="5">
        <v>409.88</v>
      </c>
      <c r="AC161" s="134">
        <v>573.84</v>
      </c>
      <c r="AD161" s="5">
        <v>415.6</v>
      </c>
      <c r="AE161" s="134">
        <v>581.84</v>
      </c>
      <c r="AF161" s="5">
        <v>421.31</v>
      </c>
      <c r="AG161" s="134">
        <v>589.84</v>
      </c>
      <c r="AH161" s="144">
        <v>427.03</v>
      </c>
      <c r="AI161" s="134">
        <v>597.84</v>
      </c>
      <c r="AJ161" s="144">
        <v>432.74</v>
      </c>
      <c r="AK161" s="134">
        <v>605.84</v>
      </c>
      <c r="AL161" s="144">
        <v>438.46</v>
      </c>
      <c r="AM161" s="134">
        <v>613.84</v>
      </c>
      <c r="AN161" s="144">
        <v>444.17</v>
      </c>
      <c r="AO161" s="144">
        <v>621.84</v>
      </c>
      <c r="AP161" s="5">
        <v>449.89</v>
      </c>
      <c r="AQ161" s="121">
        <v>629.84</v>
      </c>
      <c r="AR161" s="5">
        <v>256.08</v>
      </c>
      <c r="AS161" s="5">
        <v>250.36</v>
      </c>
      <c r="AT161" s="5">
        <v>244.65</v>
      </c>
      <c r="AU161" s="5">
        <v>238.94</v>
      </c>
      <c r="AV161" s="37">
        <v>157</v>
      </c>
      <c r="AW161" s="41">
        <v>184.27</v>
      </c>
      <c r="AX161" s="41">
        <v>188.3</v>
      </c>
      <c r="AY161" s="41">
        <v>192.34</v>
      </c>
      <c r="AZ161" s="41">
        <v>196.37</v>
      </c>
      <c r="BA161" s="41">
        <v>200.41</v>
      </c>
      <c r="BB161" s="41">
        <v>204.44</v>
      </c>
      <c r="BC161" s="41">
        <v>208.48</v>
      </c>
      <c r="BD161" s="41">
        <v>212.51</v>
      </c>
      <c r="BE161" s="42">
        <v>216.55</v>
      </c>
      <c r="BF161" s="62">
        <v>220.58</v>
      </c>
      <c r="BG161" s="62">
        <v>224.62</v>
      </c>
      <c r="BH161" s="68">
        <v>228.65</v>
      </c>
      <c r="BI161" s="42">
        <v>232.68</v>
      </c>
      <c r="BJ161" s="34">
        <v>236.72</v>
      </c>
      <c r="BK161" s="43">
        <v>240.75</v>
      </c>
      <c r="BL161" s="5">
        <v>244.79</v>
      </c>
      <c r="BM161" s="5">
        <v>248.82</v>
      </c>
      <c r="BN161" s="5">
        <v>252.86</v>
      </c>
      <c r="BO161" s="5">
        <v>256.89</v>
      </c>
      <c r="BP161" s="5">
        <v>260.93</v>
      </c>
      <c r="BQ161" s="5">
        <v>264.95999999999998</v>
      </c>
      <c r="BR161" s="144">
        <v>269</v>
      </c>
      <c r="BS161" s="144">
        <v>273.02999999999997</v>
      </c>
      <c r="BT161" s="144">
        <v>277.07</v>
      </c>
      <c r="BU161" s="144">
        <v>281.10000000000002</v>
      </c>
      <c r="BV161" s="144">
        <v>285.14</v>
      </c>
      <c r="BW161" s="5">
        <v>164.58</v>
      </c>
      <c r="BX161" s="5">
        <v>160.54</v>
      </c>
      <c r="BY161" s="5">
        <v>156.51</v>
      </c>
      <c r="BZ161" s="5">
        <v>152.47</v>
      </c>
    </row>
    <row r="162" spans="1:78" x14ac:dyDescent="0.45">
      <c r="A162" s="119" t="s">
        <v>619</v>
      </c>
      <c r="B162" s="41">
        <v>338.11</v>
      </c>
      <c r="C162" s="81">
        <v>473.35</v>
      </c>
      <c r="D162" s="41">
        <v>343.86</v>
      </c>
      <c r="E162" s="81">
        <v>481.4</v>
      </c>
      <c r="F162" s="41">
        <v>349.61</v>
      </c>
      <c r="G162" s="88">
        <v>489.45</v>
      </c>
      <c r="H162" s="42">
        <v>355.36</v>
      </c>
      <c r="I162" s="94">
        <v>497.51</v>
      </c>
      <c r="J162" s="62">
        <v>361.11</v>
      </c>
      <c r="K162" s="100">
        <v>505.56</v>
      </c>
      <c r="L162" s="62">
        <v>366.86</v>
      </c>
      <c r="M162" s="100">
        <v>513.61</v>
      </c>
      <c r="N162" s="68">
        <v>372.62</v>
      </c>
      <c r="O162" s="106">
        <v>521.66</v>
      </c>
      <c r="P162" s="42">
        <v>378.37</v>
      </c>
      <c r="Q162" s="94">
        <v>529.71</v>
      </c>
      <c r="R162" s="42">
        <v>384.12</v>
      </c>
      <c r="S162" s="112">
        <v>537.76</v>
      </c>
      <c r="T162" s="43">
        <v>389.87</v>
      </c>
      <c r="U162" s="45">
        <v>545.82000000000005</v>
      </c>
      <c r="V162" s="5">
        <v>395.62</v>
      </c>
      <c r="W162" s="45">
        <v>553.87</v>
      </c>
      <c r="X162" s="5">
        <v>401.37</v>
      </c>
      <c r="Y162" s="126">
        <v>561.91999999999996</v>
      </c>
      <c r="Z162" s="5">
        <v>407.12</v>
      </c>
      <c r="AA162" s="126">
        <v>569.97</v>
      </c>
      <c r="AB162" s="5">
        <v>412.87</v>
      </c>
      <c r="AC162" s="134">
        <v>578.02</v>
      </c>
      <c r="AD162" s="5">
        <v>418.62</v>
      </c>
      <c r="AE162" s="134">
        <v>586.07000000000005</v>
      </c>
      <c r="AF162" s="5">
        <v>424.38</v>
      </c>
      <c r="AG162" s="134">
        <v>594.13</v>
      </c>
      <c r="AH162" s="144">
        <v>430.13</v>
      </c>
      <c r="AI162" s="134">
        <v>602.17999999999995</v>
      </c>
      <c r="AJ162" s="144">
        <v>435.88</v>
      </c>
      <c r="AK162" s="134">
        <v>610.23</v>
      </c>
      <c r="AL162" s="144">
        <v>441.63</v>
      </c>
      <c r="AM162" s="134">
        <v>618.28</v>
      </c>
      <c r="AN162" s="144">
        <v>447.38</v>
      </c>
      <c r="AO162" s="144">
        <v>626.33000000000004</v>
      </c>
      <c r="AP162" s="5">
        <v>453.13</v>
      </c>
      <c r="AQ162" s="121">
        <v>634.38</v>
      </c>
      <c r="AR162" s="5">
        <v>257.93</v>
      </c>
      <c r="AS162" s="5">
        <v>252.18</v>
      </c>
      <c r="AT162" s="5">
        <v>246.43</v>
      </c>
      <c r="AU162" s="5">
        <v>240.68</v>
      </c>
      <c r="AV162" s="37">
        <v>158</v>
      </c>
      <c r="AW162" s="41">
        <v>185.43</v>
      </c>
      <c r="AX162" s="41">
        <v>189.49</v>
      </c>
      <c r="AY162" s="41">
        <v>193.55</v>
      </c>
      <c r="AZ162" s="41">
        <v>197.61</v>
      </c>
      <c r="BA162" s="41">
        <v>201.67</v>
      </c>
      <c r="BB162" s="41">
        <v>205.74</v>
      </c>
      <c r="BC162" s="41">
        <v>209.8</v>
      </c>
      <c r="BD162" s="41">
        <v>213.86</v>
      </c>
      <c r="BE162" s="42">
        <v>217.92</v>
      </c>
      <c r="BF162" s="62">
        <v>221.98</v>
      </c>
      <c r="BG162" s="62">
        <v>226.04</v>
      </c>
      <c r="BH162" s="68">
        <v>230.1</v>
      </c>
      <c r="BI162" s="42">
        <v>234.16</v>
      </c>
      <c r="BJ162" s="34">
        <v>238.22</v>
      </c>
      <c r="BK162" s="43">
        <v>242.28</v>
      </c>
      <c r="BL162" s="5">
        <v>246.34</v>
      </c>
      <c r="BM162" s="5">
        <v>250.4</v>
      </c>
      <c r="BN162" s="5">
        <v>254.46</v>
      </c>
      <c r="BO162" s="5">
        <v>258.52</v>
      </c>
      <c r="BP162" s="5">
        <v>262.58</v>
      </c>
      <c r="BQ162" s="5">
        <v>266.64</v>
      </c>
      <c r="BR162" s="144">
        <v>270.7</v>
      </c>
      <c r="BS162" s="144">
        <v>274.77</v>
      </c>
      <c r="BT162" s="144">
        <v>278.83</v>
      </c>
      <c r="BU162" s="144">
        <v>282.89</v>
      </c>
      <c r="BV162" s="144">
        <v>286.95</v>
      </c>
      <c r="BW162" s="5">
        <v>165.62</v>
      </c>
      <c r="BX162" s="5">
        <v>161.56</v>
      </c>
      <c r="BY162" s="5">
        <v>157.5</v>
      </c>
      <c r="BZ162" s="5">
        <v>153.44</v>
      </c>
    </row>
    <row r="163" spans="1:78" x14ac:dyDescent="0.45">
      <c r="A163" s="119" t="s">
        <v>620</v>
      </c>
      <c r="B163" s="41">
        <v>340.22</v>
      </c>
      <c r="C163" s="81">
        <v>476.31</v>
      </c>
      <c r="D163" s="41">
        <v>346.01</v>
      </c>
      <c r="E163" s="81">
        <v>484.41</v>
      </c>
      <c r="F163" s="41">
        <v>351.79</v>
      </c>
      <c r="G163" s="88">
        <v>492.51</v>
      </c>
      <c r="H163" s="42">
        <v>357.58</v>
      </c>
      <c r="I163" s="94">
        <v>500.61</v>
      </c>
      <c r="J163" s="62">
        <v>363.37</v>
      </c>
      <c r="K163" s="100">
        <v>508.72</v>
      </c>
      <c r="L163" s="62">
        <v>369.16</v>
      </c>
      <c r="M163" s="100">
        <v>516.82000000000005</v>
      </c>
      <c r="N163" s="68">
        <v>374.94</v>
      </c>
      <c r="O163" s="106">
        <v>524.91999999999996</v>
      </c>
      <c r="P163" s="42">
        <v>380.73</v>
      </c>
      <c r="Q163" s="94">
        <v>533.02</v>
      </c>
      <c r="R163" s="42">
        <v>386.52</v>
      </c>
      <c r="S163" s="112">
        <v>541.13</v>
      </c>
      <c r="T163" s="43">
        <v>392.31</v>
      </c>
      <c r="U163" s="45">
        <v>549.23</v>
      </c>
      <c r="V163" s="5">
        <v>398.09</v>
      </c>
      <c r="W163" s="45">
        <v>557.33000000000004</v>
      </c>
      <c r="X163" s="5">
        <v>403.88</v>
      </c>
      <c r="Y163" s="126">
        <v>565.42999999999995</v>
      </c>
      <c r="Z163" s="5">
        <v>409.67</v>
      </c>
      <c r="AA163" s="126">
        <v>573.54</v>
      </c>
      <c r="AB163" s="5">
        <v>415.46</v>
      </c>
      <c r="AC163" s="134">
        <v>581.64</v>
      </c>
      <c r="AD163" s="5">
        <v>421.24</v>
      </c>
      <c r="AE163" s="134">
        <v>589.74</v>
      </c>
      <c r="AF163" s="5">
        <v>427.03</v>
      </c>
      <c r="AG163" s="134">
        <v>597.85</v>
      </c>
      <c r="AH163" s="144">
        <v>432.82</v>
      </c>
      <c r="AI163" s="134">
        <v>605.95000000000005</v>
      </c>
      <c r="AJ163" s="144">
        <v>438.61</v>
      </c>
      <c r="AK163" s="134">
        <v>614.04999999999995</v>
      </c>
      <c r="AL163" s="144">
        <v>444.4</v>
      </c>
      <c r="AM163" s="134">
        <v>622.15</v>
      </c>
      <c r="AN163" s="144">
        <v>450.18</v>
      </c>
      <c r="AO163" s="144">
        <v>630.26</v>
      </c>
      <c r="AP163" s="5">
        <v>455.97</v>
      </c>
      <c r="AQ163" s="121">
        <v>638.36</v>
      </c>
      <c r="AR163" s="5">
        <v>259.55</v>
      </c>
      <c r="AS163" s="5">
        <v>253.76</v>
      </c>
      <c r="AT163" s="5">
        <v>247.97</v>
      </c>
      <c r="AU163" s="5">
        <v>242.18</v>
      </c>
      <c r="AV163" s="37">
        <v>159</v>
      </c>
      <c r="AW163" s="41">
        <v>186.6</v>
      </c>
      <c r="AX163" s="41">
        <v>190.69</v>
      </c>
      <c r="AY163" s="41">
        <v>194.77</v>
      </c>
      <c r="AZ163" s="41">
        <v>198.86</v>
      </c>
      <c r="BA163" s="41">
        <v>202.94</v>
      </c>
      <c r="BB163" s="41">
        <v>207.03</v>
      </c>
      <c r="BC163" s="41">
        <v>211.12</v>
      </c>
      <c r="BD163" s="41">
        <v>215.2</v>
      </c>
      <c r="BE163" s="42">
        <v>219.29</v>
      </c>
      <c r="BF163" s="62">
        <v>223.38</v>
      </c>
      <c r="BG163" s="62">
        <v>227.46</v>
      </c>
      <c r="BH163" s="68">
        <v>231.55</v>
      </c>
      <c r="BI163" s="42">
        <v>235.63</v>
      </c>
      <c r="BJ163" s="34">
        <v>239.72</v>
      </c>
      <c r="BK163" s="43">
        <v>243.81</v>
      </c>
      <c r="BL163" s="5">
        <v>247.89</v>
      </c>
      <c r="BM163" s="5">
        <v>251.98</v>
      </c>
      <c r="BN163" s="5">
        <v>256.07</v>
      </c>
      <c r="BO163" s="5">
        <v>260.14999999999998</v>
      </c>
      <c r="BP163" s="5">
        <v>264.24</v>
      </c>
      <c r="BQ163" s="5">
        <v>268.33</v>
      </c>
      <c r="BR163" s="144">
        <v>272.41000000000003</v>
      </c>
      <c r="BS163" s="144">
        <v>276.5</v>
      </c>
      <c r="BT163" s="144">
        <v>280.58</v>
      </c>
      <c r="BU163" s="144">
        <v>284.67</v>
      </c>
      <c r="BV163" s="144">
        <v>288.76</v>
      </c>
      <c r="BW163" s="5">
        <v>166.66</v>
      </c>
      <c r="BX163" s="5">
        <v>162.58000000000001</v>
      </c>
      <c r="BY163" s="5">
        <v>158.49</v>
      </c>
      <c r="BZ163" s="5">
        <v>154.4</v>
      </c>
    </row>
    <row r="164" spans="1:78" x14ac:dyDescent="0.45">
      <c r="A164" s="119" t="s">
        <v>621</v>
      </c>
      <c r="B164" s="41">
        <v>342.33</v>
      </c>
      <c r="C164" s="81">
        <v>479.27</v>
      </c>
      <c r="D164" s="41">
        <v>348.16</v>
      </c>
      <c r="E164" s="81">
        <v>487.42</v>
      </c>
      <c r="F164" s="41">
        <v>353.98</v>
      </c>
      <c r="G164" s="88">
        <v>495.58</v>
      </c>
      <c r="H164" s="42">
        <v>359.81</v>
      </c>
      <c r="I164" s="94">
        <v>503.73</v>
      </c>
      <c r="J164" s="62">
        <v>365.63</v>
      </c>
      <c r="K164" s="100">
        <v>511.88</v>
      </c>
      <c r="L164" s="62">
        <v>371.45</v>
      </c>
      <c r="M164" s="100">
        <v>520.04</v>
      </c>
      <c r="N164" s="68">
        <v>377.28</v>
      </c>
      <c r="O164" s="106">
        <v>528.19000000000005</v>
      </c>
      <c r="P164" s="42">
        <v>383.1</v>
      </c>
      <c r="Q164" s="94">
        <v>536.34</v>
      </c>
      <c r="R164" s="42">
        <v>388.93</v>
      </c>
      <c r="S164" s="112">
        <v>544.5</v>
      </c>
      <c r="T164" s="43">
        <v>394.75</v>
      </c>
      <c r="U164" s="45">
        <v>552.65</v>
      </c>
      <c r="V164" s="5">
        <v>400.57</v>
      </c>
      <c r="W164" s="45">
        <v>560.79999999999995</v>
      </c>
      <c r="X164" s="5">
        <v>406.4</v>
      </c>
      <c r="Y164" s="126">
        <v>568.96</v>
      </c>
      <c r="Z164" s="5">
        <v>412.22</v>
      </c>
      <c r="AA164" s="126">
        <v>577.11</v>
      </c>
      <c r="AB164" s="5">
        <v>418.05</v>
      </c>
      <c r="AC164" s="134">
        <v>585.26</v>
      </c>
      <c r="AD164" s="5">
        <v>423.87</v>
      </c>
      <c r="AE164" s="134">
        <v>593.41999999999996</v>
      </c>
      <c r="AF164" s="5">
        <v>429.69</v>
      </c>
      <c r="AG164" s="134">
        <v>601.57000000000005</v>
      </c>
      <c r="AH164" s="144">
        <v>435.52</v>
      </c>
      <c r="AI164" s="134">
        <v>609.73</v>
      </c>
      <c r="AJ164" s="144">
        <v>441.34</v>
      </c>
      <c r="AK164" s="134">
        <v>617.88</v>
      </c>
      <c r="AL164" s="144">
        <v>447.17</v>
      </c>
      <c r="AM164" s="134">
        <v>626.03</v>
      </c>
      <c r="AN164" s="144">
        <v>452.99</v>
      </c>
      <c r="AO164" s="144">
        <v>634.19000000000005</v>
      </c>
      <c r="AP164" s="5">
        <v>458.81</v>
      </c>
      <c r="AQ164" s="121">
        <v>642.34</v>
      </c>
      <c r="AR164" s="5">
        <v>261.17</v>
      </c>
      <c r="AS164" s="5">
        <v>255.34</v>
      </c>
      <c r="AT164" s="5">
        <v>249.52</v>
      </c>
      <c r="AU164" s="5">
        <v>243.69</v>
      </c>
      <c r="AV164" s="37">
        <v>160</v>
      </c>
      <c r="AW164" s="41">
        <v>187.77</v>
      </c>
      <c r="AX164" s="41">
        <v>191.88</v>
      </c>
      <c r="AY164" s="41">
        <v>195.99</v>
      </c>
      <c r="AZ164" s="41">
        <v>200.1</v>
      </c>
      <c r="BA164" s="41">
        <v>204.22</v>
      </c>
      <c r="BB164" s="41">
        <v>208.33</v>
      </c>
      <c r="BC164" s="41">
        <v>212.44</v>
      </c>
      <c r="BD164" s="41">
        <v>216.55</v>
      </c>
      <c r="BE164" s="42">
        <v>220.66</v>
      </c>
      <c r="BF164" s="62">
        <v>224.78</v>
      </c>
      <c r="BG164" s="62">
        <v>228.89</v>
      </c>
      <c r="BH164" s="68">
        <v>233</v>
      </c>
      <c r="BI164" s="42">
        <v>237.11</v>
      </c>
      <c r="BJ164" s="34">
        <v>241.22</v>
      </c>
      <c r="BK164" s="43">
        <v>245.34</v>
      </c>
      <c r="BL164" s="5">
        <v>249.45</v>
      </c>
      <c r="BM164" s="5">
        <v>253.56</v>
      </c>
      <c r="BN164" s="5">
        <v>257.67</v>
      </c>
      <c r="BO164" s="5">
        <v>261.77999999999997</v>
      </c>
      <c r="BP164" s="5">
        <v>265.89999999999998</v>
      </c>
      <c r="BQ164" s="5">
        <v>270.01</v>
      </c>
      <c r="BR164" s="144">
        <v>274.12</v>
      </c>
      <c r="BS164" s="144">
        <v>278.23</v>
      </c>
      <c r="BT164" s="144">
        <v>282.33999999999997</v>
      </c>
      <c r="BU164" s="144">
        <v>286.45999999999998</v>
      </c>
      <c r="BV164" s="144">
        <v>290.57</v>
      </c>
      <c r="BW164" s="5">
        <v>167.71</v>
      </c>
      <c r="BX164" s="5">
        <v>163.6</v>
      </c>
      <c r="BY164" s="5">
        <v>159.47999999999999</v>
      </c>
      <c r="BZ164" s="5">
        <v>155.37</v>
      </c>
    </row>
    <row r="165" spans="1:78" x14ac:dyDescent="0.45">
      <c r="A165" s="119" t="s">
        <v>622</v>
      </c>
      <c r="B165" s="41">
        <v>344.45</v>
      </c>
      <c r="C165" s="81">
        <v>482.24</v>
      </c>
      <c r="D165" s="41">
        <v>350.32</v>
      </c>
      <c r="E165" s="81">
        <v>490.44</v>
      </c>
      <c r="F165" s="41">
        <v>356.18</v>
      </c>
      <c r="G165" s="88">
        <v>498.65</v>
      </c>
      <c r="H165" s="42">
        <v>362.04</v>
      </c>
      <c r="I165" s="94">
        <v>506.85</v>
      </c>
      <c r="J165" s="62">
        <v>367.9</v>
      </c>
      <c r="K165" s="100">
        <v>515.05999999999995</v>
      </c>
      <c r="L165" s="62">
        <v>373.76</v>
      </c>
      <c r="M165" s="100">
        <v>523.26</v>
      </c>
      <c r="N165" s="68">
        <v>379.62</v>
      </c>
      <c r="O165" s="106">
        <v>531.46</v>
      </c>
      <c r="P165" s="42">
        <v>385.48</v>
      </c>
      <c r="Q165" s="94">
        <v>539.66999999999996</v>
      </c>
      <c r="R165" s="42">
        <v>391.34</v>
      </c>
      <c r="S165" s="112">
        <v>547.87</v>
      </c>
      <c r="T165" s="43">
        <v>397.2</v>
      </c>
      <c r="U165" s="45">
        <v>556.08000000000004</v>
      </c>
      <c r="V165" s="5">
        <v>403.06</v>
      </c>
      <c r="W165" s="45">
        <v>564.28</v>
      </c>
      <c r="X165" s="5">
        <v>408.92</v>
      </c>
      <c r="Y165" s="126">
        <v>572.49</v>
      </c>
      <c r="Z165" s="5">
        <v>414.78</v>
      </c>
      <c r="AA165" s="126">
        <v>580.69000000000005</v>
      </c>
      <c r="AB165" s="5">
        <v>420.64</v>
      </c>
      <c r="AC165" s="134">
        <v>588.9</v>
      </c>
      <c r="AD165" s="5">
        <v>426.5</v>
      </c>
      <c r="AE165" s="134">
        <v>597.1</v>
      </c>
      <c r="AF165" s="5">
        <v>432.36</v>
      </c>
      <c r="AG165" s="134">
        <v>605.30999999999995</v>
      </c>
      <c r="AH165" s="144">
        <v>438.22</v>
      </c>
      <c r="AI165" s="134">
        <v>613.51</v>
      </c>
      <c r="AJ165" s="144">
        <v>444.08</v>
      </c>
      <c r="AK165" s="134">
        <v>621.71</v>
      </c>
      <c r="AL165" s="144">
        <v>449.94</v>
      </c>
      <c r="AM165" s="134">
        <v>629.91999999999996</v>
      </c>
      <c r="AN165" s="144">
        <v>455.8</v>
      </c>
      <c r="AO165" s="144">
        <v>638.12</v>
      </c>
      <c r="AP165" s="5">
        <v>461.66</v>
      </c>
      <c r="AQ165" s="121">
        <v>646.33000000000004</v>
      </c>
      <c r="AR165" s="5">
        <v>262.79000000000002</v>
      </c>
      <c r="AS165" s="5">
        <v>256.93</v>
      </c>
      <c r="AT165" s="5">
        <v>251.07</v>
      </c>
      <c r="AU165" s="5">
        <v>245.21</v>
      </c>
      <c r="AV165" s="37">
        <v>161</v>
      </c>
      <c r="AW165" s="41">
        <v>188.94</v>
      </c>
      <c r="AX165" s="41">
        <v>193.08</v>
      </c>
      <c r="AY165" s="41">
        <v>197.21</v>
      </c>
      <c r="AZ165" s="41">
        <v>201.35</v>
      </c>
      <c r="BA165" s="41">
        <v>205.49</v>
      </c>
      <c r="BB165" s="41">
        <v>209.63</v>
      </c>
      <c r="BC165" s="41">
        <v>213.76</v>
      </c>
      <c r="BD165" s="41">
        <v>217.9</v>
      </c>
      <c r="BE165" s="42">
        <v>222.04</v>
      </c>
      <c r="BF165" s="62">
        <v>226.18</v>
      </c>
      <c r="BG165" s="62">
        <v>230.31</v>
      </c>
      <c r="BH165" s="68">
        <v>234.45</v>
      </c>
      <c r="BI165" s="42">
        <v>238.59</v>
      </c>
      <c r="BJ165" s="34">
        <v>242.73</v>
      </c>
      <c r="BK165" s="43">
        <v>246.87</v>
      </c>
      <c r="BL165" s="5">
        <v>251</v>
      </c>
      <c r="BM165" s="5">
        <v>255.14</v>
      </c>
      <c r="BN165" s="5">
        <v>259.27999999999997</v>
      </c>
      <c r="BO165" s="5">
        <v>263.42</v>
      </c>
      <c r="BP165" s="5">
        <v>267.55</v>
      </c>
      <c r="BQ165" s="5">
        <v>271.69</v>
      </c>
      <c r="BR165" s="144">
        <v>275.83</v>
      </c>
      <c r="BS165" s="144">
        <v>279.97000000000003</v>
      </c>
      <c r="BT165" s="144">
        <v>284.11</v>
      </c>
      <c r="BU165" s="144">
        <v>288.24</v>
      </c>
      <c r="BV165" s="144">
        <v>292.38</v>
      </c>
      <c r="BW165" s="5">
        <v>168.75</v>
      </c>
      <c r="BX165" s="5">
        <v>164.62</v>
      </c>
      <c r="BY165" s="5">
        <v>160.47999999999999</v>
      </c>
      <c r="BZ165" s="5">
        <v>156.34</v>
      </c>
    </row>
    <row r="166" spans="1:78" x14ac:dyDescent="0.45">
      <c r="A166" s="119" t="s">
        <v>623</v>
      </c>
      <c r="B166" s="41">
        <v>346.58</v>
      </c>
      <c r="C166" s="81">
        <v>485.21</v>
      </c>
      <c r="D166" s="41">
        <v>352.48</v>
      </c>
      <c r="E166" s="81">
        <v>493.47</v>
      </c>
      <c r="F166" s="41">
        <v>358.37</v>
      </c>
      <c r="G166" s="88">
        <v>501.72</v>
      </c>
      <c r="H166" s="42">
        <v>364.27</v>
      </c>
      <c r="I166" s="94">
        <v>509.98</v>
      </c>
      <c r="J166" s="62">
        <v>370.17</v>
      </c>
      <c r="K166" s="100">
        <v>518.24</v>
      </c>
      <c r="L166" s="62">
        <v>376.06</v>
      </c>
      <c r="M166" s="100">
        <v>526.49</v>
      </c>
      <c r="N166" s="68">
        <v>381.96</v>
      </c>
      <c r="O166" s="106">
        <v>534.75</v>
      </c>
      <c r="P166" s="42">
        <v>387.86</v>
      </c>
      <c r="Q166" s="94">
        <v>543</v>
      </c>
      <c r="R166" s="42">
        <v>393.76</v>
      </c>
      <c r="S166" s="112">
        <v>551.26</v>
      </c>
      <c r="T166" s="43">
        <v>399.65</v>
      </c>
      <c r="U166" s="45">
        <v>559.51</v>
      </c>
      <c r="V166" s="5">
        <v>405.55</v>
      </c>
      <c r="W166" s="45">
        <v>567.77</v>
      </c>
      <c r="X166" s="5">
        <v>411.45</v>
      </c>
      <c r="Y166" s="126">
        <v>576.03</v>
      </c>
      <c r="Z166" s="5">
        <v>417.34</v>
      </c>
      <c r="AA166" s="126">
        <v>584.28</v>
      </c>
      <c r="AB166" s="5">
        <v>423.24</v>
      </c>
      <c r="AC166" s="134">
        <v>592.53</v>
      </c>
      <c r="AD166" s="5">
        <v>429.14</v>
      </c>
      <c r="AE166" s="134">
        <v>600.79</v>
      </c>
      <c r="AF166" s="5">
        <v>435.03</v>
      </c>
      <c r="AG166" s="134">
        <v>609.04999999999995</v>
      </c>
      <c r="AH166" s="144">
        <v>440.93</v>
      </c>
      <c r="AI166" s="134">
        <v>617.29999999999995</v>
      </c>
      <c r="AJ166" s="144">
        <v>446.83</v>
      </c>
      <c r="AK166" s="134">
        <v>625.55999999999995</v>
      </c>
      <c r="AL166" s="144">
        <v>452.72</v>
      </c>
      <c r="AM166" s="134">
        <v>633.80999999999995</v>
      </c>
      <c r="AN166" s="144">
        <v>458.62</v>
      </c>
      <c r="AO166" s="144">
        <v>642.07000000000005</v>
      </c>
      <c r="AP166" s="5">
        <v>464.52</v>
      </c>
      <c r="AQ166" s="121">
        <v>650.32000000000005</v>
      </c>
      <c r="AR166" s="5">
        <v>264.41000000000003</v>
      </c>
      <c r="AS166" s="5">
        <v>258.51</v>
      </c>
      <c r="AT166" s="5">
        <v>252.62</v>
      </c>
      <c r="AU166" s="5">
        <v>246.72</v>
      </c>
      <c r="AV166" s="37">
        <v>162</v>
      </c>
      <c r="AW166" s="41">
        <v>190.11</v>
      </c>
      <c r="AX166" s="41">
        <v>194.27</v>
      </c>
      <c r="AY166" s="41">
        <v>198.44</v>
      </c>
      <c r="AZ166" s="41">
        <v>202.6</v>
      </c>
      <c r="BA166" s="41">
        <v>206.76</v>
      </c>
      <c r="BB166" s="41">
        <v>210.93</v>
      </c>
      <c r="BC166" s="41">
        <v>215.09</v>
      </c>
      <c r="BD166" s="41">
        <v>219.25</v>
      </c>
      <c r="BE166" s="42">
        <v>223.42</v>
      </c>
      <c r="BF166" s="62">
        <v>227.58</v>
      </c>
      <c r="BG166" s="62">
        <v>231.74</v>
      </c>
      <c r="BH166" s="68">
        <v>235.91</v>
      </c>
      <c r="BI166" s="42">
        <v>240.07</v>
      </c>
      <c r="BJ166" s="34">
        <v>244.23</v>
      </c>
      <c r="BK166" s="43">
        <v>248.4</v>
      </c>
      <c r="BL166" s="5">
        <v>252.56</v>
      </c>
      <c r="BM166" s="5">
        <v>256.72000000000003</v>
      </c>
      <c r="BN166" s="5">
        <v>260.89</v>
      </c>
      <c r="BO166" s="5">
        <v>265.05</v>
      </c>
      <c r="BP166" s="5">
        <v>269.20999999999998</v>
      </c>
      <c r="BQ166" s="5">
        <v>273.38</v>
      </c>
      <c r="BR166" s="144">
        <v>277.54000000000002</v>
      </c>
      <c r="BS166" s="144">
        <v>281.7</v>
      </c>
      <c r="BT166" s="144">
        <v>285.87</v>
      </c>
      <c r="BU166" s="144">
        <v>290.02999999999997</v>
      </c>
      <c r="BV166" s="144">
        <v>294.19</v>
      </c>
      <c r="BW166" s="5">
        <v>169.8</v>
      </c>
      <c r="BX166" s="5">
        <v>165.64</v>
      </c>
      <c r="BY166" s="5">
        <v>161.47</v>
      </c>
      <c r="BZ166" s="5">
        <v>157.31</v>
      </c>
    </row>
    <row r="167" spans="1:78" x14ac:dyDescent="0.45">
      <c r="A167" s="119" t="s">
        <v>624</v>
      </c>
      <c r="B167" s="41">
        <v>348.71</v>
      </c>
      <c r="C167" s="81">
        <v>488.2</v>
      </c>
      <c r="D167" s="41">
        <v>354.65</v>
      </c>
      <c r="E167" s="81">
        <v>496.5</v>
      </c>
      <c r="F167" s="41">
        <v>360.58</v>
      </c>
      <c r="G167" s="88">
        <v>504.81</v>
      </c>
      <c r="H167" s="42">
        <v>366.51</v>
      </c>
      <c r="I167" s="94">
        <v>513.12</v>
      </c>
      <c r="J167" s="62">
        <v>372.44</v>
      </c>
      <c r="K167" s="100">
        <v>521.41999999999996</v>
      </c>
      <c r="L167" s="62">
        <v>378.38</v>
      </c>
      <c r="M167" s="100">
        <v>529.73</v>
      </c>
      <c r="N167" s="68">
        <v>384.31</v>
      </c>
      <c r="O167" s="106">
        <v>538.04</v>
      </c>
      <c r="P167" s="42">
        <v>390.24</v>
      </c>
      <c r="Q167" s="94">
        <v>546.34</v>
      </c>
      <c r="R167" s="42">
        <v>396.18</v>
      </c>
      <c r="S167" s="112">
        <v>554.65</v>
      </c>
      <c r="T167" s="43">
        <v>402.11</v>
      </c>
      <c r="U167" s="45">
        <v>562.96</v>
      </c>
      <c r="V167" s="5">
        <v>408.04</v>
      </c>
      <c r="W167" s="45">
        <v>571.26</v>
      </c>
      <c r="X167" s="5">
        <v>413.98</v>
      </c>
      <c r="Y167" s="126">
        <v>579.57000000000005</v>
      </c>
      <c r="Z167" s="5">
        <v>419.91</v>
      </c>
      <c r="AA167" s="126">
        <v>587.87</v>
      </c>
      <c r="AB167" s="5">
        <v>425.84</v>
      </c>
      <c r="AC167" s="134">
        <v>596.17999999999995</v>
      </c>
      <c r="AD167" s="5">
        <v>431.78</v>
      </c>
      <c r="AE167" s="134">
        <v>604.49</v>
      </c>
      <c r="AF167" s="5">
        <v>437.71</v>
      </c>
      <c r="AG167" s="134">
        <v>612.79</v>
      </c>
      <c r="AH167" s="144">
        <v>443.64</v>
      </c>
      <c r="AI167" s="134">
        <v>621.1</v>
      </c>
      <c r="AJ167" s="144">
        <v>449.58</v>
      </c>
      <c r="AK167" s="134">
        <v>629.41</v>
      </c>
      <c r="AL167" s="144">
        <v>455.51</v>
      </c>
      <c r="AM167" s="134">
        <v>637.71</v>
      </c>
      <c r="AN167" s="144">
        <v>461.44</v>
      </c>
      <c r="AO167" s="144">
        <v>646.02</v>
      </c>
      <c r="AP167" s="5">
        <v>467.38</v>
      </c>
      <c r="AQ167" s="121">
        <v>654.33000000000004</v>
      </c>
      <c r="AR167" s="5">
        <v>266.04000000000002</v>
      </c>
      <c r="AS167" s="5">
        <v>260.11</v>
      </c>
      <c r="AT167" s="5">
        <v>254.17</v>
      </c>
      <c r="AU167" s="5">
        <v>248.24</v>
      </c>
      <c r="AV167" s="37">
        <v>163</v>
      </c>
      <c r="AW167" s="41">
        <v>191.28</v>
      </c>
      <c r="AX167" s="41">
        <v>195.47</v>
      </c>
      <c r="AY167" s="41">
        <v>199.66</v>
      </c>
      <c r="AZ167" s="41">
        <v>203.85</v>
      </c>
      <c r="BA167" s="41">
        <v>208.04</v>
      </c>
      <c r="BB167" s="41">
        <v>212.23</v>
      </c>
      <c r="BC167" s="41">
        <v>216.42</v>
      </c>
      <c r="BD167" s="41">
        <v>220.61</v>
      </c>
      <c r="BE167" s="42">
        <v>224.79</v>
      </c>
      <c r="BF167" s="62">
        <v>228.98</v>
      </c>
      <c r="BG167" s="62">
        <v>233.17</v>
      </c>
      <c r="BH167" s="68">
        <v>237.36</v>
      </c>
      <c r="BI167" s="42">
        <v>241.55</v>
      </c>
      <c r="BJ167" s="34">
        <v>245.74</v>
      </c>
      <c r="BK167" s="43">
        <v>249.93</v>
      </c>
      <c r="BL167" s="5">
        <v>254.12</v>
      </c>
      <c r="BM167" s="5">
        <v>258.31</v>
      </c>
      <c r="BN167" s="5">
        <v>262.5</v>
      </c>
      <c r="BO167" s="5">
        <v>266.69</v>
      </c>
      <c r="BP167" s="5">
        <v>270.88</v>
      </c>
      <c r="BQ167" s="5">
        <v>275.06</v>
      </c>
      <c r="BR167" s="144">
        <v>279.25</v>
      </c>
      <c r="BS167" s="144">
        <v>283.44</v>
      </c>
      <c r="BT167" s="144">
        <v>287.63</v>
      </c>
      <c r="BU167" s="144">
        <v>291.82</v>
      </c>
      <c r="BV167" s="144">
        <v>296.01</v>
      </c>
      <c r="BW167" s="5">
        <v>170.85</v>
      </c>
      <c r="BX167" s="5">
        <v>166.66</v>
      </c>
      <c r="BY167" s="5">
        <v>162.47</v>
      </c>
      <c r="BZ167" s="5">
        <v>158.28</v>
      </c>
    </row>
    <row r="168" spans="1:78" x14ac:dyDescent="0.45">
      <c r="A168" s="119" t="s">
        <v>625</v>
      </c>
      <c r="B168" s="41">
        <v>350.85</v>
      </c>
      <c r="C168" s="81">
        <v>491.19</v>
      </c>
      <c r="D168" s="41">
        <v>356.82</v>
      </c>
      <c r="E168" s="81">
        <v>499.55</v>
      </c>
      <c r="F168" s="41">
        <v>362.79</v>
      </c>
      <c r="G168" s="88">
        <v>507.9</v>
      </c>
      <c r="H168" s="42">
        <v>368.76</v>
      </c>
      <c r="I168" s="94">
        <v>516.26</v>
      </c>
      <c r="J168" s="62">
        <v>374.73</v>
      </c>
      <c r="K168" s="100">
        <v>524.62</v>
      </c>
      <c r="L168" s="62">
        <v>380.7</v>
      </c>
      <c r="M168" s="100">
        <v>532.98</v>
      </c>
      <c r="N168" s="68">
        <v>386.67</v>
      </c>
      <c r="O168" s="106">
        <v>541.33000000000004</v>
      </c>
      <c r="P168" s="42">
        <v>392.64</v>
      </c>
      <c r="Q168" s="94">
        <v>549.69000000000005</v>
      </c>
      <c r="R168" s="42">
        <v>398.61</v>
      </c>
      <c r="S168" s="112">
        <v>558.04999999999995</v>
      </c>
      <c r="T168" s="43">
        <v>404.57</v>
      </c>
      <c r="U168" s="45">
        <v>566.4</v>
      </c>
      <c r="V168" s="5">
        <v>410.54</v>
      </c>
      <c r="W168" s="45">
        <v>574.76</v>
      </c>
      <c r="X168" s="5">
        <v>416.51</v>
      </c>
      <c r="Y168" s="126">
        <v>583.11</v>
      </c>
      <c r="Z168" s="5">
        <v>422.48</v>
      </c>
      <c r="AA168" s="126">
        <v>591.47</v>
      </c>
      <c r="AB168" s="5">
        <v>428.45</v>
      </c>
      <c r="AC168" s="134">
        <v>599.83000000000004</v>
      </c>
      <c r="AD168" s="5">
        <v>434.42</v>
      </c>
      <c r="AE168" s="134">
        <v>608.19000000000005</v>
      </c>
      <c r="AF168" s="5">
        <v>440.39</v>
      </c>
      <c r="AG168" s="134">
        <v>616.54999999999995</v>
      </c>
      <c r="AH168" s="144">
        <v>446.36</v>
      </c>
      <c r="AI168" s="134">
        <v>624.91</v>
      </c>
      <c r="AJ168" s="144">
        <v>452.33</v>
      </c>
      <c r="AK168" s="134">
        <v>633.26</v>
      </c>
      <c r="AL168" s="144">
        <v>458.3</v>
      </c>
      <c r="AM168" s="134">
        <v>641.62</v>
      </c>
      <c r="AN168" s="144">
        <v>464.27</v>
      </c>
      <c r="AO168" s="144">
        <v>649.98</v>
      </c>
      <c r="AP168" s="5">
        <v>470.24</v>
      </c>
      <c r="AQ168" s="121">
        <v>658.34</v>
      </c>
      <c r="AR168" s="5">
        <v>267.67</v>
      </c>
      <c r="AS168" s="5">
        <v>261.7</v>
      </c>
      <c r="AT168" s="5">
        <v>255.73</v>
      </c>
      <c r="AU168" s="5">
        <v>249.76</v>
      </c>
      <c r="AV168" s="37">
        <v>164</v>
      </c>
      <c r="AW168" s="41">
        <v>192.46</v>
      </c>
      <c r="AX168" s="41">
        <v>196.67</v>
      </c>
      <c r="AY168" s="41">
        <v>200.89</v>
      </c>
      <c r="AZ168" s="41">
        <v>205.1</v>
      </c>
      <c r="BA168" s="41">
        <v>209.32</v>
      </c>
      <c r="BB168" s="41">
        <v>213.53</v>
      </c>
      <c r="BC168" s="41">
        <v>217.75</v>
      </c>
      <c r="BD168" s="41">
        <v>221.96</v>
      </c>
      <c r="BE168" s="42">
        <v>226.17</v>
      </c>
      <c r="BF168" s="62">
        <v>230.39</v>
      </c>
      <c r="BG168" s="62">
        <v>234.6</v>
      </c>
      <c r="BH168" s="68">
        <v>238.82</v>
      </c>
      <c r="BI168" s="42">
        <v>243.03</v>
      </c>
      <c r="BJ168" s="34">
        <v>247.25</v>
      </c>
      <c r="BK168" s="43">
        <v>251.46</v>
      </c>
      <c r="BL168" s="5">
        <v>255.68</v>
      </c>
      <c r="BM168" s="5">
        <v>259.89</v>
      </c>
      <c r="BN168" s="5">
        <v>264.11</v>
      </c>
      <c r="BO168" s="5">
        <v>268.32</v>
      </c>
      <c r="BP168" s="5">
        <v>272.54000000000002</v>
      </c>
      <c r="BQ168" s="5">
        <v>276.75</v>
      </c>
      <c r="BR168" s="144">
        <v>280.97000000000003</v>
      </c>
      <c r="BS168" s="144">
        <v>285.18</v>
      </c>
      <c r="BT168" s="144">
        <v>289.39999999999998</v>
      </c>
      <c r="BU168" s="144">
        <v>293.61</v>
      </c>
      <c r="BV168" s="144">
        <v>297.83</v>
      </c>
      <c r="BW168" s="5">
        <v>171.9</v>
      </c>
      <c r="BX168" s="5">
        <v>167.68</v>
      </c>
      <c r="BY168" s="5">
        <v>163.47</v>
      </c>
      <c r="BZ168" s="5">
        <v>159.25</v>
      </c>
    </row>
    <row r="169" spans="1:78" x14ac:dyDescent="0.45">
      <c r="A169" s="119" t="s">
        <v>626</v>
      </c>
      <c r="B169" s="41">
        <v>352.99</v>
      </c>
      <c r="C169" s="81">
        <v>494.19</v>
      </c>
      <c r="D169" s="41">
        <v>359</v>
      </c>
      <c r="E169" s="81">
        <v>502.6</v>
      </c>
      <c r="F169" s="41">
        <v>365</v>
      </c>
      <c r="G169" s="88">
        <v>511</v>
      </c>
      <c r="H169" s="42">
        <v>371.01</v>
      </c>
      <c r="I169" s="94">
        <v>519.41</v>
      </c>
      <c r="J169" s="62">
        <v>377.01</v>
      </c>
      <c r="K169" s="100">
        <v>527.82000000000005</v>
      </c>
      <c r="L169" s="62">
        <v>383.02</v>
      </c>
      <c r="M169" s="100">
        <v>536.23</v>
      </c>
      <c r="N169" s="68">
        <v>389.03</v>
      </c>
      <c r="O169" s="106">
        <v>544.64</v>
      </c>
      <c r="P169" s="42">
        <v>395.03</v>
      </c>
      <c r="Q169" s="94">
        <v>553.04999999999995</v>
      </c>
      <c r="R169" s="42">
        <v>401.04</v>
      </c>
      <c r="S169" s="112">
        <v>561.45000000000005</v>
      </c>
      <c r="T169" s="43">
        <v>407.04</v>
      </c>
      <c r="U169" s="45">
        <v>569.86</v>
      </c>
      <c r="V169" s="5">
        <v>413.05</v>
      </c>
      <c r="W169" s="45">
        <v>578.27</v>
      </c>
      <c r="X169" s="5">
        <v>419.06</v>
      </c>
      <c r="Y169" s="126">
        <v>586.67999999999995</v>
      </c>
      <c r="Z169" s="5">
        <v>425.06</v>
      </c>
      <c r="AA169" s="126">
        <v>595.08000000000004</v>
      </c>
      <c r="AB169" s="5">
        <v>431.07</v>
      </c>
      <c r="AC169" s="134">
        <v>603.5</v>
      </c>
      <c r="AD169" s="5">
        <v>437.07</v>
      </c>
      <c r="AE169" s="134">
        <v>611.9</v>
      </c>
      <c r="AF169" s="5">
        <v>443.08</v>
      </c>
      <c r="AG169" s="134">
        <v>620.30999999999995</v>
      </c>
      <c r="AH169" s="144">
        <v>449.09</v>
      </c>
      <c r="AI169" s="134">
        <v>628.72</v>
      </c>
      <c r="AJ169" s="144">
        <v>455.09</v>
      </c>
      <c r="AK169" s="134">
        <v>637.13</v>
      </c>
      <c r="AL169" s="144">
        <v>461.1</v>
      </c>
      <c r="AM169" s="134">
        <v>645.54</v>
      </c>
      <c r="AN169" s="144">
        <v>467.1</v>
      </c>
      <c r="AO169" s="144">
        <v>653.95000000000005</v>
      </c>
      <c r="AP169" s="5">
        <v>273.11</v>
      </c>
      <c r="AQ169" s="121">
        <v>382.35</v>
      </c>
      <c r="AR169" s="5">
        <v>269.3</v>
      </c>
      <c r="AS169" s="5">
        <v>263.3</v>
      </c>
      <c r="AT169" s="5">
        <v>257.29000000000002</v>
      </c>
      <c r="AU169" s="5">
        <v>251.29</v>
      </c>
      <c r="AV169" s="37">
        <v>165</v>
      </c>
      <c r="AW169" s="41">
        <v>193.63</v>
      </c>
      <c r="AX169" s="41">
        <v>197.87</v>
      </c>
      <c r="AY169" s="41">
        <v>202.11</v>
      </c>
      <c r="AZ169" s="41">
        <v>206.35</v>
      </c>
      <c r="BA169" s="41">
        <v>210.59</v>
      </c>
      <c r="BB169" s="41">
        <v>214.83</v>
      </c>
      <c r="BC169" s="41">
        <v>219.08</v>
      </c>
      <c r="BD169" s="41">
        <v>223.32</v>
      </c>
      <c r="BE169" s="42">
        <v>227.56</v>
      </c>
      <c r="BF169" s="62">
        <v>231.8</v>
      </c>
      <c r="BG169" s="62">
        <v>236.04</v>
      </c>
      <c r="BH169" s="68">
        <v>240.28</v>
      </c>
      <c r="BI169" s="42">
        <v>244.52</v>
      </c>
      <c r="BJ169" s="34">
        <v>248.76</v>
      </c>
      <c r="BK169" s="43">
        <v>253</v>
      </c>
      <c r="BL169" s="5">
        <v>257.24</v>
      </c>
      <c r="BM169" s="5">
        <v>261.48</v>
      </c>
      <c r="BN169" s="5">
        <v>265.72000000000003</v>
      </c>
      <c r="BO169" s="5">
        <v>269.95999999999998</v>
      </c>
      <c r="BP169" s="5">
        <v>274.2</v>
      </c>
      <c r="BQ169" s="5">
        <v>278.44</v>
      </c>
      <c r="BR169" s="144">
        <v>282.68</v>
      </c>
      <c r="BS169" s="144">
        <v>286.92</v>
      </c>
      <c r="BT169" s="144">
        <v>291.16000000000003</v>
      </c>
      <c r="BU169" s="144">
        <v>295.39999999999998</v>
      </c>
      <c r="BV169" s="144">
        <v>299.64</v>
      </c>
      <c r="BW169" s="5">
        <v>172.95</v>
      </c>
      <c r="BX169" s="5">
        <v>168.71</v>
      </c>
      <c r="BY169" s="5">
        <v>164.47</v>
      </c>
      <c r="BZ169" s="5">
        <v>160.22999999999999</v>
      </c>
    </row>
    <row r="170" spans="1:78" x14ac:dyDescent="0.45">
      <c r="A170" s="119" t="s">
        <v>627</v>
      </c>
      <c r="B170" s="41">
        <v>355.14</v>
      </c>
      <c r="C170" s="81">
        <v>497.19</v>
      </c>
      <c r="D170" s="41">
        <v>361.18</v>
      </c>
      <c r="E170" s="81">
        <v>505.65</v>
      </c>
      <c r="F170" s="41">
        <v>367.22</v>
      </c>
      <c r="G170" s="88">
        <v>514.11</v>
      </c>
      <c r="H170" s="42">
        <v>373.27</v>
      </c>
      <c r="I170" s="94">
        <v>522.57000000000005</v>
      </c>
      <c r="J170" s="62">
        <v>379.31</v>
      </c>
      <c r="K170" s="100">
        <v>531.03</v>
      </c>
      <c r="L170" s="62">
        <v>385.35</v>
      </c>
      <c r="M170" s="100">
        <v>539.49</v>
      </c>
      <c r="N170" s="68">
        <v>391.39</v>
      </c>
      <c r="O170" s="106">
        <v>547.95000000000005</v>
      </c>
      <c r="P170" s="42">
        <v>397.44</v>
      </c>
      <c r="Q170" s="94">
        <v>556.41</v>
      </c>
      <c r="R170" s="42">
        <v>403.48</v>
      </c>
      <c r="S170" s="112">
        <v>564.87</v>
      </c>
      <c r="T170" s="43">
        <v>409.52</v>
      </c>
      <c r="U170" s="45">
        <v>573.33000000000004</v>
      </c>
      <c r="V170" s="5">
        <v>415.56</v>
      </c>
      <c r="W170" s="45">
        <v>581.79</v>
      </c>
      <c r="X170" s="5">
        <v>421.6</v>
      </c>
      <c r="Y170" s="126">
        <v>590.24</v>
      </c>
      <c r="Z170" s="5">
        <v>427.65</v>
      </c>
      <c r="AA170" s="126">
        <v>598.71</v>
      </c>
      <c r="AB170" s="5">
        <v>433.69</v>
      </c>
      <c r="AC170" s="134">
        <v>607.16999999999996</v>
      </c>
      <c r="AD170" s="5">
        <v>439.73</v>
      </c>
      <c r="AE170" s="134">
        <v>615.62</v>
      </c>
      <c r="AF170" s="5">
        <v>445.77</v>
      </c>
      <c r="AG170" s="134">
        <v>624.08000000000004</v>
      </c>
      <c r="AH170" s="144">
        <v>451.82</v>
      </c>
      <c r="AI170" s="134">
        <v>632.54</v>
      </c>
      <c r="AJ170" s="144">
        <v>457.86</v>
      </c>
      <c r="AK170" s="134">
        <v>641</v>
      </c>
      <c r="AL170" s="144">
        <v>463.9</v>
      </c>
      <c r="AM170" s="134">
        <v>649.46</v>
      </c>
      <c r="AN170" s="144">
        <v>469.94</v>
      </c>
      <c r="AO170" s="144">
        <v>657.92</v>
      </c>
      <c r="AP170" s="5">
        <v>475.99</v>
      </c>
      <c r="AQ170" s="121">
        <v>666.38</v>
      </c>
      <c r="AR170" s="5">
        <v>270.94</v>
      </c>
      <c r="AS170" s="5">
        <v>264.89999999999998</v>
      </c>
      <c r="AT170" s="5">
        <v>258.86</v>
      </c>
      <c r="AU170" s="5">
        <v>252.81</v>
      </c>
      <c r="AV170" s="37">
        <v>166</v>
      </c>
      <c r="AW170" s="41">
        <v>194.84</v>
      </c>
      <c r="AX170" s="41">
        <v>199.08</v>
      </c>
      <c r="AY170" s="41">
        <v>203.34</v>
      </c>
      <c r="AZ170" s="41">
        <v>207.61</v>
      </c>
      <c r="BA170" s="41">
        <v>211.87</v>
      </c>
      <c r="BB170" s="41">
        <v>216.14</v>
      </c>
      <c r="BC170" s="41">
        <v>220.41</v>
      </c>
      <c r="BD170" s="41">
        <v>224.67</v>
      </c>
      <c r="BE170" s="42">
        <v>228.94</v>
      </c>
      <c r="BF170" s="62">
        <v>233.21</v>
      </c>
      <c r="BG170" s="62">
        <v>237.47</v>
      </c>
      <c r="BH170" s="68">
        <v>241.74</v>
      </c>
      <c r="BI170" s="42">
        <v>246</v>
      </c>
      <c r="BJ170" s="34">
        <v>250.27</v>
      </c>
      <c r="BK170" s="43">
        <v>254.54</v>
      </c>
      <c r="BL170" s="5">
        <v>258.8</v>
      </c>
      <c r="BM170" s="5">
        <v>263.07</v>
      </c>
      <c r="BN170" s="5">
        <v>267.33</v>
      </c>
      <c r="BO170" s="5">
        <v>271.60000000000002</v>
      </c>
      <c r="BP170" s="5">
        <v>275.87</v>
      </c>
      <c r="BQ170" s="5">
        <v>280.13</v>
      </c>
      <c r="BR170" s="144">
        <v>284.39999999999998</v>
      </c>
      <c r="BS170" s="144">
        <v>288.67</v>
      </c>
      <c r="BT170" s="144">
        <v>292.93</v>
      </c>
      <c r="BU170" s="144">
        <v>297.2</v>
      </c>
      <c r="BV170" s="144">
        <v>301.45999999999998</v>
      </c>
      <c r="BW170" s="5">
        <v>174</v>
      </c>
      <c r="BX170" s="5">
        <v>169.73</v>
      </c>
      <c r="BY170" s="5">
        <v>165.46</v>
      </c>
      <c r="BZ170" s="5">
        <v>161.19999999999999</v>
      </c>
    </row>
    <row r="171" spans="1:78" x14ac:dyDescent="0.45">
      <c r="A171" s="119" t="s">
        <v>628</v>
      </c>
      <c r="B171" s="41">
        <v>357.29</v>
      </c>
      <c r="C171" s="81">
        <v>500.21</v>
      </c>
      <c r="D171" s="41">
        <v>363.37</v>
      </c>
      <c r="E171" s="81">
        <v>508.72</v>
      </c>
      <c r="F171" s="41">
        <v>369.45</v>
      </c>
      <c r="G171" s="88">
        <v>517.23</v>
      </c>
      <c r="H171" s="42">
        <v>375.53</v>
      </c>
      <c r="I171" s="94">
        <v>525.74</v>
      </c>
      <c r="J171" s="62">
        <v>381.61</v>
      </c>
      <c r="K171" s="100">
        <v>534.25</v>
      </c>
      <c r="L171" s="62">
        <v>387.69</v>
      </c>
      <c r="M171" s="100">
        <v>542.76</v>
      </c>
      <c r="N171" s="68">
        <v>393.76</v>
      </c>
      <c r="O171" s="106">
        <v>551.27</v>
      </c>
      <c r="P171" s="42">
        <v>399.84</v>
      </c>
      <c r="Q171" s="94">
        <v>559.78</v>
      </c>
      <c r="R171" s="42">
        <v>405.92</v>
      </c>
      <c r="S171" s="112">
        <v>568.29</v>
      </c>
      <c r="T171" s="43">
        <v>412</v>
      </c>
      <c r="U171" s="45">
        <v>576.79999999999995</v>
      </c>
      <c r="V171" s="5">
        <v>418.08</v>
      </c>
      <c r="W171" s="45">
        <v>585.30999999999995</v>
      </c>
      <c r="X171" s="5">
        <v>424.16</v>
      </c>
      <c r="Y171" s="126">
        <v>593.82000000000005</v>
      </c>
      <c r="Z171" s="5">
        <v>430.24</v>
      </c>
      <c r="AA171" s="126">
        <v>602.34</v>
      </c>
      <c r="AB171" s="5">
        <v>436.32</v>
      </c>
      <c r="AC171" s="134">
        <v>610.84</v>
      </c>
      <c r="AD171" s="5">
        <v>442.39</v>
      </c>
      <c r="AE171" s="134">
        <v>619.35</v>
      </c>
      <c r="AF171" s="5">
        <v>448.47</v>
      </c>
      <c r="AG171" s="134">
        <v>627.86</v>
      </c>
      <c r="AH171" s="144">
        <v>454.55</v>
      </c>
      <c r="AI171" s="134">
        <v>636.37</v>
      </c>
      <c r="AJ171" s="144">
        <v>460.63</v>
      </c>
      <c r="AK171" s="134">
        <v>644.88</v>
      </c>
      <c r="AL171" s="144">
        <v>466.71</v>
      </c>
      <c r="AM171" s="134">
        <v>653.39</v>
      </c>
      <c r="AN171" s="144">
        <v>472.79</v>
      </c>
      <c r="AO171" s="144">
        <v>661.9</v>
      </c>
      <c r="AP171" s="5">
        <v>478.87</v>
      </c>
      <c r="AQ171" s="121">
        <v>670.41</v>
      </c>
      <c r="AR171" s="5">
        <v>272.58</v>
      </c>
      <c r="AS171" s="5">
        <v>266.5</v>
      </c>
      <c r="AT171" s="5">
        <v>260.42</v>
      </c>
      <c r="AU171" s="5">
        <v>254.34</v>
      </c>
      <c r="AV171" s="37">
        <v>167</v>
      </c>
      <c r="AW171" s="41">
        <v>195.99</v>
      </c>
      <c r="AX171" s="41">
        <v>200.28</v>
      </c>
      <c r="AY171" s="41">
        <v>204.57</v>
      </c>
      <c r="AZ171" s="41">
        <v>208.86</v>
      </c>
      <c r="BA171" s="41">
        <v>213.16</v>
      </c>
      <c r="BB171" s="41">
        <v>217.45</v>
      </c>
      <c r="BC171" s="41">
        <v>221.74</v>
      </c>
      <c r="BD171" s="41">
        <v>226.03</v>
      </c>
      <c r="BE171" s="42">
        <v>230.32</v>
      </c>
      <c r="BF171" s="62">
        <v>234.62</v>
      </c>
      <c r="BG171" s="62">
        <v>238.91</v>
      </c>
      <c r="BH171" s="68">
        <v>243.2</v>
      </c>
      <c r="BI171" s="42">
        <v>247.49</v>
      </c>
      <c r="BJ171" s="34">
        <v>251.78</v>
      </c>
      <c r="BK171" s="43">
        <v>256.07</v>
      </c>
      <c r="BL171" s="5">
        <v>260.37</v>
      </c>
      <c r="BM171" s="5">
        <v>264.66000000000003</v>
      </c>
      <c r="BN171" s="5">
        <v>268.95</v>
      </c>
      <c r="BO171" s="5">
        <v>273.24</v>
      </c>
      <c r="BP171" s="5">
        <v>277.52999999999997</v>
      </c>
      <c r="BQ171" s="5">
        <v>281.83</v>
      </c>
      <c r="BR171" s="144">
        <v>286.12</v>
      </c>
      <c r="BS171" s="144">
        <v>290.41000000000003</v>
      </c>
      <c r="BT171" s="144">
        <v>294.7</v>
      </c>
      <c r="BU171" s="144">
        <v>298.99</v>
      </c>
      <c r="BV171" s="144">
        <v>303.29000000000002</v>
      </c>
      <c r="BW171" s="5">
        <v>175.05</v>
      </c>
      <c r="BX171" s="5">
        <v>170.76</v>
      </c>
      <c r="BY171" s="5">
        <v>166.46</v>
      </c>
      <c r="BZ171" s="5">
        <v>162.16999999999999</v>
      </c>
    </row>
    <row r="172" spans="1:78" x14ac:dyDescent="0.45">
      <c r="A172" s="119" t="s">
        <v>629</v>
      </c>
      <c r="B172" s="41">
        <v>359.45</v>
      </c>
      <c r="C172" s="81">
        <v>503.23</v>
      </c>
      <c r="D172" s="41">
        <v>365.57</v>
      </c>
      <c r="E172" s="81">
        <v>511.79</v>
      </c>
      <c r="F172" s="41">
        <v>371.68</v>
      </c>
      <c r="G172" s="88">
        <v>520.35</v>
      </c>
      <c r="H172" s="42">
        <v>377.8</v>
      </c>
      <c r="I172" s="94">
        <v>528.91999999999996</v>
      </c>
      <c r="J172" s="62">
        <v>383.91</v>
      </c>
      <c r="K172" s="100">
        <v>537.48</v>
      </c>
      <c r="L172" s="62">
        <v>390.03</v>
      </c>
      <c r="M172" s="100">
        <v>546.04</v>
      </c>
      <c r="N172" s="68">
        <v>396.14</v>
      </c>
      <c r="O172" s="106">
        <v>554.6</v>
      </c>
      <c r="P172" s="42">
        <v>402.26</v>
      </c>
      <c r="Q172" s="94">
        <v>563.16</v>
      </c>
      <c r="R172" s="42">
        <v>408.37</v>
      </c>
      <c r="S172" s="112">
        <v>571.72</v>
      </c>
      <c r="T172" s="43">
        <v>414.49</v>
      </c>
      <c r="U172" s="45">
        <v>580.28</v>
      </c>
      <c r="V172" s="5">
        <v>420.6</v>
      </c>
      <c r="W172" s="45">
        <v>588.84</v>
      </c>
      <c r="X172" s="5">
        <v>426.72</v>
      </c>
      <c r="Y172" s="126">
        <v>597.41</v>
      </c>
      <c r="Z172" s="5">
        <v>432.83</v>
      </c>
      <c r="AA172" s="126">
        <v>605.96</v>
      </c>
      <c r="AB172" s="5">
        <v>438.95</v>
      </c>
      <c r="AC172" s="134">
        <v>614.53</v>
      </c>
      <c r="AD172" s="5">
        <v>445.06</v>
      </c>
      <c r="AE172" s="134">
        <v>623.09</v>
      </c>
      <c r="AF172" s="5">
        <v>451.18</v>
      </c>
      <c r="AG172" s="134">
        <v>631.65</v>
      </c>
      <c r="AH172" s="144">
        <v>457.29</v>
      </c>
      <c r="AI172" s="134">
        <v>640.21</v>
      </c>
      <c r="AJ172" s="144">
        <v>463.41</v>
      </c>
      <c r="AK172" s="134">
        <v>648.77</v>
      </c>
      <c r="AL172" s="144">
        <v>469.52</v>
      </c>
      <c r="AM172" s="134">
        <v>657.33</v>
      </c>
      <c r="AN172" s="144">
        <v>475.64</v>
      </c>
      <c r="AO172" s="144">
        <v>665.9</v>
      </c>
      <c r="AP172" s="5">
        <v>481.75</v>
      </c>
      <c r="AQ172" s="121">
        <v>674.46</v>
      </c>
      <c r="AR172" s="5">
        <v>274.22000000000003</v>
      </c>
      <c r="AS172" s="5">
        <v>268.11</v>
      </c>
      <c r="AT172" s="5">
        <v>261.99</v>
      </c>
      <c r="AU172" s="5">
        <v>255.88</v>
      </c>
      <c r="AV172" s="37">
        <v>168</v>
      </c>
      <c r="AW172" s="41">
        <v>197.17</v>
      </c>
      <c r="AX172" s="41">
        <v>201.49</v>
      </c>
      <c r="AY172" s="41">
        <v>205.8</v>
      </c>
      <c r="AZ172" s="41">
        <v>210.12</v>
      </c>
      <c r="BA172" s="41">
        <v>214.44</v>
      </c>
      <c r="BB172" s="41">
        <v>218.76</v>
      </c>
      <c r="BC172" s="41">
        <v>223.07</v>
      </c>
      <c r="BD172" s="41">
        <v>227.39</v>
      </c>
      <c r="BE172" s="42">
        <v>231.71</v>
      </c>
      <c r="BF172" s="62">
        <v>236.03</v>
      </c>
      <c r="BG172" s="62">
        <v>240.34</v>
      </c>
      <c r="BH172" s="68">
        <v>244.66</v>
      </c>
      <c r="BI172" s="42">
        <v>248.98</v>
      </c>
      <c r="BJ172" s="34">
        <v>253.3</v>
      </c>
      <c r="BK172" s="43">
        <v>257.61</v>
      </c>
      <c r="BL172" s="5">
        <v>261.93</v>
      </c>
      <c r="BM172" s="5">
        <v>266.25</v>
      </c>
      <c r="BN172" s="5">
        <v>270.57</v>
      </c>
      <c r="BO172" s="5">
        <v>274.89</v>
      </c>
      <c r="BP172" s="5">
        <v>279.2</v>
      </c>
      <c r="BQ172" s="5">
        <v>283.52</v>
      </c>
      <c r="BR172" s="144">
        <v>287.83999999999997</v>
      </c>
      <c r="BS172" s="144">
        <v>292.16000000000003</v>
      </c>
      <c r="BT172" s="144">
        <v>296.47000000000003</v>
      </c>
      <c r="BU172" s="144">
        <v>300.79000000000002</v>
      </c>
      <c r="BV172" s="144">
        <v>305.11</v>
      </c>
      <c r="BW172" s="5">
        <v>176.1</v>
      </c>
      <c r="BX172" s="5">
        <v>171.78</v>
      </c>
      <c r="BY172" s="5">
        <v>167.47</v>
      </c>
      <c r="BZ172" s="5">
        <v>163.15</v>
      </c>
    </row>
    <row r="173" spans="1:78" x14ac:dyDescent="0.45">
      <c r="A173" s="119" t="s">
        <v>630</v>
      </c>
      <c r="B173" s="41">
        <v>361.14</v>
      </c>
      <c r="C173" s="81">
        <v>505.6</v>
      </c>
      <c r="D173" s="41">
        <v>367.29</v>
      </c>
      <c r="E173" s="81">
        <v>514.21</v>
      </c>
      <c r="F173" s="41">
        <v>373.44</v>
      </c>
      <c r="G173" s="88">
        <v>522.82000000000005</v>
      </c>
      <c r="H173" s="42">
        <v>379.59</v>
      </c>
      <c r="I173" s="94">
        <v>531.42999999999995</v>
      </c>
      <c r="J173" s="62">
        <v>385.75</v>
      </c>
      <c r="K173" s="100">
        <v>540.04999999999995</v>
      </c>
      <c r="L173" s="62">
        <v>391.9</v>
      </c>
      <c r="M173" s="100">
        <v>548.66</v>
      </c>
      <c r="N173" s="68">
        <v>398.05</v>
      </c>
      <c r="O173" s="106">
        <v>557.27</v>
      </c>
      <c r="P173" s="42">
        <v>404.2</v>
      </c>
      <c r="Q173" s="94">
        <v>565.88</v>
      </c>
      <c r="R173" s="42">
        <v>410.35</v>
      </c>
      <c r="S173" s="112">
        <v>574.49</v>
      </c>
      <c r="T173" s="43">
        <v>416.5</v>
      </c>
      <c r="U173" s="45">
        <v>583.11</v>
      </c>
      <c r="V173" s="5">
        <v>422.66</v>
      </c>
      <c r="W173" s="45">
        <v>591.72</v>
      </c>
      <c r="X173" s="5">
        <v>428.81</v>
      </c>
      <c r="Y173" s="126">
        <v>600.33000000000004</v>
      </c>
      <c r="Z173" s="5">
        <v>434.96</v>
      </c>
      <c r="AA173" s="126">
        <v>608.94000000000005</v>
      </c>
      <c r="AB173" s="5">
        <v>441.11</v>
      </c>
      <c r="AC173" s="134">
        <v>617.55999999999995</v>
      </c>
      <c r="AD173" s="5">
        <v>447.26</v>
      </c>
      <c r="AE173" s="134">
        <v>626.16999999999996</v>
      </c>
      <c r="AF173" s="5">
        <v>453.41</v>
      </c>
      <c r="AG173" s="134">
        <v>634.78</v>
      </c>
      <c r="AH173" s="144">
        <v>459.57</v>
      </c>
      <c r="AI173" s="134">
        <v>643.39</v>
      </c>
      <c r="AJ173" s="144">
        <v>465.72</v>
      </c>
      <c r="AK173" s="134">
        <v>652</v>
      </c>
      <c r="AL173" s="144">
        <v>471.87</v>
      </c>
      <c r="AM173" s="134">
        <v>660.62</v>
      </c>
      <c r="AN173" s="144">
        <v>478.02</v>
      </c>
      <c r="AO173" s="144">
        <v>669.23</v>
      </c>
      <c r="AP173" s="5">
        <v>484.17</v>
      </c>
      <c r="AQ173" s="121">
        <v>677.84</v>
      </c>
      <c r="AR173" s="5">
        <v>275.58999999999997</v>
      </c>
      <c r="AS173" s="5">
        <v>269.44</v>
      </c>
      <c r="AT173" s="5">
        <v>263.29000000000002</v>
      </c>
      <c r="AU173" s="5">
        <v>257.14</v>
      </c>
      <c r="AV173" s="37">
        <v>169</v>
      </c>
      <c r="AW173" s="41">
        <v>198.35</v>
      </c>
      <c r="AX173" s="41">
        <v>202.69</v>
      </c>
      <c r="AY173" s="41">
        <v>207.04</v>
      </c>
      <c r="AZ173" s="41">
        <v>211.38</v>
      </c>
      <c r="BA173" s="41">
        <v>21572</v>
      </c>
      <c r="BB173" s="41">
        <v>220.07</v>
      </c>
      <c r="BC173" s="41">
        <v>224.41</v>
      </c>
      <c r="BD173" s="41">
        <v>228.75</v>
      </c>
      <c r="BE173" s="42">
        <v>233.1</v>
      </c>
      <c r="BF173" s="62">
        <v>237.44</v>
      </c>
      <c r="BG173" s="62">
        <v>241.78</v>
      </c>
      <c r="BH173" s="68">
        <v>246.13</v>
      </c>
      <c r="BI173" s="42">
        <v>250.47</v>
      </c>
      <c r="BJ173" s="34">
        <v>254.81</v>
      </c>
      <c r="BK173" s="43">
        <v>259.16000000000003</v>
      </c>
      <c r="BL173" s="5">
        <v>263.5</v>
      </c>
      <c r="BM173" s="5">
        <v>267.83999999999997</v>
      </c>
      <c r="BN173" s="5">
        <v>272.19</v>
      </c>
      <c r="BO173" s="5">
        <v>276.52999999999997</v>
      </c>
      <c r="BP173" s="5">
        <v>280.87</v>
      </c>
      <c r="BQ173" s="5">
        <v>285.22000000000003</v>
      </c>
      <c r="BR173" s="144">
        <v>289.56</v>
      </c>
      <c r="BS173" s="144">
        <v>293.89999999999998</v>
      </c>
      <c r="BT173" s="144">
        <v>298.25</v>
      </c>
      <c r="BU173" s="144">
        <v>302.58999999999997</v>
      </c>
      <c r="BV173" s="144">
        <v>306.93</v>
      </c>
      <c r="BW173" s="5">
        <v>177.15</v>
      </c>
      <c r="BX173" s="5">
        <v>172.81</v>
      </c>
      <c r="BY173" s="5">
        <v>168.47</v>
      </c>
      <c r="BZ173" s="5">
        <v>164.12</v>
      </c>
    </row>
    <row r="174" spans="1:78" x14ac:dyDescent="0.45">
      <c r="A174" s="119" t="s">
        <v>631</v>
      </c>
      <c r="B174" s="41">
        <v>363.31</v>
      </c>
      <c r="C174" s="81">
        <v>508.63</v>
      </c>
      <c r="D174" s="41">
        <v>369.49</v>
      </c>
      <c r="E174" s="81">
        <v>517.29</v>
      </c>
      <c r="F174" s="41">
        <v>375.68</v>
      </c>
      <c r="G174" s="88">
        <v>525.95000000000005</v>
      </c>
      <c r="H174" s="42">
        <v>381.87</v>
      </c>
      <c r="I174" s="94">
        <v>534.62</v>
      </c>
      <c r="J174" s="62">
        <v>388.06</v>
      </c>
      <c r="K174" s="100">
        <v>543.28</v>
      </c>
      <c r="L174" s="62">
        <v>394.25</v>
      </c>
      <c r="M174" s="100">
        <v>551.94000000000005</v>
      </c>
      <c r="N174" s="68">
        <v>400.43</v>
      </c>
      <c r="O174" s="106">
        <v>560.61</v>
      </c>
      <c r="P174" s="42">
        <v>406.62</v>
      </c>
      <c r="Q174" s="94">
        <v>569.27</v>
      </c>
      <c r="R174" s="42">
        <v>412.81</v>
      </c>
      <c r="S174" s="112">
        <v>577.92999999999995</v>
      </c>
      <c r="T174" s="43">
        <v>419</v>
      </c>
      <c r="U174" s="45">
        <v>586.6</v>
      </c>
      <c r="V174" s="5">
        <v>425.19</v>
      </c>
      <c r="W174" s="45">
        <v>595.26</v>
      </c>
      <c r="X174" s="5">
        <v>431.37</v>
      </c>
      <c r="Y174" s="126">
        <v>603.91999999999996</v>
      </c>
      <c r="Z174" s="5">
        <v>437.56</v>
      </c>
      <c r="AA174" s="126">
        <v>612.58000000000004</v>
      </c>
      <c r="AB174" s="5">
        <v>443.75</v>
      </c>
      <c r="AC174" s="134">
        <v>621.25</v>
      </c>
      <c r="AD174" s="5">
        <v>449.94</v>
      </c>
      <c r="AE174" s="134">
        <v>629.91</v>
      </c>
      <c r="AF174" s="5">
        <v>456.13</v>
      </c>
      <c r="AG174" s="134">
        <v>638.58000000000004</v>
      </c>
      <c r="AH174" s="144">
        <v>462.31</v>
      </c>
      <c r="AI174" s="134">
        <v>647.24</v>
      </c>
      <c r="AJ174" s="144">
        <v>468.5</v>
      </c>
      <c r="AK174" s="134">
        <v>655.9</v>
      </c>
      <c r="AL174" s="144">
        <v>474.69</v>
      </c>
      <c r="AM174" s="134">
        <v>664.56</v>
      </c>
      <c r="AN174" s="144">
        <v>480.88</v>
      </c>
      <c r="AO174" s="144">
        <v>673.23</v>
      </c>
      <c r="AP174" s="5">
        <v>487.07</v>
      </c>
      <c r="AQ174" s="121">
        <v>681.89</v>
      </c>
      <c r="AR174" s="5">
        <v>277.24</v>
      </c>
      <c r="AS174" s="5">
        <v>271.05</v>
      </c>
      <c r="AT174" s="5">
        <v>264.86</v>
      </c>
      <c r="AU174" s="5">
        <v>258.68</v>
      </c>
      <c r="AV174" s="37">
        <v>170</v>
      </c>
      <c r="AW174" s="41">
        <v>199.53</v>
      </c>
      <c r="AX174" s="41">
        <v>203.9</v>
      </c>
      <c r="AY174" s="41">
        <v>208.27</v>
      </c>
      <c r="AZ174" s="41">
        <v>212.64</v>
      </c>
      <c r="BA174" s="41">
        <v>217.01</v>
      </c>
      <c r="BB174" s="41">
        <v>221.38</v>
      </c>
      <c r="BC174" s="41">
        <v>225.75</v>
      </c>
      <c r="BD174" s="41">
        <v>230.12</v>
      </c>
      <c r="BE174" s="42">
        <v>234.49</v>
      </c>
      <c r="BF174" s="62">
        <v>238.85</v>
      </c>
      <c r="BG174" s="62">
        <v>243.22</v>
      </c>
      <c r="BH174" s="68">
        <v>247.59</v>
      </c>
      <c r="BI174" s="42">
        <v>251.96</v>
      </c>
      <c r="BJ174" s="34">
        <v>256.33</v>
      </c>
      <c r="BK174" s="43">
        <v>260.7</v>
      </c>
      <c r="BL174" s="5">
        <v>265.07</v>
      </c>
      <c r="BM174" s="5">
        <v>269.44</v>
      </c>
      <c r="BN174" s="5">
        <v>273.81</v>
      </c>
      <c r="BO174" s="5">
        <v>278.18</v>
      </c>
      <c r="BP174" s="5">
        <v>282.54000000000002</v>
      </c>
      <c r="BQ174" s="5">
        <v>286.91000000000003</v>
      </c>
      <c r="BR174" s="144">
        <v>291.27999999999997</v>
      </c>
      <c r="BS174" s="144">
        <v>295.64999999999998</v>
      </c>
      <c r="BT174" s="144">
        <v>300.02</v>
      </c>
      <c r="BU174" s="144">
        <v>304.39</v>
      </c>
      <c r="BV174" s="144">
        <v>308.76</v>
      </c>
      <c r="BW174" s="5">
        <v>178.21</v>
      </c>
      <c r="BX174" s="5">
        <v>173.84</v>
      </c>
      <c r="BY174" s="5">
        <v>169.47</v>
      </c>
      <c r="BZ174" s="5">
        <v>165.1</v>
      </c>
    </row>
    <row r="175" spans="1:78" x14ac:dyDescent="0.45">
      <c r="A175" s="119" t="s">
        <v>632</v>
      </c>
      <c r="B175" s="41">
        <v>365.48</v>
      </c>
      <c r="C175" s="81">
        <v>511.67</v>
      </c>
      <c r="D175" s="41">
        <v>371.7</v>
      </c>
      <c r="E175" s="81">
        <v>520.38</v>
      </c>
      <c r="F175" s="41">
        <v>377.93</v>
      </c>
      <c r="G175" s="88">
        <v>529.1</v>
      </c>
      <c r="H175" s="42">
        <v>384.15</v>
      </c>
      <c r="I175" s="94">
        <v>537.80999999999995</v>
      </c>
      <c r="J175" s="62">
        <v>390.37</v>
      </c>
      <c r="K175" s="100">
        <v>546.52</v>
      </c>
      <c r="L175" s="62">
        <v>396.6</v>
      </c>
      <c r="M175" s="100">
        <v>555.24</v>
      </c>
      <c r="N175" s="68">
        <v>402.82</v>
      </c>
      <c r="O175" s="106">
        <v>563.95000000000005</v>
      </c>
      <c r="P175" s="42">
        <v>409.05</v>
      </c>
      <c r="Q175" s="94">
        <v>572.66999999999996</v>
      </c>
      <c r="R175" s="42">
        <v>415.27</v>
      </c>
      <c r="S175" s="112">
        <v>581.38</v>
      </c>
      <c r="T175" s="43">
        <v>421.5</v>
      </c>
      <c r="U175" s="45">
        <v>590.09</v>
      </c>
      <c r="V175" s="5">
        <v>427.72</v>
      </c>
      <c r="W175" s="45">
        <v>598.80999999999995</v>
      </c>
      <c r="X175" s="5">
        <v>433.94</v>
      </c>
      <c r="Y175" s="126">
        <v>607.52</v>
      </c>
      <c r="Z175" s="5">
        <v>440.17</v>
      </c>
      <c r="AA175" s="126">
        <v>616.24</v>
      </c>
      <c r="AB175" s="5">
        <v>446.39</v>
      </c>
      <c r="AC175" s="134">
        <v>624.95000000000005</v>
      </c>
      <c r="AD175" s="5">
        <v>452.62</v>
      </c>
      <c r="AE175" s="134">
        <v>633.66</v>
      </c>
      <c r="AF175" s="5">
        <v>458.84</v>
      </c>
      <c r="AG175" s="134">
        <v>642.38</v>
      </c>
      <c r="AH175" s="144">
        <v>465.07</v>
      </c>
      <c r="AI175" s="134">
        <v>651.09</v>
      </c>
      <c r="AJ175" s="144">
        <v>471.29</v>
      </c>
      <c r="AK175" s="134">
        <v>659.81</v>
      </c>
      <c r="AL175" s="144">
        <v>477.52</v>
      </c>
      <c r="AM175" s="134">
        <v>668.52</v>
      </c>
      <c r="AN175" s="144">
        <v>483.74</v>
      </c>
      <c r="AO175" s="144">
        <v>677.24</v>
      </c>
      <c r="AP175" s="5">
        <v>489.96</v>
      </c>
      <c r="AQ175" s="121">
        <v>685.95</v>
      </c>
      <c r="AR175" s="5">
        <v>278.89</v>
      </c>
      <c r="AS175" s="5">
        <v>272.67</v>
      </c>
      <c r="AT175" s="5">
        <v>266.44</v>
      </c>
      <c r="AU175" s="5">
        <v>260.22000000000003</v>
      </c>
      <c r="AV175" s="37">
        <v>171</v>
      </c>
      <c r="AW175" s="41">
        <v>200.72</v>
      </c>
      <c r="AX175" s="41">
        <v>250.11</v>
      </c>
      <c r="AY175" s="41">
        <v>209.51</v>
      </c>
      <c r="AZ175" s="41">
        <v>213.9</v>
      </c>
      <c r="BA175" s="41">
        <v>218.3</v>
      </c>
      <c r="BB175" s="41">
        <v>222.69</v>
      </c>
      <c r="BC175" s="41">
        <v>227.09</v>
      </c>
      <c r="BD175" s="41">
        <v>231.48</v>
      </c>
      <c r="BE175" s="42">
        <v>235.88</v>
      </c>
      <c r="BF175" s="62">
        <v>240.27</v>
      </c>
      <c r="BG175" s="62">
        <v>244.67</v>
      </c>
      <c r="BH175" s="68">
        <v>249.06</v>
      </c>
      <c r="BI175" s="42">
        <v>253.46</v>
      </c>
      <c r="BJ175" s="34">
        <v>257.85000000000002</v>
      </c>
      <c r="BK175" s="43">
        <v>262.24</v>
      </c>
      <c r="BL175" s="5">
        <v>266.64</v>
      </c>
      <c r="BM175" s="5">
        <v>271.02999999999997</v>
      </c>
      <c r="BN175" s="5">
        <v>275.43</v>
      </c>
      <c r="BO175" s="5">
        <v>279.82</v>
      </c>
      <c r="BP175" s="5">
        <v>284.22000000000003</v>
      </c>
      <c r="BQ175" s="5">
        <v>288.61</v>
      </c>
      <c r="BR175" s="144">
        <v>293.01</v>
      </c>
      <c r="BS175" s="144">
        <v>297.39999999999998</v>
      </c>
      <c r="BT175" s="144">
        <v>301.8</v>
      </c>
      <c r="BU175" s="144">
        <v>306.19</v>
      </c>
      <c r="BV175" s="144">
        <v>310.58999999999997</v>
      </c>
      <c r="BW175" s="5">
        <v>179.26</v>
      </c>
      <c r="BX175" s="5">
        <v>174.87</v>
      </c>
      <c r="BY175" s="5">
        <v>170.47</v>
      </c>
      <c r="BZ175" s="5">
        <v>166.08</v>
      </c>
    </row>
    <row r="176" spans="1:78" x14ac:dyDescent="0.45">
      <c r="A176" s="119" t="s">
        <v>633</v>
      </c>
      <c r="B176" s="41">
        <v>367.65</v>
      </c>
      <c r="C176" s="81">
        <v>514.71</v>
      </c>
      <c r="D176" s="41">
        <v>373.91</v>
      </c>
      <c r="E176" s="81">
        <v>523.48</v>
      </c>
      <c r="F176" s="41">
        <v>380.18</v>
      </c>
      <c r="G176" s="88">
        <v>532.25</v>
      </c>
      <c r="H176" s="42">
        <v>386.44</v>
      </c>
      <c r="I176" s="94">
        <v>541.01</v>
      </c>
      <c r="J176" s="62">
        <v>392.7</v>
      </c>
      <c r="K176" s="100">
        <v>549.78</v>
      </c>
      <c r="L176" s="62">
        <v>398.96</v>
      </c>
      <c r="M176" s="100">
        <v>558.54</v>
      </c>
      <c r="N176" s="68">
        <v>405.22</v>
      </c>
      <c r="O176" s="106">
        <v>567.30999999999995</v>
      </c>
      <c r="P176" s="42">
        <v>411.48</v>
      </c>
      <c r="Q176" s="94">
        <v>576.07000000000005</v>
      </c>
      <c r="R176" s="42">
        <v>417.74</v>
      </c>
      <c r="S176" s="112">
        <v>584.84</v>
      </c>
      <c r="T176" s="43" t="s">
        <v>119</v>
      </c>
      <c r="U176" s="45">
        <v>593.6</v>
      </c>
      <c r="V176" s="5">
        <v>430.26</v>
      </c>
      <c r="W176" s="45">
        <v>602.37</v>
      </c>
      <c r="X176" s="5">
        <v>436.52</v>
      </c>
      <c r="Y176" s="126">
        <v>611.13</v>
      </c>
      <c r="Z176" s="5">
        <v>442.78</v>
      </c>
      <c r="AA176" s="126">
        <v>619.89</v>
      </c>
      <c r="AB176" s="5">
        <v>449.04</v>
      </c>
      <c r="AC176" s="134">
        <v>628.66</v>
      </c>
      <c r="AD176" s="5">
        <v>455.3</v>
      </c>
      <c r="AE176" s="134">
        <v>637.42999999999995</v>
      </c>
      <c r="AF176" s="5">
        <v>461.57</v>
      </c>
      <c r="AG176" s="134">
        <v>646.19000000000005</v>
      </c>
      <c r="AH176" s="144">
        <v>467.83</v>
      </c>
      <c r="AI176" s="134">
        <v>654.96</v>
      </c>
      <c r="AJ176" s="144">
        <v>474.09</v>
      </c>
      <c r="AK176" s="134">
        <v>663.72</v>
      </c>
      <c r="AL176" s="144">
        <v>480.35</v>
      </c>
      <c r="AM176" s="134">
        <v>672.49</v>
      </c>
      <c r="AN176" s="144">
        <v>486.61</v>
      </c>
      <c r="AO176" s="144">
        <v>681.25</v>
      </c>
      <c r="AP176" s="5">
        <v>492.87</v>
      </c>
      <c r="AQ176" s="121">
        <v>690.02</v>
      </c>
      <c r="AR176" s="5">
        <v>280.55</v>
      </c>
      <c r="AS176" s="5">
        <v>274.27999999999997</v>
      </c>
      <c r="AT176" s="5">
        <v>268.02</v>
      </c>
      <c r="AU176" s="5">
        <v>261.76</v>
      </c>
      <c r="AV176" s="37">
        <v>172</v>
      </c>
      <c r="AW176" s="41">
        <v>201.91</v>
      </c>
      <c r="AX176" s="41">
        <v>206.33</v>
      </c>
      <c r="AY176" s="41">
        <v>210.75</v>
      </c>
      <c r="AZ176" s="41">
        <v>215.17</v>
      </c>
      <c r="BA176" s="41">
        <v>219.59</v>
      </c>
      <c r="BB176" s="41">
        <v>224.01</v>
      </c>
      <c r="BC176" s="41">
        <v>228.43</v>
      </c>
      <c r="BD176" s="41">
        <v>232.85</v>
      </c>
      <c r="BE176" s="42">
        <v>237.27</v>
      </c>
      <c r="BF176" s="62">
        <v>241.69</v>
      </c>
      <c r="BG176" s="62">
        <v>246.11</v>
      </c>
      <c r="BH176" s="68">
        <v>250.53</v>
      </c>
      <c r="BI176" s="42">
        <v>254.95</v>
      </c>
      <c r="BJ176" s="34">
        <v>259.37</v>
      </c>
      <c r="BK176" s="43">
        <v>263.79000000000002</v>
      </c>
      <c r="BL176" s="5">
        <v>268.20999999999998</v>
      </c>
      <c r="BM176" s="5">
        <v>272.63</v>
      </c>
      <c r="BN176" s="5">
        <v>277.05</v>
      </c>
      <c r="BO176" s="5">
        <v>281.47000000000003</v>
      </c>
      <c r="BP176" s="5">
        <v>285.89</v>
      </c>
      <c r="BQ176" s="5">
        <v>290.31</v>
      </c>
      <c r="BR176" s="144">
        <v>294.73</v>
      </c>
      <c r="BS176" s="144">
        <v>299.14999999999998</v>
      </c>
      <c r="BT176" s="144">
        <v>303.57</v>
      </c>
      <c r="BU176" s="144">
        <v>307.99</v>
      </c>
      <c r="BV176" s="144">
        <v>312.42</v>
      </c>
      <c r="BW176" s="5">
        <v>180.32</v>
      </c>
      <c r="BX176" s="5">
        <v>175.9</v>
      </c>
      <c r="BY176" s="5">
        <v>171.48</v>
      </c>
      <c r="BZ176" s="5">
        <v>167.06</v>
      </c>
    </row>
    <row r="177" spans="1:78" x14ac:dyDescent="0.45">
      <c r="A177" s="119" t="s">
        <v>634</v>
      </c>
      <c r="B177" s="41">
        <v>369.84</v>
      </c>
      <c r="C177" s="81">
        <v>517.77</v>
      </c>
      <c r="D177" s="41">
        <v>376.13</v>
      </c>
      <c r="E177" s="81">
        <v>526.59</v>
      </c>
      <c r="F177" s="41">
        <v>382.43</v>
      </c>
      <c r="G177" s="88">
        <v>535.4</v>
      </c>
      <c r="H177" s="42">
        <v>388.73</v>
      </c>
      <c r="I177" s="94">
        <v>544.22</v>
      </c>
      <c r="J177" s="62">
        <v>395.03</v>
      </c>
      <c r="K177" s="100">
        <v>553.04</v>
      </c>
      <c r="L177" s="62">
        <v>401.32</v>
      </c>
      <c r="M177" s="100">
        <v>561.85</v>
      </c>
      <c r="N177" s="68">
        <v>407.62</v>
      </c>
      <c r="O177" s="106">
        <v>570.66999999999996</v>
      </c>
      <c r="P177" s="42">
        <v>413.92</v>
      </c>
      <c r="Q177" s="94">
        <v>579.48</v>
      </c>
      <c r="R177" s="42">
        <v>420.21</v>
      </c>
      <c r="S177" s="112">
        <v>588.29999999999995</v>
      </c>
      <c r="T177" s="43">
        <v>426.51</v>
      </c>
      <c r="U177" s="45">
        <v>597.12</v>
      </c>
      <c r="V177" s="5">
        <v>432.81</v>
      </c>
      <c r="W177" s="45">
        <v>605.92999999999995</v>
      </c>
      <c r="X177" s="5">
        <v>439.11</v>
      </c>
      <c r="Y177" s="126">
        <v>614.75</v>
      </c>
      <c r="Z177" s="5">
        <v>445.4</v>
      </c>
      <c r="AA177" s="126">
        <v>623.55999999999995</v>
      </c>
      <c r="AB177" s="5">
        <v>451.7</v>
      </c>
      <c r="AC177" s="134">
        <v>632.38</v>
      </c>
      <c r="AD177" s="5">
        <v>458</v>
      </c>
      <c r="AE177" s="134">
        <v>641.20000000000005</v>
      </c>
      <c r="AF177" s="5">
        <v>464.29</v>
      </c>
      <c r="AG177" s="134">
        <v>650.01</v>
      </c>
      <c r="AH177" s="144">
        <v>470.59</v>
      </c>
      <c r="AI177" s="134">
        <v>658.83</v>
      </c>
      <c r="AJ177" s="144">
        <v>476.86</v>
      </c>
      <c r="AK177" s="134">
        <v>667.65</v>
      </c>
      <c r="AL177" s="144">
        <v>483.19</v>
      </c>
      <c r="AM177" s="134">
        <v>676.46</v>
      </c>
      <c r="AN177" s="144">
        <v>489.48</v>
      </c>
      <c r="AO177" s="144">
        <v>685.28</v>
      </c>
      <c r="AP177" s="5">
        <v>495.78</v>
      </c>
      <c r="AQ177" s="121">
        <v>694.09</v>
      </c>
      <c r="AR177" s="5">
        <v>282.2</v>
      </c>
      <c r="AS177" s="5">
        <v>275.91000000000003</v>
      </c>
      <c r="AT177" s="5">
        <v>269.61</v>
      </c>
      <c r="AU177" s="5">
        <v>263.31</v>
      </c>
      <c r="AV177" s="37">
        <v>173</v>
      </c>
      <c r="AW177" s="41">
        <v>202.96</v>
      </c>
      <c r="AX177" s="41">
        <v>207.41</v>
      </c>
      <c r="AY177" s="41">
        <v>211.85</v>
      </c>
      <c r="AZ177" s="41">
        <v>216.3</v>
      </c>
      <c r="BA177" s="41">
        <v>220.74</v>
      </c>
      <c r="BB177" s="41">
        <v>225.19</v>
      </c>
      <c r="BC177" s="41">
        <v>229.64</v>
      </c>
      <c r="BD177" s="41">
        <v>234.08</v>
      </c>
      <c r="BE177" s="42">
        <v>238.53</v>
      </c>
      <c r="BF177" s="62">
        <v>242.98</v>
      </c>
      <c r="BG177" s="62">
        <v>247.42</v>
      </c>
      <c r="BH177" s="68">
        <v>251.87</v>
      </c>
      <c r="BI177" s="42">
        <v>256.31</v>
      </c>
      <c r="BJ177" s="34">
        <v>260.76</v>
      </c>
      <c r="BK177" s="43">
        <v>265.20999999999998</v>
      </c>
      <c r="BL177" s="5">
        <v>269.64999999999998</v>
      </c>
      <c r="BM177" s="5">
        <v>274.10000000000002</v>
      </c>
      <c r="BN177" s="5">
        <v>278.55</v>
      </c>
      <c r="BO177" s="5">
        <v>282.99</v>
      </c>
      <c r="BP177" s="5">
        <v>287.44</v>
      </c>
      <c r="BQ177" s="5">
        <v>291.88</v>
      </c>
      <c r="BR177" s="144">
        <v>296.33</v>
      </c>
      <c r="BS177" s="144">
        <v>300.77999999999997</v>
      </c>
      <c r="BT177" s="144">
        <v>305.22000000000003</v>
      </c>
      <c r="BU177" s="144">
        <v>309.67</v>
      </c>
      <c r="BV177" s="144">
        <v>314.11</v>
      </c>
      <c r="BW177" s="5">
        <v>181.3</v>
      </c>
      <c r="BX177" s="5">
        <v>176.85</v>
      </c>
      <c r="BY177" s="5">
        <v>172.4</v>
      </c>
      <c r="BZ177" s="5">
        <v>167.96</v>
      </c>
    </row>
    <row r="178" spans="1:78" x14ac:dyDescent="0.45">
      <c r="A178" s="119" t="s">
        <v>635</v>
      </c>
      <c r="B178" s="41">
        <v>372.03</v>
      </c>
      <c r="C178" s="81">
        <v>520.84</v>
      </c>
      <c r="D178" s="41">
        <v>378.36</v>
      </c>
      <c r="E178" s="81">
        <v>529.70000000000005</v>
      </c>
      <c r="F178" s="41">
        <v>384.69</v>
      </c>
      <c r="G178" s="88">
        <v>538.57000000000005</v>
      </c>
      <c r="H178" s="42">
        <v>391.03</v>
      </c>
      <c r="I178" s="94">
        <v>547.44000000000005</v>
      </c>
      <c r="J178" s="62">
        <v>397.36</v>
      </c>
      <c r="K178" s="100">
        <v>556.30999999999995</v>
      </c>
      <c r="L178" s="62">
        <v>403.69</v>
      </c>
      <c r="M178" s="100">
        <v>565.16999999999996</v>
      </c>
      <c r="N178" s="68">
        <v>410.03</v>
      </c>
      <c r="O178" s="106">
        <v>574.04</v>
      </c>
      <c r="P178" s="42">
        <v>416.36</v>
      </c>
      <c r="Q178" s="94">
        <v>582.91</v>
      </c>
      <c r="R178" s="42">
        <v>422.7</v>
      </c>
      <c r="S178" s="112">
        <v>591.77</v>
      </c>
      <c r="T178" s="43">
        <v>429.03</v>
      </c>
      <c r="U178" s="45">
        <v>600.64</v>
      </c>
      <c r="V178" s="5">
        <v>435.36</v>
      </c>
      <c r="W178" s="45">
        <v>609.51</v>
      </c>
      <c r="X178" s="5">
        <v>441.7</v>
      </c>
      <c r="Y178" s="126">
        <v>618.38</v>
      </c>
      <c r="Z178" s="5">
        <v>448.03</v>
      </c>
      <c r="AA178" s="126">
        <v>627.24</v>
      </c>
      <c r="AB178" s="5">
        <v>454.36</v>
      </c>
      <c r="AC178" s="134">
        <v>636.11</v>
      </c>
      <c r="AD178" s="5">
        <v>460.7</v>
      </c>
      <c r="AE178" s="134">
        <v>644.98</v>
      </c>
      <c r="AF178" s="5">
        <v>467.03</v>
      </c>
      <c r="AG178" s="134">
        <v>653.84</v>
      </c>
      <c r="AH178" s="144">
        <v>473.36</v>
      </c>
      <c r="AI178" s="134">
        <v>662.71</v>
      </c>
      <c r="AJ178" s="144">
        <v>479.7</v>
      </c>
      <c r="AK178" s="134">
        <v>671.58</v>
      </c>
      <c r="AL178" s="144">
        <v>486.03</v>
      </c>
      <c r="AM178" s="134">
        <v>680.44</v>
      </c>
      <c r="AN178" s="144">
        <v>492.37</v>
      </c>
      <c r="AO178" s="144">
        <v>689.31</v>
      </c>
      <c r="AP178" s="5">
        <v>498.7</v>
      </c>
      <c r="AQ178" s="121">
        <v>698.18</v>
      </c>
      <c r="AR178" s="5">
        <v>283.87</v>
      </c>
      <c r="AS178" s="5">
        <v>277.52999999999997</v>
      </c>
      <c r="AT178" s="5">
        <v>271.2</v>
      </c>
      <c r="AU178" s="5">
        <v>264.86</v>
      </c>
      <c r="AV178" s="37">
        <v>174</v>
      </c>
      <c r="AW178" s="41">
        <v>204.15</v>
      </c>
      <c r="AX178" s="41">
        <v>208.62</v>
      </c>
      <c r="AY178" s="41">
        <v>213.09</v>
      </c>
      <c r="AZ178" s="41">
        <v>217.57</v>
      </c>
      <c r="BA178" s="41">
        <v>222.02</v>
      </c>
      <c r="BB178" s="41">
        <v>226.51</v>
      </c>
      <c r="BC178" s="41">
        <v>230.98</v>
      </c>
      <c r="BD178" s="41">
        <v>235.45</v>
      </c>
      <c r="BE178" s="42">
        <v>239.92</v>
      </c>
      <c r="BF178" s="62">
        <v>244.4</v>
      </c>
      <c r="BG178" s="62">
        <v>248.87</v>
      </c>
      <c r="BH178" s="68">
        <v>253.34</v>
      </c>
      <c r="BI178" s="42">
        <v>257.81</v>
      </c>
      <c r="BJ178" s="34">
        <v>262.27999999999997</v>
      </c>
      <c r="BK178" s="43">
        <v>266.76</v>
      </c>
      <c r="BL178" s="5">
        <v>271.23</v>
      </c>
      <c r="BM178" s="5">
        <v>275.7</v>
      </c>
      <c r="BN178" s="5">
        <v>280.17</v>
      </c>
      <c r="BO178" s="5">
        <v>284.64</v>
      </c>
      <c r="BP178" s="5">
        <v>289.11</v>
      </c>
      <c r="BQ178" s="5">
        <v>293.58999999999997</v>
      </c>
      <c r="BR178" s="144">
        <v>298.06</v>
      </c>
      <c r="BS178" s="144">
        <v>302.52999999999997</v>
      </c>
      <c r="BT178" s="144">
        <v>307</v>
      </c>
      <c r="BU178" s="144">
        <v>311.47000000000003</v>
      </c>
      <c r="BV178" s="144">
        <v>315.95</v>
      </c>
      <c r="BW178" s="5">
        <v>182.35</v>
      </c>
      <c r="BX178" s="5">
        <v>177.88</v>
      </c>
      <c r="BY178" s="5">
        <v>173.41</v>
      </c>
      <c r="BZ178" s="5">
        <v>168.94</v>
      </c>
    </row>
    <row r="179" spans="1:78" x14ac:dyDescent="0.45">
      <c r="A179" s="119" t="s">
        <v>636</v>
      </c>
      <c r="B179" s="41">
        <v>374.22</v>
      </c>
      <c r="C179" s="81">
        <v>523.91</v>
      </c>
      <c r="D179" s="41">
        <v>380.59</v>
      </c>
      <c r="E179" s="81">
        <v>532.83000000000004</v>
      </c>
      <c r="F179" s="41">
        <v>386.96</v>
      </c>
      <c r="G179" s="88">
        <v>541.75</v>
      </c>
      <c r="H179" s="42">
        <v>393.33</v>
      </c>
      <c r="I179" s="94">
        <v>550.66999999999996</v>
      </c>
      <c r="J179" s="62">
        <v>399.7</v>
      </c>
      <c r="K179" s="100">
        <v>559.58000000000004</v>
      </c>
      <c r="L179" s="62">
        <v>406.07</v>
      </c>
      <c r="M179" s="100">
        <v>568.5</v>
      </c>
      <c r="N179" s="68">
        <v>412.44</v>
      </c>
      <c r="O179" s="106">
        <v>577.41999999999996</v>
      </c>
      <c r="P179" s="42">
        <v>418.81</v>
      </c>
      <c r="Q179" s="94">
        <v>586.34</v>
      </c>
      <c r="R179" s="42">
        <v>425.18</v>
      </c>
      <c r="S179" s="112">
        <v>595.26</v>
      </c>
      <c r="T179" s="43">
        <v>431.55</v>
      </c>
      <c r="U179" s="45">
        <v>604.16999999999996</v>
      </c>
      <c r="V179" s="5">
        <v>437.92</v>
      </c>
      <c r="W179" s="45">
        <v>613.09</v>
      </c>
      <c r="X179" s="5">
        <v>444.29</v>
      </c>
      <c r="Y179" s="126">
        <v>622.01</v>
      </c>
      <c r="Z179" s="5">
        <v>450.66</v>
      </c>
      <c r="AA179" s="126">
        <v>630.91999999999996</v>
      </c>
      <c r="AB179" s="5">
        <v>457.03</v>
      </c>
      <c r="AC179" s="134">
        <v>639.85</v>
      </c>
      <c r="AD179" s="5">
        <v>463.4</v>
      </c>
      <c r="AE179" s="134">
        <v>648.76</v>
      </c>
      <c r="AF179" s="5">
        <v>469.77</v>
      </c>
      <c r="AG179" s="134">
        <v>657.68</v>
      </c>
      <c r="AH179" s="144">
        <v>476.14</v>
      </c>
      <c r="AI179" s="134">
        <v>666.6</v>
      </c>
      <c r="AJ179" s="144">
        <v>482.51</v>
      </c>
      <c r="AK179" s="134">
        <v>675.52</v>
      </c>
      <c r="AL179" s="144">
        <v>488.88</v>
      </c>
      <c r="AM179" s="134">
        <v>684.44</v>
      </c>
      <c r="AN179" s="144">
        <v>495.25</v>
      </c>
      <c r="AO179" s="144">
        <v>693.35</v>
      </c>
      <c r="AP179" s="5">
        <v>501.62</v>
      </c>
      <c r="AQ179" s="121">
        <v>702.27</v>
      </c>
      <c r="AR179" s="5">
        <v>285.52999999999997</v>
      </c>
      <c r="AS179" s="5">
        <v>279.16000000000003</v>
      </c>
      <c r="AT179" s="5">
        <v>272.79000000000002</v>
      </c>
      <c r="AU179" s="5">
        <v>266.42</v>
      </c>
      <c r="AV179" s="37">
        <v>175</v>
      </c>
      <c r="AW179" s="41">
        <v>205.34</v>
      </c>
      <c r="AX179" s="41">
        <v>209.84</v>
      </c>
      <c r="AY179" s="41">
        <v>214.34</v>
      </c>
      <c r="AZ179" s="41">
        <v>218.83</v>
      </c>
      <c r="BA179" s="41">
        <v>223.33</v>
      </c>
      <c r="BB179" s="41">
        <v>227.83</v>
      </c>
      <c r="BC179" s="41">
        <v>232.33</v>
      </c>
      <c r="BD179" s="41">
        <v>236.82</v>
      </c>
      <c r="BE179" s="42">
        <v>241.32</v>
      </c>
      <c r="BF179" s="62">
        <v>245.82</v>
      </c>
      <c r="BG179" s="62">
        <v>250.32</v>
      </c>
      <c r="BH179" s="68">
        <v>254.81</v>
      </c>
      <c r="BI179" s="42">
        <v>259.31</v>
      </c>
      <c r="BJ179" s="34">
        <v>263.81</v>
      </c>
      <c r="BK179" s="43">
        <v>268.31</v>
      </c>
      <c r="BL179" s="5">
        <v>272.8</v>
      </c>
      <c r="BM179" s="5">
        <v>277.3</v>
      </c>
      <c r="BN179" s="5">
        <v>281.8</v>
      </c>
      <c r="BO179" s="5">
        <v>286.3</v>
      </c>
      <c r="BP179" s="5">
        <v>290.79000000000002</v>
      </c>
      <c r="BQ179" s="5">
        <v>295.29000000000002</v>
      </c>
      <c r="BR179" s="144">
        <v>299.79000000000002</v>
      </c>
      <c r="BS179" s="144">
        <v>304.29000000000002</v>
      </c>
      <c r="BT179" s="144">
        <v>308.77999999999997</v>
      </c>
      <c r="BU179" s="144">
        <v>313.27999999999997</v>
      </c>
      <c r="BV179" s="144">
        <v>317.77999999999997</v>
      </c>
      <c r="BW179" s="5">
        <v>183.41</v>
      </c>
      <c r="BX179" s="5">
        <v>178.91</v>
      </c>
      <c r="BY179" s="5">
        <v>174.42</v>
      </c>
      <c r="BZ179" s="5">
        <v>169.92</v>
      </c>
    </row>
    <row r="180" spans="1:78" x14ac:dyDescent="0.45">
      <c r="A180" s="119" t="s">
        <v>637</v>
      </c>
      <c r="B180" s="41">
        <v>376.43</v>
      </c>
      <c r="C180" s="81">
        <v>527</v>
      </c>
      <c r="D180" s="41">
        <v>382.83</v>
      </c>
      <c r="E180" s="81">
        <v>535.97</v>
      </c>
      <c r="F180" s="41">
        <v>389.24</v>
      </c>
      <c r="G180" s="88">
        <v>544.92999999999995</v>
      </c>
      <c r="H180" s="42">
        <v>395.65</v>
      </c>
      <c r="I180" s="94">
        <v>553.9</v>
      </c>
      <c r="J180" s="62">
        <v>402.05</v>
      </c>
      <c r="K180" s="100">
        <v>562.87</v>
      </c>
      <c r="L180" s="62">
        <v>408.46</v>
      </c>
      <c r="M180" s="100">
        <v>571.84</v>
      </c>
      <c r="N180" s="68">
        <v>414.86</v>
      </c>
      <c r="O180" s="106">
        <v>580.80999999999995</v>
      </c>
      <c r="P180" s="42">
        <v>421.27</v>
      </c>
      <c r="Q180" s="94">
        <v>589.78</v>
      </c>
      <c r="R180" s="42">
        <v>427.68</v>
      </c>
      <c r="S180" s="112">
        <v>598.75</v>
      </c>
      <c r="T180" s="43">
        <v>434.08</v>
      </c>
      <c r="U180" s="45">
        <v>607.72</v>
      </c>
      <c r="V180" s="5">
        <v>440.49</v>
      </c>
      <c r="W180" s="45">
        <v>616.69000000000005</v>
      </c>
      <c r="X180" s="5">
        <v>446.9</v>
      </c>
      <c r="Y180" s="126">
        <v>625.66</v>
      </c>
      <c r="Z180" s="5">
        <v>453.3</v>
      </c>
      <c r="AA180" s="126">
        <v>634.62</v>
      </c>
      <c r="AB180" s="5">
        <v>459.71</v>
      </c>
      <c r="AC180" s="134">
        <v>643.59</v>
      </c>
      <c r="AD180" s="5">
        <v>466.12</v>
      </c>
      <c r="AE180" s="134">
        <v>652.55999999999995</v>
      </c>
      <c r="AF180" s="5">
        <v>472.52</v>
      </c>
      <c r="AG180" s="134">
        <v>661.53</v>
      </c>
      <c r="AH180" s="144">
        <v>478.93</v>
      </c>
      <c r="AI180" s="134">
        <v>670.5</v>
      </c>
      <c r="AJ180" s="144">
        <v>485.34</v>
      </c>
      <c r="AK180" s="134">
        <v>679.47</v>
      </c>
      <c r="AL180" s="144">
        <v>491.74</v>
      </c>
      <c r="AM180" s="134">
        <v>688.44</v>
      </c>
      <c r="AN180" s="144">
        <v>498.15</v>
      </c>
      <c r="AO180" s="144">
        <v>697.41</v>
      </c>
      <c r="AP180" s="5">
        <v>504.55</v>
      </c>
      <c r="AQ180" s="121">
        <v>706.38</v>
      </c>
      <c r="AR180" s="5">
        <v>287.2</v>
      </c>
      <c r="AS180" s="5">
        <v>280.79000000000002</v>
      </c>
      <c r="AT180" s="5">
        <v>274.39</v>
      </c>
      <c r="AU180" s="5">
        <v>267.98</v>
      </c>
      <c r="AV180" s="37">
        <v>176</v>
      </c>
      <c r="AW180" s="41">
        <v>206.53</v>
      </c>
      <c r="AX180" s="41">
        <v>211.06</v>
      </c>
      <c r="AY180" s="41">
        <v>215.58</v>
      </c>
      <c r="AZ180" s="41">
        <v>220.1</v>
      </c>
      <c r="BA180" s="41">
        <v>224.63</v>
      </c>
      <c r="BB180" s="41">
        <v>229.15</v>
      </c>
      <c r="BC180" s="41">
        <v>233.67</v>
      </c>
      <c r="BD180" s="41">
        <v>238.19</v>
      </c>
      <c r="BE180" s="42">
        <v>242.72</v>
      </c>
      <c r="BF180" s="62">
        <v>247.24</v>
      </c>
      <c r="BG180" s="62">
        <v>251.76</v>
      </c>
      <c r="BH180" s="68">
        <v>256.29000000000002</v>
      </c>
      <c r="BI180" s="42">
        <v>260.81</v>
      </c>
      <c r="BJ180" s="34">
        <v>265.33</v>
      </c>
      <c r="BK180" s="43">
        <v>269.86</v>
      </c>
      <c r="BL180" s="5">
        <v>274.38</v>
      </c>
      <c r="BM180" s="5" t="s">
        <v>121</v>
      </c>
      <c r="BN180" s="5">
        <v>283.43</v>
      </c>
      <c r="BO180" s="5">
        <v>287.95</v>
      </c>
      <c r="BP180" s="5">
        <v>292.47000000000003</v>
      </c>
      <c r="BQ180" s="5">
        <v>297</v>
      </c>
      <c r="BR180" s="144">
        <v>301.52</v>
      </c>
      <c r="BS180" s="144">
        <v>306.04000000000002</v>
      </c>
      <c r="BT180" s="144">
        <v>310.57</v>
      </c>
      <c r="BU180" s="144">
        <v>315.08999999999997</v>
      </c>
      <c r="BV180" s="144">
        <v>319.61</v>
      </c>
      <c r="BW180" s="5">
        <v>184.47</v>
      </c>
      <c r="BX180" s="5">
        <v>179.95</v>
      </c>
      <c r="BY180" s="5">
        <v>175.42</v>
      </c>
      <c r="BZ180" s="5">
        <v>170.9</v>
      </c>
    </row>
    <row r="181" spans="1:78" x14ac:dyDescent="0.45">
      <c r="A181" s="119" t="s">
        <v>638</v>
      </c>
      <c r="B181" s="41">
        <v>378.64</v>
      </c>
      <c r="C181" s="81">
        <v>530.09</v>
      </c>
      <c r="D181" s="41">
        <v>385.08</v>
      </c>
      <c r="E181" s="81">
        <v>539.11</v>
      </c>
      <c r="F181" s="41">
        <v>391.52</v>
      </c>
      <c r="G181" s="88">
        <v>548.13</v>
      </c>
      <c r="H181" s="42">
        <v>397.96</v>
      </c>
      <c r="I181" s="94">
        <v>557.15</v>
      </c>
      <c r="J181" s="62">
        <v>404.41</v>
      </c>
      <c r="K181" s="100">
        <v>566.16999999999996</v>
      </c>
      <c r="L181" s="62">
        <v>410.85</v>
      </c>
      <c r="M181" s="100">
        <v>575.19000000000005</v>
      </c>
      <c r="N181" s="68">
        <v>417.29</v>
      </c>
      <c r="O181" s="106">
        <v>584.21</v>
      </c>
      <c r="P181" s="42">
        <v>423.74</v>
      </c>
      <c r="Q181" s="94">
        <v>593.23</v>
      </c>
      <c r="R181" s="42">
        <v>430.18</v>
      </c>
      <c r="S181" s="112">
        <v>602.25</v>
      </c>
      <c r="T181" s="43">
        <v>436.62</v>
      </c>
      <c r="U181" s="45">
        <v>611.27</v>
      </c>
      <c r="V181" s="5">
        <v>443.06</v>
      </c>
      <c r="W181" s="45">
        <v>620.29</v>
      </c>
      <c r="X181" s="5">
        <v>449.51</v>
      </c>
      <c r="Y181" s="126">
        <v>629.30999999999995</v>
      </c>
      <c r="Z181" s="5">
        <v>455.95</v>
      </c>
      <c r="AA181" s="126">
        <v>638.33000000000004</v>
      </c>
      <c r="AB181" s="5">
        <v>462.39</v>
      </c>
      <c r="AC181" s="134">
        <v>647.35</v>
      </c>
      <c r="AD181" s="5">
        <v>468.84</v>
      </c>
      <c r="AE181" s="134">
        <v>656.37</v>
      </c>
      <c r="AF181" s="5">
        <v>475.28</v>
      </c>
      <c r="AG181" s="134">
        <v>665.39</v>
      </c>
      <c r="AH181" s="144">
        <v>481.72</v>
      </c>
      <c r="AI181" s="134">
        <v>674.41</v>
      </c>
      <c r="AJ181" s="144">
        <v>488.16</v>
      </c>
      <c r="AK181" s="134">
        <v>683.43</v>
      </c>
      <c r="AL181" s="144">
        <v>494.61</v>
      </c>
      <c r="AM181" s="134">
        <v>692.45</v>
      </c>
      <c r="AN181" s="144">
        <v>501.05</v>
      </c>
      <c r="AO181" s="144">
        <v>701.47</v>
      </c>
      <c r="AP181" s="5">
        <v>507.49</v>
      </c>
      <c r="AQ181" s="121">
        <v>710.49</v>
      </c>
      <c r="AR181" s="5">
        <v>288.87</v>
      </c>
      <c r="AS181" s="5">
        <v>282.43</v>
      </c>
      <c r="AT181" s="5">
        <v>275.99</v>
      </c>
      <c r="AU181" s="5">
        <v>269.54000000000002</v>
      </c>
      <c r="AV181" s="37">
        <v>177</v>
      </c>
      <c r="AW181" s="41">
        <v>207.73</v>
      </c>
      <c r="AX181" s="41">
        <v>212.28</v>
      </c>
      <c r="AY181" s="41">
        <v>216.82</v>
      </c>
      <c r="AZ181" s="41">
        <v>221.37</v>
      </c>
      <c r="BA181" s="41">
        <v>225.92</v>
      </c>
      <c r="BB181" s="41">
        <v>230.47</v>
      </c>
      <c r="BC181" s="41">
        <v>235.02</v>
      </c>
      <c r="BD181" s="41">
        <v>239.57</v>
      </c>
      <c r="BE181" s="42">
        <v>244.12</v>
      </c>
      <c r="BF181" s="62">
        <v>248.67</v>
      </c>
      <c r="BG181" s="62">
        <v>253.22</v>
      </c>
      <c r="BH181" s="68">
        <v>257.76</v>
      </c>
      <c r="BI181" s="42">
        <v>262.31</v>
      </c>
      <c r="BJ181" s="34">
        <v>266.86</v>
      </c>
      <c r="BK181" s="43">
        <v>271.41000000000003</v>
      </c>
      <c r="BL181" s="5">
        <v>275.95999999999998</v>
      </c>
      <c r="BM181" s="5">
        <v>280.51</v>
      </c>
      <c r="BN181" s="5">
        <v>285.06</v>
      </c>
      <c r="BO181" s="5">
        <v>289.61</v>
      </c>
      <c r="BP181" s="5">
        <v>294.16000000000003</v>
      </c>
      <c r="BQ181" s="5">
        <v>298.7</v>
      </c>
      <c r="BR181" s="144">
        <v>303.25</v>
      </c>
      <c r="BS181" s="144">
        <v>307.8</v>
      </c>
      <c r="BT181" s="144">
        <v>312.35000000000002</v>
      </c>
      <c r="BU181" s="144">
        <v>316.89999999999998</v>
      </c>
      <c r="BV181" s="144">
        <v>321.45</v>
      </c>
      <c r="BW181" s="5">
        <v>185.53</v>
      </c>
      <c r="BX181" s="5">
        <v>180.98</v>
      </c>
      <c r="BY181" s="5">
        <v>176.43</v>
      </c>
      <c r="BZ181" s="5">
        <v>171.89</v>
      </c>
    </row>
    <row r="182" spans="1:78" x14ac:dyDescent="0.45">
      <c r="A182" s="119" t="s">
        <v>639</v>
      </c>
      <c r="B182" s="41">
        <v>380.33</v>
      </c>
      <c r="C182" s="81">
        <v>532.46</v>
      </c>
      <c r="D182" s="41">
        <v>386.8</v>
      </c>
      <c r="E182" s="81">
        <v>541.53</v>
      </c>
      <c r="F182" s="41">
        <v>393.28</v>
      </c>
      <c r="G182" s="88">
        <v>550.6</v>
      </c>
      <c r="H182" s="42">
        <v>399.76</v>
      </c>
      <c r="I182" s="94">
        <v>559.66999999999996</v>
      </c>
      <c r="J182" s="62">
        <v>406.24</v>
      </c>
      <c r="K182" s="100">
        <v>568.74</v>
      </c>
      <c r="L182" s="62">
        <v>412.72</v>
      </c>
      <c r="M182" s="100">
        <v>577.80999999999995</v>
      </c>
      <c r="N182" s="68">
        <v>419.2</v>
      </c>
      <c r="O182" s="106">
        <v>586.88</v>
      </c>
      <c r="P182" s="42">
        <v>425.68</v>
      </c>
      <c r="Q182" s="94">
        <v>595.95000000000005</v>
      </c>
      <c r="R182" s="42">
        <v>432.16</v>
      </c>
      <c r="S182" s="112">
        <v>605.02</v>
      </c>
      <c r="T182" s="43">
        <v>438.64</v>
      </c>
      <c r="U182" s="45">
        <v>614.09</v>
      </c>
      <c r="V182" s="5">
        <v>445.12</v>
      </c>
      <c r="W182" s="45">
        <v>623.16</v>
      </c>
      <c r="X182" s="5">
        <v>451.6</v>
      </c>
      <c r="Y182" s="126">
        <v>632.24</v>
      </c>
      <c r="Z182" s="5">
        <v>458.08</v>
      </c>
      <c r="AA182" s="126">
        <v>641.30999999999995</v>
      </c>
      <c r="AB182" s="5">
        <v>464.55</v>
      </c>
      <c r="AC182" s="134">
        <v>650.38</v>
      </c>
      <c r="AD182" s="5">
        <v>471.03</v>
      </c>
      <c r="AE182" s="134">
        <v>659.45</v>
      </c>
      <c r="AF182" s="5">
        <v>477.51</v>
      </c>
      <c r="AG182" s="134">
        <v>668.52</v>
      </c>
      <c r="AH182" s="144">
        <v>483.99</v>
      </c>
      <c r="AI182" s="134">
        <v>677.59</v>
      </c>
      <c r="AJ182" s="144">
        <v>490.47</v>
      </c>
      <c r="AK182" s="134">
        <v>686.66</v>
      </c>
      <c r="AL182" s="144">
        <v>496.95</v>
      </c>
      <c r="AM182" s="134">
        <v>695.73</v>
      </c>
      <c r="AN182" s="144">
        <v>503.43</v>
      </c>
      <c r="AO182" s="144">
        <v>704.8</v>
      </c>
      <c r="AP182" s="5">
        <v>509.91</v>
      </c>
      <c r="AQ182" s="121">
        <v>713.87</v>
      </c>
      <c r="AR182" s="5">
        <v>290.24</v>
      </c>
      <c r="AS182" s="5">
        <v>283.76</v>
      </c>
      <c r="AT182" s="5">
        <v>277.27999999999997</v>
      </c>
      <c r="AU182" s="5">
        <v>270.81</v>
      </c>
      <c r="AV182" s="37">
        <v>178</v>
      </c>
      <c r="AW182" s="41">
        <v>208.92</v>
      </c>
      <c r="AX182" s="41">
        <v>213.5</v>
      </c>
      <c r="AY182" s="41">
        <v>218.07</v>
      </c>
      <c r="AZ182" s="41">
        <v>222.65</v>
      </c>
      <c r="BA182" s="41">
        <v>227.22</v>
      </c>
      <c r="BB182" s="41">
        <v>231.79</v>
      </c>
      <c r="BC182" s="41">
        <v>236.37</v>
      </c>
      <c r="BD182" s="41">
        <v>240.94</v>
      </c>
      <c r="BE182" s="42">
        <v>245.52</v>
      </c>
      <c r="BF182" s="62">
        <v>250.09</v>
      </c>
      <c r="BG182" s="62">
        <v>254.67</v>
      </c>
      <c r="BH182" s="68">
        <v>259.24</v>
      </c>
      <c r="BI182" s="42">
        <v>263.82</v>
      </c>
      <c r="BJ182" s="34">
        <v>268.39</v>
      </c>
      <c r="BK182" s="43">
        <v>272.97000000000003</v>
      </c>
      <c r="BL182" s="5">
        <v>277.54000000000002</v>
      </c>
      <c r="BM182" s="5">
        <v>282.12</v>
      </c>
      <c r="BN182" s="5">
        <v>286.69</v>
      </c>
      <c r="BO182" s="5">
        <v>291.26</v>
      </c>
      <c r="BP182" s="5">
        <v>295.83999999999997</v>
      </c>
      <c r="BQ182" s="5">
        <v>300.41000000000003</v>
      </c>
      <c r="BR182" s="144">
        <v>304.99</v>
      </c>
      <c r="BS182" s="144">
        <v>309.56</v>
      </c>
      <c r="BT182" s="144">
        <v>314.14</v>
      </c>
      <c r="BU182" s="144">
        <v>318.70999999999998</v>
      </c>
      <c r="BV182" s="144">
        <v>323.29000000000002</v>
      </c>
      <c r="BW182" s="5">
        <v>186.59</v>
      </c>
      <c r="BX182" s="5">
        <v>182.02</v>
      </c>
      <c r="BY182" s="5">
        <v>177.44</v>
      </c>
      <c r="BZ182" s="5">
        <v>172.87</v>
      </c>
    </row>
    <row r="183" spans="1:78" x14ac:dyDescent="0.45">
      <c r="A183" s="119" t="s">
        <v>640</v>
      </c>
      <c r="B183" s="41">
        <v>382.54</v>
      </c>
      <c r="C183" s="81">
        <v>535.55999999999995</v>
      </c>
      <c r="D183" s="41">
        <v>389.06</v>
      </c>
      <c r="E183" s="81">
        <v>544.67999999999995</v>
      </c>
      <c r="F183" s="41">
        <v>395.57</v>
      </c>
      <c r="G183" s="88">
        <v>553.79999999999995</v>
      </c>
      <c r="H183" s="42">
        <v>402.09</v>
      </c>
      <c r="I183" s="94">
        <v>562.91999999999996</v>
      </c>
      <c r="J183" s="62">
        <v>408.6</v>
      </c>
      <c r="K183" s="100">
        <v>572.04999999999995</v>
      </c>
      <c r="L183" s="62">
        <v>415.12</v>
      </c>
      <c r="M183" s="100">
        <v>581.16999999999996</v>
      </c>
      <c r="N183" s="68">
        <v>421.64</v>
      </c>
      <c r="O183" s="106">
        <v>590.29</v>
      </c>
      <c r="P183" s="42">
        <v>428.15</v>
      </c>
      <c r="Q183" s="94">
        <v>599.41</v>
      </c>
      <c r="R183" s="42">
        <v>434.67</v>
      </c>
      <c r="S183" s="112">
        <v>608.53</v>
      </c>
      <c r="T183" s="43">
        <v>441.18</v>
      </c>
      <c r="U183" s="45">
        <v>617.66</v>
      </c>
      <c r="V183" s="5">
        <v>447.7</v>
      </c>
      <c r="W183" s="45">
        <v>626.78</v>
      </c>
      <c r="X183" s="5">
        <v>454.21</v>
      </c>
      <c r="Y183" s="126">
        <v>635.89</v>
      </c>
      <c r="Z183" s="5">
        <v>460.73</v>
      </c>
      <c r="AA183" s="126">
        <v>645.02</v>
      </c>
      <c r="AB183" s="5">
        <v>467.24</v>
      </c>
      <c r="AC183" s="134">
        <v>654.14</v>
      </c>
      <c r="AD183" s="5">
        <v>473.76</v>
      </c>
      <c r="AE183" s="134">
        <v>663.26</v>
      </c>
      <c r="AF183" s="5">
        <v>480.28</v>
      </c>
      <c r="AG183" s="134">
        <v>672.39</v>
      </c>
      <c r="AH183" s="144">
        <v>486.79</v>
      </c>
      <c r="AI183" s="134">
        <v>681.51</v>
      </c>
      <c r="AJ183" s="144">
        <v>493.31</v>
      </c>
      <c r="AK183" s="134">
        <v>690.63</v>
      </c>
      <c r="AL183" s="144">
        <v>499.82</v>
      </c>
      <c r="AM183" s="134">
        <v>699.75</v>
      </c>
      <c r="AN183" s="144">
        <v>506.34</v>
      </c>
      <c r="AO183" s="144">
        <v>708.87</v>
      </c>
      <c r="AP183" s="5">
        <v>512.85</v>
      </c>
      <c r="AQ183" s="121">
        <v>718</v>
      </c>
      <c r="AR183" s="5">
        <v>291.92</v>
      </c>
      <c r="AS183" s="5">
        <v>285.39999999999998</v>
      </c>
      <c r="AT183" s="5">
        <v>278.89</v>
      </c>
      <c r="AU183" s="5">
        <v>272.37</v>
      </c>
      <c r="AV183" s="37">
        <v>179</v>
      </c>
      <c r="AW183" s="41">
        <v>209.98</v>
      </c>
      <c r="AX183" s="41">
        <v>214.58</v>
      </c>
      <c r="AY183" s="41">
        <v>219.18</v>
      </c>
      <c r="AZ183" s="41">
        <v>223.78</v>
      </c>
      <c r="BA183" s="41">
        <v>228.38</v>
      </c>
      <c r="BB183" s="41">
        <v>232.98</v>
      </c>
      <c r="BC183" s="41">
        <v>237.58</v>
      </c>
      <c r="BD183" s="41">
        <v>242.18</v>
      </c>
      <c r="BE183" s="42">
        <v>246.78</v>
      </c>
      <c r="BF183" s="62">
        <v>251.38</v>
      </c>
      <c r="BG183" s="62">
        <v>255.98</v>
      </c>
      <c r="BH183" s="68">
        <v>260.58</v>
      </c>
      <c r="BI183" s="42">
        <v>265.18</v>
      </c>
      <c r="BJ183" s="34">
        <v>269.77999999999997</v>
      </c>
      <c r="BK183" s="43">
        <v>274.38</v>
      </c>
      <c r="BL183" s="5">
        <v>278.98</v>
      </c>
      <c r="BM183" s="5">
        <v>283.58</v>
      </c>
      <c r="BN183" s="5">
        <v>288.18</v>
      </c>
      <c r="BO183" s="5">
        <v>292.77999999999997</v>
      </c>
      <c r="BP183" s="5">
        <v>297.38</v>
      </c>
      <c r="BQ183" s="5">
        <v>301.98</v>
      </c>
      <c r="BR183" s="144">
        <v>306.58</v>
      </c>
      <c r="BS183" s="144">
        <v>311.18</v>
      </c>
      <c r="BT183" s="144">
        <v>315.77999999999997</v>
      </c>
      <c r="BU183" s="144">
        <v>320.39</v>
      </c>
      <c r="BV183" s="144">
        <v>324.99</v>
      </c>
      <c r="BW183" s="5">
        <v>187.57</v>
      </c>
      <c r="BX183" s="5">
        <v>182.97</v>
      </c>
      <c r="BY183" s="5">
        <v>178.37</v>
      </c>
      <c r="BZ183" s="5">
        <v>173.77</v>
      </c>
    </row>
    <row r="184" spans="1:78" x14ac:dyDescent="0.45">
      <c r="A184" s="119" t="s">
        <v>641</v>
      </c>
      <c r="B184" s="41">
        <v>384.77</v>
      </c>
      <c r="C184" s="81">
        <v>538.66999999999996</v>
      </c>
      <c r="D184" s="41">
        <v>391.32</v>
      </c>
      <c r="E184" s="81">
        <v>547.84</v>
      </c>
      <c r="F184" s="41">
        <v>397.87</v>
      </c>
      <c r="G184" s="88">
        <v>557.02</v>
      </c>
      <c r="H184" s="42">
        <v>404.42</v>
      </c>
      <c r="I184" s="94">
        <v>566.19000000000005</v>
      </c>
      <c r="J184" s="62">
        <v>410.97</v>
      </c>
      <c r="K184" s="100">
        <v>575.36</v>
      </c>
      <c r="L184" s="62">
        <v>417.53</v>
      </c>
      <c r="M184" s="100">
        <v>584.54</v>
      </c>
      <c r="N184" s="68">
        <v>424.08</v>
      </c>
      <c r="O184" s="106">
        <v>593.71</v>
      </c>
      <c r="P184" s="42">
        <v>430.63</v>
      </c>
      <c r="Q184" s="94">
        <v>602.88</v>
      </c>
      <c r="R184" s="42">
        <v>437.18</v>
      </c>
      <c r="S184" s="112">
        <v>612.04999999999995</v>
      </c>
      <c r="T184" s="43">
        <v>443.73</v>
      </c>
      <c r="U184" s="45">
        <v>621.23</v>
      </c>
      <c r="V184" s="5">
        <v>450.29</v>
      </c>
      <c r="W184" s="45">
        <v>630.4</v>
      </c>
      <c r="X184" s="5">
        <v>456.84</v>
      </c>
      <c r="Y184" s="126">
        <v>639.58000000000004</v>
      </c>
      <c r="Z184" s="5">
        <v>463.39</v>
      </c>
      <c r="AA184" s="126">
        <v>648.75</v>
      </c>
      <c r="AB184" s="5">
        <v>469.94</v>
      </c>
      <c r="AC184" s="134">
        <v>657.92</v>
      </c>
      <c r="AD184" s="5">
        <v>476.49</v>
      </c>
      <c r="AE184" s="134">
        <v>667.09</v>
      </c>
      <c r="AF184" s="5">
        <v>483.05</v>
      </c>
      <c r="AG184" s="134">
        <v>676.26</v>
      </c>
      <c r="AH184" s="144">
        <v>489.6</v>
      </c>
      <c r="AI184" s="134">
        <v>685.44</v>
      </c>
      <c r="AJ184" s="144">
        <v>496.15</v>
      </c>
      <c r="AK184" s="134">
        <v>694.61</v>
      </c>
      <c r="AL184" s="144">
        <v>502.7</v>
      </c>
      <c r="AM184" s="134">
        <v>703.78</v>
      </c>
      <c r="AN184" s="144">
        <v>509.25</v>
      </c>
      <c r="AO184" s="144">
        <v>712.96</v>
      </c>
      <c r="AP184" s="5">
        <v>515.80999999999995</v>
      </c>
      <c r="AQ184" s="121">
        <v>722.13</v>
      </c>
      <c r="AR184" s="5">
        <v>293.60000000000002</v>
      </c>
      <c r="AS184" s="5">
        <v>287.05</v>
      </c>
      <c r="AT184" s="5">
        <v>280.5</v>
      </c>
      <c r="AU184" s="5">
        <v>273.95</v>
      </c>
      <c r="AV184" s="37">
        <v>180</v>
      </c>
      <c r="AW184" s="41">
        <v>211.18</v>
      </c>
      <c r="AX184" s="41">
        <v>215.8</v>
      </c>
      <c r="AY184" s="41">
        <v>220.43</v>
      </c>
      <c r="AZ184" s="41">
        <v>225.05</v>
      </c>
      <c r="BA184" s="41">
        <v>229.68</v>
      </c>
      <c r="BB184" s="41">
        <v>234.31</v>
      </c>
      <c r="BC184" s="41">
        <v>238.93</v>
      </c>
      <c r="BD184" s="41">
        <v>243.56</v>
      </c>
      <c r="BE184" s="42">
        <v>248.18</v>
      </c>
      <c r="BF184" s="62">
        <v>252.81</v>
      </c>
      <c r="BG184" s="62">
        <v>257.44</v>
      </c>
      <c r="BH184" s="68">
        <v>262.06</v>
      </c>
      <c r="BI184" s="42">
        <v>266.69</v>
      </c>
      <c r="BJ184" s="34">
        <v>271.31</v>
      </c>
      <c r="BK184" s="43">
        <v>275.94</v>
      </c>
      <c r="BL184" s="5">
        <v>280.57</v>
      </c>
      <c r="BM184" s="5">
        <v>285.19</v>
      </c>
      <c r="BN184" s="5">
        <v>289.82</v>
      </c>
      <c r="BO184" s="5">
        <v>294.44</v>
      </c>
      <c r="BP184" s="5">
        <v>299.07</v>
      </c>
      <c r="BQ184" s="5">
        <v>303.7</v>
      </c>
      <c r="BR184" s="144">
        <v>308.32</v>
      </c>
      <c r="BS184" s="144">
        <v>312.95</v>
      </c>
      <c r="BT184" s="144">
        <v>317.57</v>
      </c>
      <c r="BU184" s="144">
        <v>322.2</v>
      </c>
      <c r="BV184" s="144">
        <v>326.83</v>
      </c>
      <c r="BW184" s="5">
        <v>188.63</v>
      </c>
      <c r="BX184" s="5">
        <v>184.01</v>
      </c>
      <c r="BY184" s="5">
        <v>179.38</v>
      </c>
      <c r="BZ184" s="5">
        <v>174.75</v>
      </c>
    </row>
    <row r="185" spans="1:78" x14ac:dyDescent="0.45">
      <c r="A185" s="119" t="s">
        <v>642</v>
      </c>
      <c r="B185" s="41">
        <v>387</v>
      </c>
      <c r="C185" s="81">
        <v>541.79999999999995</v>
      </c>
      <c r="D185" s="41">
        <v>393.58</v>
      </c>
      <c r="E185" s="81">
        <v>551.02</v>
      </c>
      <c r="F185" s="41">
        <v>400.17</v>
      </c>
      <c r="G185" s="88">
        <v>560.24</v>
      </c>
      <c r="H185" s="42">
        <v>406.76</v>
      </c>
      <c r="I185" s="94">
        <v>569.47</v>
      </c>
      <c r="J185" s="62">
        <v>413.35</v>
      </c>
      <c r="K185" s="100">
        <v>578.69000000000005</v>
      </c>
      <c r="L185" s="62">
        <v>419.94</v>
      </c>
      <c r="M185" s="100">
        <v>587.91</v>
      </c>
      <c r="N185" s="68">
        <v>426.53</v>
      </c>
      <c r="O185" s="106">
        <v>597.14</v>
      </c>
      <c r="P185" s="42">
        <v>433.12</v>
      </c>
      <c r="Q185" s="94">
        <v>606.36</v>
      </c>
      <c r="R185" s="42">
        <v>439.7</v>
      </c>
      <c r="S185" s="112">
        <v>615.59</v>
      </c>
      <c r="T185" s="43">
        <v>446.29</v>
      </c>
      <c r="U185" s="45">
        <v>624.80999999999995</v>
      </c>
      <c r="V185" s="5">
        <v>452.88</v>
      </c>
      <c r="W185" s="45">
        <v>634.03</v>
      </c>
      <c r="X185" s="5">
        <v>459.47</v>
      </c>
      <c r="Y185" s="126">
        <v>643.26</v>
      </c>
      <c r="Z185" s="5">
        <v>466.06</v>
      </c>
      <c r="AA185" s="126">
        <v>652.48</v>
      </c>
      <c r="AB185" s="5">
        <v>472.65</v>
      </c>
      <c r="AC185" s="134">
        <v>661.7</v>
      </c>
      <c r="AD185" s="5">
        <v>479.23</v>
      </c>
      <c r="AE185" s="134">
        <v>670.93</v>
      </c>
      <c r="AF185" s="5">
        <v>485.82</v>
      </c>
      <c r="AG185" s="134">
        <v>680.15</v>
      </c>
      <c r="AH185" s="144">
        <v>492.41</v>
      </c>
      <c r="AI185" s="134">
        <v>689.38</v>
      </c>
      <c r="AJ185" s="144">
        <v>499</v>
      </c>
      <c r="AK185" s="134">
        <v>698.6</v>
      </c>
      <c r="AL185" s="144">
        <v>505.59</v>
      </c>
      <c r="AM185" s="134">
        <v>707.82</v>
      </c>
      <c r="AN185" s="144">
        <v>512.17999999999995</v>
      </c>
      <c r="AO185" s="144">
        <v>717.05</v>
      </c>
      <c r="AP185" s="5">
        <v>518.76</v>
      </c>
      <c r="AQ185" s="121">
        <v>726.27</v>
      </c>
      <c r="AR185" s="5">
        <v>295.29000000000002</v>
      </c>
      <c r="AS185" s="5">
        <v>288.7</v>
      </c>
      <c r="AT185" s="5">
        <v>282.11</v>
      </c>
      <c r="AU185" s="5">
        <v>275.52</v>
      </c>
      <c r="AV185" s="37">
        <v>181</v>
      </c>
      <c r="AW185" s="41">
        <v>212.38</v>
      </c>
      <c r="AX185" s="41">
        <v>217.03</v>
      </c>
      <c r="AY185" s="41">
        <v>221.68</v>
      </c>
      <c r="AZ185" s="41">
        <v>226.33</v>
      </c>
      <c r="BA185" s="41">
        <v>230.98</v>
      </c>
      <c r="BB185" s="41">
        <v>235.63</v>
      </c>
      <c r="BC185" s="41">
        <v>240.29</v>
      </c>
      <c r="BD185" s="41">
        <v>244.94</v>
      </c>
      <c r="BE185" s="42">
        <v>249.59</v>
      </c>
      <c r="BF185" s="62">
        <v>254.24</v>
      </c>
      <c r="BG185" s="62">
        <v>258.89</v>
      </c>
      <c r="BH185" s="68">
        <v>263.54000000000002</v>
      </c>
      <c r="BI185" s="42">
        <v>268.2</v>
      </c>
      <c r="BJ185" s="34">
        <v>272.85000000000002</v>
      </c>
      <c r="BK185" s="43">
        <v>277.5</v>
      </c>
      <c r="BL185" s="5">
        <v>282.14999999999998</v>
      </c>
      <c r="BM185" s="5">
        <v>286.8</v>
      </c>
      <c r="BN185" s="5">
        <v>291.45</v>
      </c>
      <c r="BO185" s="5">
        <v>296.11</v>
      </c>
      <c r="BP185" s="5">
        <v>300.76</v>
      </c>
      <c r="BQ185" s="5">
        <v>305.41000000000003</v>
      </c>
      <c r="BR185" s="144">
        <v>310.06</v>
      </c>
      <c r="BS185" s="144">
        <v>314.70999999999998</v>
      </c>
      <c r="BT185" s="144">
        <v>319.36</v>
      </c>
      <c r="BU185" s="144">
        <v>324.02</v>
      </c>
      <c r="BV185" s="144">
        <v>328.67</v>
      </c>
      <c r="BW185" s="5">
        <v>189.7</v>
      </c>
      <c r="BX185" s="5">
        <v>185.04</v>
      </c>
      <c r="BY185" s="5">
        <v>180.39</v>
      </c>
      <c r="BZ185" s="5">
        <v>175.74</v>
      </c>
    </row>
    <row r="186" spans="1:78" x14ac:dyDescent="0.45">
      <c r="A186" s="119" t="s">
        <v>643</v>
      </c>
      <c r="B186" s="41">
        <v>389.23</v>
      </c>
      <c r="C186" s="81">
        <v>544.92999999999995</v>
      </c>
      <c r="D186" s="41">
        <v>395.86</v>
      </c>
      <c r="E186" s="81">
        <v>554.20000000000005</v>
      </c>
      <c r="F186" s="41">
        <v>402.48</v>
      </c>
      <c r="G186" s="88">
        <v>563.48</v>
      </c>
      <c r="H186" s="42">
        <v>409.11</v>
      </c>
      <c r="I186" s="94">
        <v>572.75</v>
      </c>
      <c r="J186" s="62">
        <v>415.73</v>
      </c>
      <c r="K186" s="100">
        <v>582.03</v>
      </c>
      <c r="L186" s="62">
        <v>422.36</v>
      </c>
      <c r="M186" s="100">
        <v>591.29999999999995</v>
      </c>
      <c r="N186" s="68">
        <v>428.98</v>
      </c>
      <c r="O186" s="106">
        <v>600.58000000000004</v>
      </c>
      <c r="P186" s="42">
        <v>435.61</v>
      </c>
      <c r="Q186" s="94">
        <v>609.85</v>
      </c>
      <c r="R186" s="42">
        <v>442.23</v>
      </c>
      <c r="S186" s="112">
        <v>619.13</v>
      </c>
      <c r="T186" s="43">
        <v>448.86</v>
      </c>
      <c r="U186" s="45">
        <v>628.4</v>
      </c>
      <c r="V186" s="5">
        <v>455.48</v>
      </c>
      <c r="W186" s="45">
        <v>637.67999999999995</v>
      </c>
      <c r="X186" s="5">
        <v>462.11</v>
      </c>
      <c r="Y186" s="126">
        <v>646.95000000000005</v>
      </c>
      <c r="Z186" s="5">
        <v>468.73</v>
      </c>
      <c r="AA186" s="126">
        <v>656.22</v>
      </c>
      <c r="AB186" s="5">
        <v>475.36</v>
      </c>
      <c r="AC186" s="134">
        <v>665.5</v>
      </c>
      <c r="AD186" s="5">
        <v>481.98</v>
      </c>
      <c r="AE186" s="134">
        <v>674.77</v>
      </c>
      <c r="AF186" s="5">
        <v>488.61</v>
      </c>
      <c r="AG186" s="134">
        <v>684.05</v>
      </c>
      <c r="AH186" s="144">
        <v>495.23</v>
      </c>
      <c r="AI186" s="134">
        <v>693.32</v>
      </c>
      <c r="AJ186" s="144">
        <v>501.86</v>
      </c>
      <c r="AK186" s="134">
        <v>702.6</v>
      </c>
      <c r="AL186" s="144">
        <v>508.48</v>
      </c>
      <c r="AM186" s="134">
        <v>711.87</v>
      </c>
      <c r="AN186" s="144">
        <v>515.11</v>
      </c>
      <c r="AO186" s="144">
        <v>721.15</v>
      </c>
      <c r="AP186" s="5">
        <v>521.73</v>
      </c>
      <c r="AQ186" s="121">
        <v>730.42</v>
      </c>
      <c r="AR186" s="5">
        <v>296.98</v>
      </c>
      <c r="AS186" s="5">
        <v>290.35000000000002</v>
      </c>
      <c r="AT186" s="5">
        <v>283.73</v>
      </c>
      <c r="AU186" s="5">
        <v>277.10000000000002</v>
      </c>
      <c r="AV186" s="37">
        <v>182</v>
      </c>
      <c r="AW186" s="41">
        <v>213.58</v>
      </c>
      <c r="AX186" s="41">
        <v>218.25</v>
      </c>
      <c r="AY186" s="41">
        <v>222.923</v>
      </c>
      <c r="AZ186" s="41">
        <v>227.64099999999999</v>
      </c>
      <c r="BA186" s="41">
        <v>232.29</v>
      </c>
      <c r="BB186" s="41">
        <v>236.96</v>
      </c>
      <c r="BC186" s="41">
        <v>241.64</v>
      </c>
      <c r="BD186" s="41">
        <v>246.32</v>
      </c>
      <c r="BE186" s="42">
        <v>251</v>
      </c>
      <c r="BF186" s="62">
        <v>255.67</v>
      </c>
      <c r="BG186" s="62">
        <v>260.35000000000002</v>
      </c>
      <c r="BH186" s="68">
        <v>265.02999999999997</v>
      </c>
      <c r="BI186" s="42">
        <v>269.70999999999998</v>
      </c>
      <c r="BJ186" s="34">
        <v>274.38</v>
      </c>
      <c r="BK186" s="43">
        <v>279.06</v>
      </c>
      <c r="BL186" s="5">
        <v>283.74</v>
      </c>
      <c r="BM186" s="5">
        <v>288.41000000000003</v>
      </c>
      <c r="BN186" s="5">
        <v>293.08999999999997</v>
      </c>
      <c r="BO186" s="5">
        <v>297.77</v>
      </c>
      <c r="BP186" s="5">
        <v>302.45</v>
      </c>
      <c r="BQ186" s="5">
        <v>307.12</v>
      </c>
      <c r="BR186" s="144">
        <v>311.8</v>
      </c>
      <c r="BS186" s="144">
        <v>316.48</v>
      </c>
      <c r="BT186" s="144">
        <v>321.16000000000003</v>
      </c>
      <c r="BU186" s="144">
        <v>325.83</v>
      </c>
      <c r="BV186" s="144">
        <v>330.51</v>
      </c>
      <c r="BW186" s="5">
        <v>190.76</v>
      </c>
      <c r="BX186" s="5">
        <v>186.08</v>
      </c>
      <c r="BY186" s="5">
        <v>181.41</v>
      </c>
      <c r="BZ186" s="5">
        <v>176.73</v>
      </c>
    </row>
    <row r="187" spans="1:78" x14ac:dyDescent="0.45">
      <c r="A187" s="119" t="s">
        <v>644</v>
      </c>
      <c r="B187" s="41">
        <v>391.48</v>
      </c>
      <c r="C187" s="81">
        <v>548.07000000000005</v>
      </c>
      <c r="D187" s="41">
        <v>398.14</v>
      </c>
      <c r="E187" s="81">
        <v>557.4</v>
      </c>
      <c r="F187" s="41">
        <v>404.8</v>
      </c>
      <c r="G187" s="88">
        <v>566.72</v>
      </c>
      <c r="H187" s="42">
        <v>411.46</v>
      </c>
      <c r="I187" s="94">
        <v>576.04999999999995</v>
      </c>
      <c r="J187" s="62">
        <v>418.13</v>
      </c>
      <c r="K187" s="100">
        <v>585.38</v>
      </c>
      <c r="L187" s="62">
        <v>424.79</v>
      </c>
      <c r="M187" s="100">
        <v>594.70000000000005</v>
      </c>
      <c r="N187" s="68">
        <v>431.45</v>
      </c>
      <c r="O187" s="106">
        <v>604.03</v>
      </c>
      <c r="P187" s="42">
        <v>438.11</v>
      </c>
      <c r="Q187" s="94">
        <v>613.35</v>
      </c>
      <c r="R187" s="42">
        <v>444.77</v>
      </c>
      <c r="S187" s="112">
        <v>622.67999999999995</v>
      </c>
      <c r="T187" s="43">
        <v>451.43</v>
      </c>
      <c r="U187" s="45">
        <v>632</v>
      </c>
      <c r="V187" s="5">
        <v>458.09</v>
      </c>
      <c r="W187" s="45">
        <v>641.33000000000004</v>
      </c>
      <c r="X187" s="5">
        <v>464.75</v>
      </c>
      <c r="Y187" s="126">
        <v>650.65</v>
      </c>
      <c r="Z187" s="5">
        <v>471.41</v>
      </c>
      <c r="AA187" s="126">
        <v>659.97</v>
      </c>
      <c r="AB187" s="5">
        <v>478.08</v>
      </c>
      <c r="AC187" s="134">
        <v>669.31</v>
      </c>
      <c r="AD187" s="5">
        <v>484.74</v>
      </c>
      <c r="AE187" s="134">
        <v>678.63</v>
      </c>
      <c r="AF187" s="5">
        <v>491.4</v>
      </c>
      <c r="AG187" s="134">
        <v>687.96</v>
      </c>
      <c r="AH187" s="144">
        <v>498.06</v>
      </c>
      <c r="AI187" s="134">
        <v>697.28</v>
      </c>
      <c r="AJ187" s="144">
        <v>504.72</v>
      </c>
      <c r="AK187" s="134">
        <v>706.6</v>
      </c>
      <c r="AL187" s="144">
        <v>511.38</v>
      </c>
      <c r="AM187" s="134">
        <v>715.95</v>
      </c>
      <c r="AN187" s="144">
        <v>518.04</v>
      </c>
      <c r="AO187" s="144">
        <v>725.26</v>
      </c>
      <c r="AP187" s="5">
        <v>524.70000000000005</v>
      </c>
      <c r="AQ187" s="121">
        <v>734.59</v>
      </c>
      <c r="AR187" s="5">
        <v>298.67</v>
      </c>
      <c r="AS187" s="5">
        <v>292.01</v>
      </c>
      <c r="AT187" s="5">
        <v>285.35000000000002</v>
      </c>
      <c r="AU187" s="5">
        <v>278.69</v>
      </c>
      <c r="AV187" s="37">
        <v>183</v>
      </c>
      <c r="AW187" s="41">
        <v>214.78</v>
      </c>
      <c r="AX187" s="41">
        <v>219.48</v>
      </c>
      <c r="AY187" s="41">
        <v>224.19</v>
      </c>
      <c r="AZ187" s="41">
        <v>228.89</v>
      </c>
      <c r="BA187" s="41">
        <v>233.59</v>
      </c>
      <c r="BB187" s="41">
        <v>238.3</v>
      </c>
      <c r="BC187" s="41">
        <v>243</v>
      </c>
      <c r="BD187" s="41">
        <v>247.7</v>
      </c>
      <c r="BE187" s="42">
        <v>252.4</v>
      </c>
      <c r="BF187" s="62">
        <v>257.11</v>
      </c>
      <c r="BG187" s="62">
        <v>261.81</v>
      </c>
      <c r="BH187" s="68">
        <v>266.51</v>
      </c>
      <c r="BI187" s="42">
        <v>271.22000000000003</v>
      </c>
      <c r="BJ187" s="34">
        <v>275.92</v>
      </c>
      <c r="BK187" s="43">
        <v>280.62</v>
      </c>
      <c r="BL187" s="5">
        <v>285.33</v>
      </c>
      <c r="BM187" s="5">
        <v>290.02999999999997</v>
      </c>
      <c r="BN187" s="5">
        <v>294.73</v>
      </c>
      <c r="BO187" s="5">
        <v>299.44</v>
      </c>
      <c r="BP187" s="5">
        <v>304.14</v>
      </c>
      <c r="BQ187" s="5">
        <v>308.83999999999997</v>
      </c>
      <c r="BR187" s="144">
        <v>313.54000000000002</v>
      </c>
      <c r="BS187" s="144">
        <v>318.25</v>
      </c>
      <c r="BT187" s="144">
        <v>322.95</v>
      </c>
      <c r="BU187" s="144">
        <v>327.64999999999998</v>
      </c>
      <c r="BV187" s="144">
        <v>332.36</v>
      </c>
      <c r="BW187" s="5">
        <v>191.83</v>
      </c>
      <c r="BX187" s="5">
        <v>187.13</v>
      </c>
      <c r="BY187" s="5">
        <v>182.42</v>
      </c>
      <c r="BZ187" s="5">
        <v>177.72</v>
      </c>
    </row>
    <row r="188" spans="1:78" x14ac:dyDescent="0.45">
      <c r="A188" s="119" t="s">
        <v>645</v>
      </c>
      <c r="B188" s="41">
        <v>393.17</v>
      </c>
      <c r="C188" s="81">
        <v>550.44000000000005</v>
      </c>
      <c r="D188" s="41">
        <v>399.87</v>
      </c>
      <c r="E188" s="81">
        <v>559.80999999999995</v>
      </c>
      <c r="F188" s="41">
        <v>406.56</v>
      </c>
      <c r="G188" s="88">
        <v>569.19000000000005</v>
      </c>
      <c r="H188" s="42">
        <v>413.26</v>
      </c>
      <c r="I188" s="94">
        <v>578.57000000000005</v>
      </c>
      <c r="J188" s="62">
        <v>419.96</v>
      </c>
      <c r="K188" s="100">
        <v>587.94000000000005</v>
      </c>
      <c r="L188" s="62">
        <v>426.66</v>
      </c>
      <c r="M188" s="100">
        <v>597.32000000000005</v>
      </c>
      <c r="N188" s="68">
        <v>433.36</v>
      </c>
      <c r="O188" s="106">
        <v>606.70000000000005</v>
      </c>
      <c r="P188" s="42">
        <v>440.05</v>
      </c>
      <c r="Q188" s="94">
        <v>616.07000000000005</v>
      </c>
      <c r="R188" s="42">
        <v>446.75</v>
      </c>
      <c r="S188" s="112">
        <v>625.45000000000005</v>
      </c>
      <c r="T188" s="43">
        <v>453.45</v>
      </c>
      <c r="U188" s="45">
        <v>634.83000000000004</v>
      </c>
      <c r="V188" s="5">
        <v>460.15</v>
      </c>
      <c r="W188" s="45">
        <v>644.20000000000005</v>
      </c>
      <c r="X188" s="5">
        <v>466.84</v>
      </c>
      <c r="Y188" s="126">
        <v>653.58000000000004</v>
      </c>
      <c r="Z188" s="5">
        <v>473.54</v>
      </c>
      <c r="AA188" s="126">
        <v>662.96</v>
      </c>
      <c r="AB188" s="5">
        <v>480.24</v>
      </c>
      <c r="AC188" s="134">
        <v>672.33</v>
      </c>
      <c r="AD188" s="5">
        <v>486.94</v>
      </c>
      <c r="AE188" s="134">
        <v>681.71</v>
      </c>
      <c r="AF188" s="5">
        <v>493.63</v>
      </c>
      <c r="AG188" s="134">
        <v>691.09</v>
      </c>
      <c r="AH188" s="144">
        <v>500.33</v>
      </c>
      <c r="AI188" s="134">
        <v>700.46</v>
      </c>
      <c r="AJ188" s="144">
        <v>507.03</v>
      </c>
      <c r="AK188" s="134">
        <v>709.84</v>
      </c>
      <c r="AL188" s="144">
        <v>513.73</v>
      </c>
      <c r="AM188" s="134">
        <v>719.22</v>
      </c>
      <c r="AN188" s="144">
        <v>520.41999999999996</v>
      </c>
      <c r="AO188" s="144">
        <v>728.59</v>
      </c>
      <c r="AP188" s="5">
        <v>527.12</v>
      </c>
      <c r="AQ188" s="121">
        <v>737.97</v>
      </c>
      <c r="AR188" s="5">
        <v>300.04000000000002</v>
      </c>
      <c r="AS188" s="5">
        <v>293.33999999999997</v>
      </c>
      <c r="AT188" s="5">
        <v>286.64999999999998</v>
      </c>
      <c r="AU188" s="5">
        <v>279.95</v>
      </c>
      <c r="AV188" s="37">
        <v>184</v>
      </c>
      <c r="AW188" s="41">
        <v>215.84</v>
      </c>
      <c r="AX188" s="41">
        <v>220.56</v>
      </c>
      <c r="AY188" s="41">
        <v>225.29</v>
      </c>
      <c r="AZ188" s="41">
        <v>230.02</v>
      </c>
      <c r="BA188" s="41">
        <v>234.75</v>
      </c>
      <c r="BB188" s="41">
        <v>239.48</v>
      </c>
      <c r="BC188" s="41">
        <v>244.21</v>
      </c>
      <c r="BD188" s="41">
        <v>248.94</v>
      </c>
      <c r="BE188" s="42">
        <v>253.67</v>
      </c>
      <c r="BF188" s="62">
        <v>258.39999999999998</v>
      </c>
      <c r="BG188" s="62">
        <v>263.12</v>
      </c>
      <c r="BH188" s="68">
        <v>267.85000000000002</v>
      </c>
      <c r="BI188" s="42">
        <v>272.58</v>
      </c>
      <c r="BJ188" s="34">
        <v>277.31</v>
      </c>
      <c r="BK188" s="43">
        <v>282.04000000000002</v>
      </c>
      <c r="BL188" s="5">
        <v>286.77</v>
      </c>
      <c r="BM188" s="5">
        <v>291.5</v>
      </c>
      <c r="BN188" s="5">
        <v>296.23</v>
      </c>
      <c r="BO188" s="5">
        <v>300.95</v>
      </c>
      <c r="BP188" s="5">
        <v>305.68</v>
      </c>
      <c r="BQ188" s="5">
        <v>310.41000000000003</v>
      </c>
      <c r="BR188" s="144">
        <v>315.14</v>
      </c>
      <c r="BS188" s="144">
        <v>319.87</v>
      </c>
      <c r="BT188" s="144">
        <v>324.60000000000002</v>
      </c>
      <c r="BU188" s="144">
        <v>329.33</v>
      </c>
      <c r="BV188" s="144">
        <v>334.06</v>
      </c>
      <c r="BW188" s="5">
        <v>192.8</v>
      </c>
      <c r="BX188" s="5">
        <v>188.07</v>
      </c>
      <c r="BY188" s="5">
        <v>183.35</v>
      </c>
      <c r="BZ188" s="5">
        <v>178.62</v>
      </c>
    </row>
    <row r="189" spans="1:78" x14ac:dyDescent="0.45">
      <c r="A189" s="119" t="s">
        <v>646</v>
      </c>
      <c r="B189" s="41">
        <v>395.42</v>
      </c>
      <c r="C189" s="81">
        <v>553.59</v>
      </c>
      <c r="D189" s="41">
        <v>402.16</v>
      </c>
      <c r="E189" s="81">
        <v>563.02</v>
      </c>
      <c r="F189" s="41">
        <v>408.89</v>
      </c>
      <c r="G189" s="88">
        <v>572.45000000000005</v>
      </c>
      <c r="H189" s="42">
        <v>415.62</v>
      </c>
      <c r="I189" s="94">
        <v>581.87</v>
      </c>
      <c r="J189" s="62">
        <v>422.36</v>
      </c>
      <c r="K189" s="100">
        <v>591.29999999999995</v>
      </c>
      <c r="L189" s="62">
        <v>429.09</v>
      </c>
      <c r="M189" s="100">
        <v>600.73</v>
      </c>
      <c r="N189" s="68">
        <v>435.83</v>
      </c>
      <c r="O189" s="106">
        <v>610.16</v>
      </c>
      <c r="P189" s="42">
        <v>442.56</v>
      </c>
      <c r="Q189" s="94">
        <v>619.59</v>
      </c>
      <c r="R189" s="42">
        <v>449.29</v>
      </c>
      <c r="S189" s="112">
        <v>629.01</v>
      </c>
      <c r="T189" s="43">
        <v>456.03</v>
      </c>
      <c r="U189" s="45">
        <v>638.44000000000005</v>
      </c>
      <c r="V189" s="5">
        <v>462.76</v>
      </c>
      <c r="W189" s="45">
        <v>647.87</v>
      </c>
      <c r="X189" s="5">
        <v>469.5</v>
      </c>
      <c r="Y189" s="126">
        <v>657.3</v>
      </c>
      <c r="Z189" s="5">
        <v>476.23</v>
      </c>
      <c r="AA189" s="126">
        <v>666.72</v>
      </c>
      <c r="AB189" s="5">
        <v>482.96</v>
      </c>
      <c r="AC189" s="134">
        <v>676.15</v>
      </c>
      <c r="AD189" s="5">
        <v>489.7</v>
      </c>
      <c r="AE189" s="134">
        <v>685.58</v>
      </c>
      <c r="AF189" s="5">
        <v>496.43</v>
      </c>
      <c r="AG189" s="134">
        <v>695.01</v>
      </c>
      <c r="AH189" s="144">
        <v>503.17</v>
      </c>
      <c r="AI189" s="134">
        <v>704.43</v>
      </c>
      <c r="AJ189" s="144">
        <v>509.9</v>
      </c>
      <c r="AK189" s="134">
        <v>713.86</v>
      </c>
      <c r="AL189" s="144">
        <v>516.63</v>
      </c>
      <c r="AM189" s="134">
        <v>723.29</v>
      </c>
      <c r="AN189" s="144">
        <v>523.37</v>
      </c>
      <c r="AO189" s="144">
        <v>732.72</v>
      </c>
      <c r="AP189" s="5">
        <v>530.1</v>
      </c>
      <c r="AQ189" s="121">
        <v>742.14</v>
      </c>
      <c r="AR189" s="5">
        <v>301.74</v>
      </c>
      <c r="AS189" s="5">
        <v>295.01</v>
      </c>
      <c r="AT189" s="5">
        <v>288.27</v>
      </c>
      <c r="AU189" s="5">
        <v>281.54000000000002</v>
      </c>
      <c r="AV189" s="37">
        <v>185</v>
      </c>
      <c r="AW189" s="41">
        <v>217.04</v>
      </c>
      <c r="AX189" s="41">
        <v>221.8</v>
      </c>
      <c r="AY189" s="41">
        <v>226.55</v>
      </c>
      <c r="AZ189" s="41">
        <v>231.31</v>
      </c>
      <c r="BA189" s="41">
        <v>236.03</v>
      </c>
      <c r="BB189" s="41">
        <v>240.81</v>
      </c>
      <c r="BC189" s="41">
        <v>245.57</v>
      </c>
      <c r="BD189" s="41">
        <v>250.32</v>
      </c>
      <c r="BE189" s="42">
        <v>255.08</v>
      </c>
      <c r="BF189" s="62">
        <v>259.83</v>
      </c>
      <c r="BG189" s="62">
        <v>264.58999999999997</v>
      </c>
      <c r="BH189" s="68">
        <v>269.33999999999997</v>
      </c>
      <c r="BI189" s="42">
        <v>274.10000000000002</v>
      </c>
      <c r="BJ189" s="34">
        <v>278.85000000000002</v>
      </c>
      <c r="BK189" s="43">
        <v>283.60000000000002</v>
      </c>
      <c r="BL189" s="5">
        <v>288.36</v>
      </c>
      <c r="BM189" s="5">
        <v>293.11</v>
      </c>
      <c r="BN189" s="5">
        <v>297.87</v>
      </c>
      <c r="BO189" s="5">
        <v>302.62</v>
      </c>
      <c r="BP189" s="5">
        <v>307.38</v>
      </c>
      <c r="BQ189" s="5">
        <v>312.13</v>
      </c>
      <c r="BR189" s="144">
        <v>316.89</v>
      </c>
      <c r="BS189" s="144">
        <v>321.64</v>
      </c>
      <c r="BT189" s="144">
        <v>326.39999999999998</v>
      </c>
      <c r="BU189" s="144">
        <v>331.15</v>
      </c>
      <c r="BV189" s="144">
        <v>335.9</v>
      </c>
      <c r="BW189" s="5">
        <v>193.87</v>
      </c>
      <c r="BX189" s="5">
        <v>189.12</v>
      </c>
      <c r="BY189" s="5">
        <v>184.36</v>
      </c>
      <c r="BZ189" s="5">
        <v>179.61</v>
      </c>
    </row>
    <row r="190" spans="1:78" x14ac:dyDescent="0.45">
      <c r="A190" s="119" t="s">
        <v>647</v>
      </c>
      <c r="B190" s="41">
        <v>397.68</v>
      </c>
      <c r="C190" s="81">
        <v>556.76</v>
      </c>
      <c r="D190" s="41">
        <v>404.45</v>
      </c>
      <c r="E190" s="81">
        <v>566.24</v>
      </c>
      <c r="F190" s="41">
        <v>411.22</v>
      </c>
      <c r="G190" s="88">
        <v>575.71</v>
      </c>
      <c r="H190" s="42">
        <v>418</v>
      </c>
      <c r="I190" s="94">
        <v>585.19000000000005</v>
      </c>
      <c r="J190" s="62">
        <v>424.77</v>
      </c>
      <c r="K190" s="100">
        <v>594.66999999999996</v>
      </c>
      <c r="L190" s="62">
        <v>431.54</v>
      </c>
      <c r="M190" s="100">
        <v>604.15</v>
      </c>
      <c r="N190" s="68">
        <v>438.31</v>
      </c>
      <c r="O190" s="106">
        <v>613.63</v>
      </c>
      <c r="P190" s="42">
        <v>445.08</v>
      </c>
      <c r="Q190" s="94">
        <v>623.11</v>
      </c>
      <c r="R190" s="42">
        <v>451.85</v>
      </c>
      <c r="S190" s="112">
        <v>632.59</v>
      </c>
      <c r="T190" s="43">
        <v>458.62</v>
      </c>
      <c r="U190" s="45">
        <v>642.05999999999995</v>
      </c>
      <c r="V190" s="5">
        <v>465.39</v>
      </c>
      <c r="W190" s="45">
        <v>651.54</v>
      </c>
      <c r="X190" s="5">
        <v>472.16</v>
      </c>
      <c r="Y190" s="126">
        <v>661.02</v>
      </c>
      <c r="Z190" s="5">
        <v>478.93</v>
      </c>
      <c r="AA190" s="126">
        <v>670.5</v>
      </c>
      <c r="AB190" s="5">
        <v>485.7</v>
      </c>
      <c r="AC190" s="134">
        <v>679.98</v>
      </c>
      <c r="AD190" s="5">
        <v>492.47</v>
      </c>
      <c r="AE190" s="134">
        <v>689.46</v>
      </c>
      <c r="AF190" s="5">
        <v>499.24</v>
      </c>
      <c r="AG190" s="134">
        <v>698.94</v>
      </c>
      <c r="AH190" s="144">
        <v>506.01</v>
      </c>
      <c r="AI190" s="134">
        <v>708.41</v>
      </c>
      <c r="AJ190" s="144">
        <v>512.78</v>
      </c>
      <c r="AK190" s="134">
        <v>717.89</v>
      </c>
      <c r="AL190" s="144">
        <v>519.54999999999995</v>
      </c>
      <c r="AM190" s="134">
        <v>727.37</v>
      </c>
      <c r="AN190" s="144">
        <v>526.32000000000005</v>
      </c>
      <c r="AO190" s="144">
        <v>736.85</v>
      </c>
      <c r="AP190" s="5">
        <v>533.09</v>
      </c>
      <c r="AQ190" s="121">
        <v>746.33</v>
      </c>
      <c r="AR190" s="5">
        <v>303.44</v>
      </c>
      <c r="AS190" s="5">
        <v>296.67</v>
      </c>
      <c r="AT190" s="5">
        <v>289.89999999999998</v>
      </c>
      <c r="AU190" s="5">
        <v>283.13</v>
      </c>
      <c r="AV190" s="37">
        <v>186</v>
      </c>
      <c r="AW190" s="41">
        <v>218.25</v>
      </c>
      <c r="AX190" s="41">
        <v>223.03</v>
      </c>
      <c r="AY190" s="41">
        <v>227.81</v>
      </c>
      <c r="AZ190" s="41">
        <v>232.59</v>
      </c>
      <c r="BA190" s="41">
        <v>237.37</v>
      </c>
      <c r="BB190" s="41">
        <v>242.15</v>
      </c>
      <c r="BC190" s="41">
        <v>246.93</v>
      </c>
      <c r="BD190" s="41">
        <v>251.71</v>
      </c>
      <c r="BE190" s="42">
        <v>256.49</v>
      </c>
      <c r="BF190" s="62">
        <v>261.27</v>
      </c>
      <c r="BG190" s="62">
        <v>266.05</v>
      </c>
      <c r="BH190" s="68">
        <v>270.83</v>
      </c>
      <c r="BI190" s="42">
        <v>275.61</v>
      </c>
      <c r="BJ190" s="34">
        <v>280.39</v>
      </c>
      <c r="BK190" s="43">
        <v>285.17</v>
      </c>
      <c r="BL190" s="5">
        <v>289.95</v>
      </c>
      <c r="BM190" s="5">
        <v>294.73</v>
      </c>
      <c r="BN190" s="5">
        <v>299.51</v>
      </c>
      <c r="BO190" s="5">
        <v>304.29000000000002</v>
      </c>
      <c r="BP190" s="5">
        <v>309.07</v>
      </c>
      <c r="BQ190" s="5">
        <v>313.85000000000002</v>
      </c>
      <c r="BR190" s="144">
        <v>318.63</v>
      </c>
      <c r="BS190" s="144">
        <v>323.41000000000003</v>
      </c>
      <c r="BT190" s="144">
        <v>328.19</v>
      </c>
      <c r="BU190" s="144">
        <v>332.97</v>
      </c>
      <c r="BV190" s="144">
        <v>337.75</v>
      </c>
      <c r="BW190" s="5">
        <v>194.94</v>
      </c>
      <c r="BX190" s="5">
        <v>190.16</v>
      </c>
      <c r="BY190" s="5">
        <v>185.38</v>
      </c>
      <c r="BZ190" s="5">
        <v>180.6</v>
      </c>
    </row>
    <row r="191" spans="1:78" x14ac:dyDescent="0.45">
      <c r="A191" s="119" t="s">
        <v>648</v>
      </c>
      <c r="B191" s="41">
        <v>399.95</v>
      </c>
      <c r="C191" s="81">
        <v>559.92999999999995</v>
      </c>
      <c r="D191" s="41">
        <v>406.76</v>
      </c>
      <c r="E191" s="81">
        <v>569.46</v>
      </c>
      <c r="F191" s="41">
        <v>413.57</v>
      </c>
      <c r="G191" s="88">
        <v>578.99</v>
      </c>
      <c r="H191" s="42">
        <v>420.37</v>
      </c>
      <c r="I191" s="94">
        <v>588.52</v>
      </c>
      <c r="J191" s="62">
        <v>427.18</v>
      </c>
      <c r="K191" s="100">
        <v>598.04999999999995</v>
      </c>
      <c r="L191" s="62">
        <v>433.99</v>
      </c>
      <c r="M191" s="100">
        <v>607.58000000000004</v>
      </c>
      <c r="N191" s="68">
        <v>440.79</v>
      </c>
      <c r="O191" s="106">
        <v>617.11</v>
      </c>
      <c r="P191" s="42">
        <v>447.6</v>
      </c>
      <c r="Q191" s="94">
        <v>626.64</v>
      </c>
      <c r="R191" s="42">
        <v>454.41</v>
      </c>
      <c r="S191" s="112">
        <v>636.16999999999996</v>
      </c>
      <c r="T191" s="43">
        <v>461.21</v>
      </c>
      <c r="U191" s="45">
        <v>645.70000000000005</v>
      </c>
      <c r="V191" s="5">
        <v>468.02</v>
      </c>
      <c r="W191" s="45">
        <v>655.23</v>
      </c>
      <c r="X191" s="5">
        <v>474.83</v>
      </c>
      <c r="Y191" s="126">
        <v>664.76</v>
      </c>
      <c r="Z191" s="5">
        <v>481.63</v>
      </c>
      <c r="AA191" s="126">
        <v>674.28</v>
      </c>
      <c r="AB191" s="5">
        <v>488.44</v>
      </c>
      <c r="AC191" s="134">
        <v>683.82</v>
      </c>
      <c r="AD191" s="5">
        <v>495.25</v>
      </c>
      <c r="AE191" s="134">
        <v>693.35</v>
      </c>
      <c r="AF191" s="5">
        <v>502.05</v>
      </c>
      <c r="AG191" s="134">
        <v>702.88</v>
      </c>
      <c r="AH191" s="144">
        <v>508.86</v>
      </c>
      <c r="AI191" s="134">
        <v>712.41</v>
      </c>
      <c r="AJ191" s="144">
        <v>515.66999999999996</v>
      </c>
      <c r="AK191" s="134">
        <v>721.94</v>
      </c>
      <c r="AL191" s="144">
        <v>522.48</v>
      </c>
      <c r="AM191" s="134">
        <v>731.47</v>
      </c>
      <c r="AN191" s="144">
        <v>529.28</v>
      </c>
      <c r="AO191" s="144">
        <v>740.99</v>
      </c>
      <c r="AP191" s="5">
        <v>536.09</v>
      </c>
      <c r="AQ191" s="121">
        <v>750.52</v>
      </c>
      <c r="AR191" s="5">
        <v>305.14999999999998</v>
      </c>
      <c r="AS191" s="5">
        <v>298.33999999999997</v>
      </c>
      <c r="AT191" s="5">
        <v>291.54000000000002</v>
      </c>
      <c r="AU191" s="5">
        <v>284.73</v>
      </c>
      <c r="AV191" s="37">
        <v>187</v>
      </c>
      <c r="AW191" s="41">
        <v>219.46</v>
      </c>
      <c r="AX191" s="41">
        <v>224.26</v>
      </c>
      <c r="AY191" s="41">
        <v>229.07</v>
      </c>
      <c r="AZ191" s="41">
        <v>233.88</v>
      </c>
      <c r="BA191" s="41">
        <v>238.68</v>
      </c>
      <c r="BB191" s="41">
        <v>243.49</v>
      </c>
      <c r="BC191" s="41">
        <v>248.29</v>
      </c>
      <c r="BD191" s="41">
        <v>253.1</v>
      </c>
      <c r="BE191" s="42">
        <v>257.91000000000003</v>
      </c>
      <c r="BF191" s="62">
        <v>262.70999999999998</v>
      </c>
      <c r="BG191" s="62">
        <v>267.52</v>
      </c>
      <c r="BH191" s="68">
        <v>272.32</v>
      </c>
      <c r="BI191" s="42">
        <v>277.13</v>
      </c>
      <c r="BJ191" s="34">
        <v>281.94</v>
      </c>
      <c r="BK191" s="43">
        <v>286.74</v>
      </c>
      <c r="BL191" s="5">
        <v>291.55</v>
      </c>
      <c r="BM191" s="5">
        <v>296.35000000000002</v>
      </c>
      <c r="BN191" s="5">
        <v>301.16000000000003</v>
      </c>
      <c r="BO191" s="5">
        <v>305.95999999999998</v>
      </c>
      <c r="BP191" s="5">
        <v>310.77</v>
      </c>
      <c r="BQ191" s="5">
        <v>315.58</v>
      </c>
      <c r="BR191" s="144">
        <v>320.38</v>
      </c>
      <c r="BS191" s="144">
        <v>325.19</v>
      </c>
      <c r="BT191" s="144">
        <v>329.99</v>
      </c>
      <c r="BU191" s="144">
        <v>334.8</v>
      </c>
      <c r="BV191" s="144">
        <v>339.61</v>
      </c>
      <c r="BW191" s="5">
        <v>196.01</v>
      </c>
      <c r="BX191" s="5">
        <v>191.21</v>
      </c>
      <c r="BY191" s="5">
        <v>186.4</v>
      </c>
      <c r="BZ191" s="5">
        <v>181.59</v>
      </c>
    </row>
    <row r="192" spans="1:78" x14ac:dyDescent="0.45">
      <c r="A192" s="119" t="s">
        <v>649</v>
      </c>
      <c r="B192" s="41">
        <v>401.64</v>
      </c>
      <c r="C192" s="81">
        <v>562.29999999999995</v>
      </c>
      <c r="D192" s="41">
        <v>408.49</v>
      </c>
      <c r="E192" s="81">
        <v>571.88</v>
      </c>
      <c r="F192" s="41">
        <v>415.33</v>
      </c>
      <c r="G192" s="88">
        <v>581.46</v>
      </c>
      <c r="H192" s="42">
        <v>422.17</v>
      </c>
      <c r="I192" s="94">
        <v>591.04</v>
      </c>
      <c r="J192" s="62">
        <v>429.01</v>
      </c>
      <c r="K192" s="100">
        <v>600.62</v>
      </c>
      <c r="L192" s="62">
        <v>435.86</v>
      </c>
      <c r="M192" s="100">
        <v>610.20000000000005</v>
      </c>
      <c r="N192" s="68">
        <v>442.7</v>
      </c>
      <c r="O192" s="106">
        <v>619.78</v>
      </c>
      <c r="P192" s="42">
        <v>449.54</v>
      </c>
      <c r="Q192" s="94">
        <v>629.36</v>
      </c>
      <c r="R192" s="42">
        <v>456.39</v>
      </c>
      <c r="S192" s="112">
        <v>638.94000000000005</v>
      </c>
      <c r="T192" s="43">
        <v>463.23</v>
      </c>
      <c r="U192" s="45">
        <v>648.52</v>
      </c>
      <c r="V192" s="5">
        <v>470.07</v>
      </c>
      <c r="W192" s="45">
        <v>658.1</v>
      </c>
      <c r="X192" s="5">
        <v>476.92</v>
      </c>
      <c r="Y192" s="126">
        <v>667.69</v>
      </c>
      <c r="Z192" s="5">
        <v>483.76</v>
      </c>
      <c r="AA192" s="126">
        <v>677.26</v>
      </c>
      <c r="AB192" s="5">
        <v>490.6</v>
      </c>
      <c r="AC192" s="134">
        <v>686.85</v>
      </c>
      <c r="AD192" s="5">
        <v>497.45</v>
      </c>
      <c r="AE192" s="134">
        <v>696.43</v>
      </c>
      <c r="AF192" s="5">
        <v>504.29</v>
      </c>
      <c r="AG192" s="134">
        <v>706.01</v>
      </c>
      <c r="AH192" s="144">
        <v>511.13</v>
      </c>
      <c r="AI192" s="134">
        <v>715.59</v>
      </c>
      <c r="AJ192" s="144">
        <v>517.98</v>
      </c>
      <c r="AK192" s="134">
        <v>725.17</v>
      </c>
      <c r="AL192" s="144">
        <v>524.82000000000005</v>
      </c>
      <c r="AM192" s="134">
        <v>734.75</v>
      </c>
      <c r="AN192" s="144">
        <v>531.66</v>
      </c>
      <c r="AO192" s="144">
        <v>744.33</v>
      </c>
      <c r="AP192" s="5">
        <v>538.51</v>
      </c>
      <c r="AQ192" s="121">
        <v>753.91</v>
      </c>
      <c r="AR192" s="5">
        <v>306.52</v>
      </c>
      <c r="AS192" s="5">
        <v>299.68</v>
      </c>
      <c r="AT192" s="5">
        <v>292.83</v>
      </c>
      <c r="AU192" s="5">
        <v>285.99</v>
      </c>
      <c r="AV192" s="37">
        <v>188</v>
      </c>
      <c r="AW192" s="41">
        <v>220.52</v>
      </c>
      <c r="AX192" s="41">
        <v>225.35</v>
      </c>
      <c r="AY192" s="41">
        <v>230.18</v>
      </c>
      <c r="AZ192" s="41">
        <v>235.01</v>
      </c>
      <c r="BA192" s="41">
        <v>239.84</v>
      </c>
      <c r="BB192" s="41">
        <v>244.67</v>
      </c>
      <c r="BC192" s="41">
        <v>249.5</v>
      </c>
      <c r="BD192" s="41">
        <v>254.34</v>
      </c>
      <c r="BE192" s="42">
        <v>259.17</v>
      </c>
      <c r="BF192" s="62">
        <v>264</v>
      </c>
      <c r="BG192" s="62">
        <v>268.83</v>
      </c>
      <c r="BH192" s="68">
        <v>273.66000000000003</v>
      </c>
      <c r="BI192" s="42">
        <v>278.49</v>
      </c>
      <c r="BJ192" s="34">
        <v>283.33</v>
      </c>
      <c r="BK192" s="43">
        <v>288.16000000000003</v>
      </c>
      <c r="BL192" s="5">
        <v>292.99</v>
      </c>
      <c r="BM192" s="5">
        <v>297.82</v>
      </c>
      <c r="BN192" s="5">
        <v>302.64999999999998</v>
      </c>
      <c r="BO192" s="5">
        <v>307.48</v>
      </c>
      <c r="BP192" s="5">
        <v>312.32</v>
      </c>
      <c r="BQ192" s="5">
        <v>317.14999999999998</v>
      </c>
      <c r="BR192" s="144">
        <v>321.98</v>
      </c>
      <c r="BS192" s="144">
        <v>326.81</v>
      </c>
      <c r="BT192" s="144">
        <v>331.64</v>
      </c>
      <c r="BU192" s="144">
        <v>336.47</v>
      </c>
      <c r="BV192" s="144">
        <v>341.31</v>
      </c>
      <c r="BW192" s="5">
        <v>196.99</v>
      </c>
      <c r="BX192" s="5">
        <v>192.16</v>
      </c>
      <c r="BY192" s="5">
        <v>187.32</v>
      </c>
      <c r="BZ192" s="5">
        <v>182.49</v>
      </c>
    </row>
    <row r="193" spans="1:78" x14ac:dyDescent="0.45">
      <c r="A193" s="119" t="s">
        <v>650</v>
      </c>
      <c r="B193" s="41">
        <v>403.92</v>
      </c>
      <c r="C193" s="81">
        <v>565.69000000000005</v>
      </c>
      <c r="D193" s="41">
        <v>410.8</v>
      </c>
      <c r="E193" s="81">
        <v>575.12</v>
      </c>
      <c r="F193" s="41">
        <v>417.68</v>
      </c>
      <c r="G193" s="88">
        <v>584.75</v>
      </c>
      <c r="H193" s="42">
        <v>424.56</v>
      </c>
      <c r="I193" s="94">
        <v>594.38</v>
      </c>
      <c r="J193" s="62">
        <v>431.44</v>
      </c>
      <c r="K193" s="100">
        <v>604.01</v>
      </c>
      <c r="L193" s="62">
        <v>438.32</v>
      </c>
      <c r="M193" s="100">
        <v>613.64</v>
      </c>
      <c r="N193" s="68">
        <v>445.2</v>
      </c>
      <c r="O193" s="106">
        <v>623.28</v>
      </c>
      <c r="P193" s="42">
        <v>452.08</v>
      </c>
      <c r="Q193" s="94">
        <v>632.91</v>
      </c>
      <c r="R193" s="42">
        <v>458.96</v>
      </c>
      <c r="S193" s="112">
        <v>642.54</v>
      </c>
      <c r="T193" s="43">
        <v>465.84</v>
      </c>
      <c r="U193" s="45">
        <v>652.16999999999996</v>
      </c>
      <c r="V193" s="5">
        <v>472.72</v>
      </c>
      <c r="W193" s="45">
        <v>661.8</v>
      </c>
      <c r="X193" s="5">
        <v>479.59</v>
      </c>
      <c r="Y193" s="126">
        <v>671.43</v>
      </c>
      <c r="Z193" s="5">
        <v>486.47</v>
      </c>
      <c r="AA193" s="126">
        <v>681.06</v>
      </c>
      <c r="AB193" s="5">
        <v>493.35</v>
      </c>
      <c r="AC193" s="134">
        <v>690.7</v>
      </c>
      <c r="AD193" s="5">
        <v>500.23</v>
      </c>
      <c r="AE193" s="134">
        <v>700.33</v>
      </c>
      <c r="AF193" s="5">
        <v>507.11</v>
      </c>
      <c r="AG193" s="134">
        <v>709.96</v>
      </c>
      <c r="AH193" s="144">
        <v>513.99</v>
      </c>
      <c r="AI193" s="134">
        <v>719.59</v>
      </c>
      <c r="AJ193" s="144">
        <v>520.87</v>
      </c>
      <c r="AK193" s="134">
        <v>729.22</v>
      </c>
      <c r="AL193" s="144">
        <v>527.75</v>
      </c>
      <c r="AM193" s="134">
        <v>738.85</v>
      </c>
      <c r="AN193" s="144">
        <v>534.63</v>
      </c>
      <c r="AO193" s="144">
        <v>748.48</v>
      </c>
      <c r="AP193" s="5">
        <v>541.51</v>
      </c>
      <c r="AQ193" s="121">
        <v>758.12</v>
      </c>
      <c r="AR193" s="5">
        <v>308.23</v>
      </c>
      <c r="AS193" s="5">
        <v>301.35000000000002</v>
      </c>
      <c r="AT193" s="5">
        <v>294.47000000000003</v>
      </c>
      <c r="AU193" s="5">
        <v>287.58999999999997</v>
      </c>
      <c r="AV193" s="37">
        <v>189</v>
      </c>
      <c r="AW193" s="41">
        <v>221.73</v>
      </c>
      <c r="AX193" s="41">
        <v>226.58</v>
      </c>
      <c r="AY193" s="41">
        <v>231.44</v>
      </c>
      <c r="AZ193" s="41">
        <v>236.3</v>
      </c>
      <c r="BA193" s="41">
        <v>241.16</v>
      </c>
      <c r="BB193" s="41">
        <v>246.01</v>
      </c>
      <c r="BC193" s="41">
        <v>250.87</v>
      </c>
      <c r="BD193" s="41">
        <v>255.73</v>
      </c>
      <c r="BE193" s="42">
        <v>260.58999999999997</v>
      </c>
      <c r="BF193" s="62">
        <v>265.44</v>
      </c>
      <c r="BG193" s="62">
        <v>270.3</v>
      </c>
      <c r="BH193" s="68">
        <v>275.16000000000003</v>
      </c>
      <c r="BI193" s="42">
        <v>280.01</v>
      </c>
      <c r="BJ193" s="34">
        <v>284.87</v>
      </c>
      <c r="BK193" s="43">
        <v>289.73</v>
      </c>
      <c r="BL193" s="5">
        <v>294.58999999999997</v>
      </c>
      <c r="BM193" s="5">
        <v>299.44</v>
      </c>
      <c r="BN193" s="5">
        <v>304.3</v>
      </c>
      <c r="BO193" s="5">
        <v>309.16000000000003</v>
      </c>
      <c r="BP193" s="5">
        <v>314.02</v>
      </c>
      <c r="BQ193" s="5">
        <v>318.87</v>
      </c>
      <c r="BR193" s="144">
        <v>323.73</v>
      </c>
      <c r="BS193" s="144">
        <v>328.59</v>
      </c>
      <c r="BT193" s="144">
        <v>333.44</v>
      </c>
      <c r="BU193" s="144">
        <v>338.3</v>
      </c>
      <c r="BV193" s="144">
        <v>343.16</v>
      </c>
      <c r="BW193" s="5">
        <v>198.06</v>
      </c>
      <c r="BX193" s="5">
        <v>193.2</v>
      </c>
      <c r="BY193" s="5">
        <v>188.34</v>
      </c>
      <c r="BZ193" s="5">
        <v>183.49</v>
      </c>
    </row>
    <row r="194" spans="1:78" x14ac:dyDescent="0.45">
      <c r="A194" s="119" t="s">
        <v>651</v>
      </c>
      <c r="B194" s="41">
        <v>406.2</v>
      </c>
      <c r="C194" s="81">
        <v>568.69000000000005</v>
      </c>
      <c r="D194" s="41">
        <v>413.12</v>
      </c>
      <c r="E194" s="81">
        <v>578.37</v>
      </c>
      <c r="F194" s="41">
        <v>420.04</v>
      </c>
      <c r="G194" s="88">
        <v>588.04999999999995</v>
      </c>
      <c r="H194" s="42">
        <v>426.95</v>
      </c>
      <c r="I194" s="94">
        <v>597.73</v>
      </c>
      <c r="J194" s="62">
        <v>433.87</v>
      </c>
      <c r="K194" s="100">
        <v>607.41999999999996</v>
      </c>
      <c r="L194" s="62">
        <v>440.78</v>
      </c>
      <c r="M194" s="100">
        <v>617.1</v>
      </c>
      <c r="N194" s="68">
        <v>447.7</v>
      </c>
      <c r="O194" s="106">
        <v>626.78</v>
      </c>
      <c r="P194" s="42">
        <v>454.62</v>
      </c>
      <c r="Q194" s="94">
        <v>636.46</v>
      </c>
      <c r="R194" s="42">
        <v>461.53</v>
      </c>
      <c r="S194" s="112">
        <v>646.15</v>
      </c>
      <c r="T194" s="43">
        <v>468.45</v>
      </c>
      <c r="U194" s="45">
        <v>655.83</v>
      </c>
      <c r="V194" s="5">
        <v>475.36</v>
      </c>
      <c r="W194" s="45">
        <v>665.51</v>
      </c>
      <c r="X194" s="5">
        <v>482.28</v>
      </c>
      <c r="Y194" s="126">
        <v>675.19</v>
      </c>
      <c r="Z194" s="5">
        <v>489.2</v>
      </c>
      <c r="AA194" s="126">
        <v>684.88</v>
      </c>
      <c r="AB194" s="5">
        <v>496.11</v>
      </c>
      <c r="AC194" s="134">
        <v>694.56</v>
      </c>
      <c r="AD194" s="5">
        <v>503.03</v>
      </c>
      <c r="AE194" s="134">
        <v>704.24</v>
      </c>
      <c r="AF194" s="5">
        <v>509.94</v>
      </c>
      <c r="AG194" s="134">
        <v>713.92</v>
      </c>
      <c r="AH194" s="144">
        <v>516.86</v>
      </c>
      <c r="AI194" s="134">
        <v>723.6</v>
      </c>
      <c r="AJ194" s="144">
        <v>523.78</v>
      </c>
      <c r="AK194" s="134">
        <v>733.29</v>
      </c>
      <c r="AL194" s="144">
        <v>530.69000000000005</v>
      </c>
      <c r="AM194" s="134">
        <v>742.97</v>
      </c>
      <c r="AN194" s="144">
        <v>537.61</v>
      </c>
      <c r="AO194" s="144">
        <v>752.65</v>
      </c>
      <c r="AP194" s="5">
        <v>544.52</v>
      </c>
      <c r="AQ194" s="121">
        <v>762.33</v>
      </c>
      <c r="AR194" s="5">
        <v>309.95</v>
      </c>
      <c r="AS194" s="5">
        <v>303.02999999999997</v>
      </c>
      <c r="AT194" s="5">
        <v>296.12</v>
      </c>
      <c r="AU194" s="5">
        <v>289.2</v>
      </c>
      <c r="AV194" s="37">
        <v>190</v>
      </c>
      <c r="AW194" s="41">
        <v>222.94</v>
      </c>
      <c r="AX194" s="41">
        <v>227.82</v>
      </c>
      <c r="AY194" s="41">
        <v>232.71</v>
      </c>
      <c r="AZ194" s="41">
        <v>237.59</v>
      </c>
      <c r="BA194" s="41">
        <v>242.47</v>
      </c>
      <c r="BB194" s="41">
        <v>247.36</v>
      </c>
      <c r="BC194" s="41">
        <v>252.24</v>
      </c>
      <c r="BD194" s="41">
        <v>257.12</v>
      </c>
      <c r="BE194" s="42">
        <v>262</v>
      </c>
      <c r="BF194" s="62">
        <v>266.89</v>
      </c>
      <c r="BG194" s="62">
        <v>271.77</v>
      </c>
      <c r="BH194" s="68">
        <v>276.64999999999998</v>
      </c>
      <c r="BI194" s="42">
        <v>281.54000000000002</v>
      </c>
      <c r="BJ194" s="34">
        <v>286.42</v>
      </c>
      <c r="BK194" s="43">
        <v>291.3</v>
      </c>
      <c r="BL194" s="5">
        <v>296.19</v>
      </c>
      <c r="BM194" s="5">
        <v>301.07</v>
      </c>
      <c r="BN194" s="5">
        <v>305.95</v>
      </c>
      <c r="BO194" s="5">
        <v>310.83</v>
      </c>
      <c r="BP194" s="5">
        <v>315.72000000000003</v>
      </c>
      <c r="BQ194" s="5">
        <v>320.60000000000002</v>
      </c>
      <c r="BR194" s="144">
        <v>325.48</v>
      </c>
      <c r="BS194" s="144">
        <v>330.37</v>
      </c>
      <c r="BT194" s="144">
        <v>335.25</v>
      </c>
      <c r="BU194" s="144">
        <v>340.13</v>
      </c>
      <c r="BV194" s="144">
        <v>345.02</v>
      </c>
      <c r="BW194" s="5">
        <v>199.13</v>
      </c>
      <c r="BX194" s="5">
        <v>194.25</v>
      </c>
      <c r="BY194" s="5">
        <v>189.37</v>
      </c>
      <c r="BZ194" s="5">
        <v>184.48</v>
      </c>
    </row>
    <row r="195" spans="1:78" x14ac:dyDescent="0.45">
      <c r="A195" s="119" t="s">
        <v>652</v>
      </c>
      <c r="B195" s="41">
        <v>408.5</v>
      </c>
      <c r="C195" s="81">
        <v>571.9</v>
      </c>
      <c r="D195" s="41">
        <v>415.45</v>
      </c>
      <c r="E195" s="81">
        <v>581.63</v>
      </c>
      <c r="F195" s="41">
        <v>422.4</v>
      </c>
      <c r="G195" s="88">
        <v>591.36</v>
      </c>
      <c r="H195" s="42">
        <v>429.36</v>
      </c>
      <c r="I195" s="94">
        <v>601.1</v>
      </c>
      <c r="J195" s="62">
        <v>436.31</v>
      </c>
      <c r="K195" s="100">
        <v>610.83000000000004</v>
      </c>
      <c r="L195" s="62">
        <v>443.26</v>
      </c>
      <c r="M195" s="100">
        <v>620.55999999999995</v>
      </c>
      <c r="N195" s="68">
        <v>450.21</v>
      </c>
      <c r="O195" s="106">
        <v>630.29999999999995</v>
      </c>
      <c r="P195" s="42">
        <v>457.17</v>
      </c>
      <c r="Q195" s="94">
        <v>640.03</v>
      </c>
      <c r="R195" s="42">
        <v>464.12</v>
      </c>
      <c r="S195" s="112">
        <v>649.76</v>
      </c>
      <c r="T195" s="43">
        <v>471.07</v>
      </c>
      <c r="U195" s="45">
        <v>659.5</v>
      </c>
      <c r="V195" s="5">
        <v>478.02</v>
      </c>
      <c r="W195" s="45">
        <v>669.23</v>
      </c>
      <c r="X195" s="5">
        <v>484.97</v>
      </c>
      <c r="Y195" s="126">
        <v>678.96</v>
      </c>
      <c r="Z195" s="5">
        <v>491.93</v>
      </c>
      <c r="AA195" s="126">
        <v>688.7</v>
      </c>
      <c r="AB195" s="5">
        <v>498.88</v>
      </c>
      <c r="AC195" s="134">
        <v>698.43</v>
      </c>
      <c r="AD195" s="5">
        <v>505.83</v>
      </c>
      <c r="AE195" s="134">
        <v>708.16</v>
      </c>
      <c r="AF195" s="5">
        <v>512.78</v>
      </c>
      <c r="AG195" s="134">
        <v>717.9</v>
      </c>
      <c r="AH195" s="144">
        <v>519.75</v>
      </c>
      <c r="AI195" s="134">
        <v>727.63</v>
      </c>
      <c r="AJ195" s="144">
        <v>526.69000000000005</v>
      </c>
      <c r="AK195" s="134">
        <v>737.37</v>
      </c>
      <c r="AL195" s="144">
        <v>533.64</v>
      </c>
      <c r="AM195" s="134">
        <v>747.1</v>
      </c>
      <c r="AN195" s="144">
        <v>540.59</v>
      </c>
      <c r="AO195" s="144">
        <v>756.83</v>
      </c>
      <c r="AP195" s="5">
        <v>547.54999999999995</v>
      </c>
      <c r="AQ195" s="121">
        <v>766.57</v>
      </c>
      <c r="AR195" s="5">
        <v>311.67</v>
      </c>
      <c r="AS195" s="5">
        <v>304.72000000000003</v>
      </c>
      <c r="AT195" s="5">
        <v>297.77</v>
      </c>
      <c r="AU195" s="5">
        <v>290.81</v>
      </c>
      <c r="AV195" s="37">
        <v>191</v>
      </c>
      <c r="AW195" s="41">
        <v>224.26</v>
      </c>
      <c r="AX195" s="41">
        <v>229.07</v>
      </c>
      <c r="AY195" s="41">
        <v>233.97</v>
      </c>
      <c r="AZ195" s="41">
        <v>238.88</v>
      </c>
      <c r="BA195" s="41">
        <v>243.79</v>
      </c>
      <c r="BB195" s="41">
        <v>248.7</v>
      </c>
      <c r="BC195" s="41">
        <v>253.61</v>
      </c>
      <c r="BD195" s="41">
        <v>258.52</v>
      </c>
      <c r="BE195" s="42">
        <v>263.43</v>
      </c>
      <c r="BF195" s="62">
        <v>268.33999999999997</v>
      </c>
      <c r="BG195" s="62">
        <v>273.24</v>
      </c>
      <c r="BH195" s="68">
        <v>278.14999999999998</v>
      </c>
      <c r="BI195" s="42">
        <v>283.06</v>
      </c>
      <c r="BJ195" s="34">
        <v>287.97000000000003</v>
      </c>
      <c r="BK195" s="43">
        <v>292.88</v>
      </c>
      <c r="BL195" s="5">
        <v>297.79000000000002</v>
      </c>
      <c r="BM195" s="5">
        <v>302.7</v>
      </c>
      <c r="BN195" s="5">
        <v>307.61</v>
      </c>
      <c r="BO195" s="5">
        <v>312.51</v>
      </c>
      <c r="BP195" s="5">
        <v>317.42</v>
      </c>
      <c r="BQ195" s="5">
        <v>322.33</v>
      </c>
      <c r="BR195" s="144">
        <v>327.24</v>
      </c>
      <c r="BS195" s="144">
        <v>332.15</v>
      </c>
      <c r="BT195" s="144">
        <v>337.06</v>
      </c>
      <c r="BU195" s="144">
        <v>341.97</v>
      </c>
      <c r="BV195" s="144">
        <v>346.87</v>
      </c>
      <c r="BW195" s="5">
        <v>200.21</v>
      </c>
      <c r="BX195" s="5">
        <v>195.3</v>
      </c>
      <c r="BY195" s="5">
        <v>190.39</v>
      </c>
      <c r="BZ195" s="5">
        <v>185.48</v>
      </c>
    </row>
    <row r="196" spans="1:78" x14ac:dyDescent="0.45">
      <c r="A196" s="119" t="s">
        <v>653</v>
      </c>
      <c r="B196" s="41">
        <v>410.19</v>
      </c>
      <c r="C196" s="81">
        <v>574.26</v>
      </c>
      <c r="D196" s="41">
        <v>417.18</v>
      </c>
      <c r="E196" s="81">
        <v>584.04999999999995</v>
      </c>
      <c r="F196" s="41">
        <v>424.17</v>
      </c>
      <c r="G196" s="88">
        <v>593.83000000000004</v>
      </c>
      <c r="H196" s="42">
        <v>431.15</v>
      </c>
      <c r="I196" s="94">
        <v>603.99</v>
      </c>
      <c r="J196" s="62">
        <v>438.14</v>
      </c>
      <c r="K196" s="100">
        <v>613.4</v>
      </c>
      <c r="L196" s="62">
        <v>445.13</v>
      </c>
      <c r="M196" s="100">
        <v>623.17999999999995</v>
      </c>
      <c r="N196" s="68">
        <v>452.12</v>
      </c>
      <c r="O196" s="106">
        <v>632.97</v>
      </c>
      <c r="P196" s="42">
        <v>459.11</v>
      </c>
      <c r="Q196" s="94">
        <v>642.75</v>
      </c>
      <c r="R196" s="42">
        <v>466.1</v>
      </c>
      <c r="S196" s="112">
        <v>652.54</v>
      </c>
      <c r="T196" s="43">
        <v>473.09</v>
      </c>
      <c r="U196" s="45">
        <v>662.32</v>
      </c>
      <c r="V196" s="5">
        <v>480.08</v>
      </c>
      <c r="W196" s="45">
        <v>672.11</v>
      </c>
      <c r="X196" s="5">
        <v>487.06</v>
      </c>
      <c r="Y196" s="126">
        <v>681.88</v>
      </c>
      <c r="Z196" s="5">
        <v>494.05</v>
      </c>
      <c r="AA196" s="126">
        <v>691.67</v>
      </c>
      <c r="AB196" s="5">
        <v>501.04</v>
      </c>
      <c r="AC196" s="134">
        <v>701.46</v>
      </c>
      <c r="AD196" s="5">
        <v>508.03</v>
      </c>
      <c r="AE196" s="134">
        <v>711.24</v>
      </c>
      <c r="AF196" s="5">
        <v>515.02</v>
      </c>
      <c r="AG196" s="134">
        <v>721.03</v>
      </c>
      <c r="AH196" s="144">
        <v>522.01</v>
      </c>
      <c r="AI196" s="134">
        <v>730.81</v>
      </c>
      <c r="AJ196" s="144">
        <v>529</v>
      </c>
      <c r="AK196" s="134">
        <v>740.6</v>
      </c>
      <c r="AL196" s="144">
        <v>535.99</v>
      </c>
      <c r="AM196" s="134">
        <v>750.38</v>
      </c>
      <c r="AN196" s="144">
        <v>542.97</v>
      </c>
      <c r="AO196" s="144">
        <v>760.16</v>
      </c>
      <c r="AP196" s="5">
        <v>549.96</v>
      </c>
      <c r="AQ196" s="121">
        <v>769.95</v>
      </c>
      <c r="AR196" s="5">
        <v>313.04000000000002</v>
      </c>
      <c r="AS196" s="5">
        <v>306.05</v>
      </c>
      <c r="AT196" s="5">
        <v>299.06</v>
      </c>
      <c r="AU196" s="5">
        <v>292.07</v>
      </c>
      <c r="AV196" s="37">
        <v>192</v>
      </c>
      <c r="AW196" s="41">
        <v>225.21</v>
      </c>
      <c r="AX196" s="41">
        <v>230.15</v>
      </c>
      <c r="AY196" s="41">
        <v>235.08</v>
      </c>
      <c r="AZ196" s="41">
        <v>240.02</v>
      </c>
      <c r="BA196" s="41">
        <v>244.95</v>
      </c>
      <c r="BB196" s="41">
        <v>249.89</v>
      </c>
      <c r="BC196" s="41">
        <v>254.82</v>
      </c>
      <c r="BD196" s="41">
        <v>259.75</v>
      </c>
      <c r="BE196" s="42">
        <v>264.69</v>
      </c>
      <c r="BF196" s="62">
        <v>269.62</v>
      </c>
      <c r="BG196" s="62">
        <v>274.56</v>
      </c>
      <c r="BH196" s="68">
        <v>279.49</v>
      </c>
      <c r="BI196" s="42">
        <v>284.43</v>
      </c>
      <c r="BJ196" s="34">
        <v>289.36</v>
      </c>
      <c r="BK196" s="43">
        <v>294.3</v>
      </c>
      <c r="BL196" s="5">
        <v>299.23</v>
      </c>
      <c r="BM196" s="5">
        <v>304.16000000000003</v>
      </c>
      <c r="BN196" s="5">
        <v>309.10000000000002</v>
      </c>
      <c r="BO196" s="5">
        <v>314.02999999999997</v>
      </c>
      <c r="BP196" s="5">
        <v>318.97000000000003</v>
      </c>
      <c r="BQ196" s="5">
        <v>323.89999999999998</v>
      </c>
      <c r="BR196" s="144">
        <v>328.84</v>
      </c>
      <c r="BS196" s="144">
        <v>333.77</v>
      </c>
      <c r="BT196" s="144">
        <v>338.7</v>
      </c>
      <c r="BU196" s="144">
        <v>343.64</v>
      </c>
      <c r="BV196" s="144">
        <v>348.57</v>
      </c>
      <c r="BW196" s="5">
        <v>201.18</v>
      </c>
      <c r="BX196" s="5">
        <v>196.25</v>
      </c>
      <c r="BY196" s="5">
        <v>191.31</v>
      </c>
      <c r="BZ196" s="5">
        <v>186.38</v>
      </c>
    </row>
    <row r="197" spans="1:78" x14ac:dyDescent="0.45">
      <c r="A197" s="119" t="s">
        <v>654</v>
      </c>
      <c r="B197" s="41">
        <v>412.49</v>
      </c>
      <c r="C197" s="81">
        <v>577.49</v>
      </c>
      <c r="D197" s="41">
        <v>419.52</v>
      </c>
      <c r="E197" s="81">
        <v>587.32000000000005</v>
      </c>
      <c r="F197" s="41">
        <v>426.54</v>
      </c>
      <c r="G197" s="88">
        <v>597.16</v>
      </c>
      <c r="H197" s="42">
        <v>433.57</v>
      </c>
      <c r="I197" s="94">
        <v>606.99</v>
      </c>
      <c r="J197" s="62">
        <v>440.59</v>
      </c>
      <c r="K197" s="100">
        <v>616.83000000000004</v>
      </c>
      <c r="L197" s="62">
        <v>447.62</v>
      </c>
      <c r="M197" s="100">
        <v>626.66</v>
      </c>
      <c r="N197" s="68">
        <v>454.64</v>
      </c>
      <c r="O197" s="106">
        <v>636.5</v>
      </c>
      <c r="P197" s="42">
        <v>461.67</v>
      </c>
      <c r="Q197" s="94">
        <v>646.33000000000004</v>
      </c>
      <c r="R197" s="42">
        <v>468.69</v>
      </c>
      <c r="S197" s="112">
        <v>656.17</v>
      </c>
      <c r="T197" s="43">
        <v>475.72</v>
      </c>
      <c r="U197" s="45">
        <v>666</v>
      </c>
      <c r="V197" s="5">
        <v>482.74</v>
      </c>
      <c r="W197" s="45">
        <v>675.84</v>
      </c>
      <c r="X197" s="5">
        <v>489.77</v>
      </c>
      <c r="Y197" s="126">
        <v>685.68</v>
      </c>
      <c r="Z197" s="5">
        <v>496.79</v>
      </c>
      <c r="AA197" s="126">
        <v>695.51</v>
      </c>
      <c r="AB197" s="5">
        <v>503.82</v>
      </c>
      <c r="AC197" s="134">
        <v>705.34</v>
      </c>
      <c r="AD197" s="5">
        <v>510.84</v>
      </c>
      <c r="AE197" s="134">
        <v>715.18</v>
      </c>
      <c r="AF197" s="5">
        <v>517.87</v>
      </c>
      <c r="AG197" s="134">
        <v>725.02</v>
      </c>
      <c r="AH197" s="144">
        <v>524.89</v>
      </c>
      <c r="AI197" s="134">
        <v>734.85</v>
      </c>
      <c r="AJ197" s="144">
        <v>531.91999999999996</v>
      </c>
      <c r="AK197" s="134">
        <v>744.69</v>
      </c>
      <c r="AL197" s="144">
        <v>538.94000000000005</v>
      </c>
      <c r="AM197" s="134">
        <v>754.52</v>
      </c>
      <c r="AN197" s="144">
        <v>545.97</v>
      </c>
      <c r="AO197" s="144">
        <v>764.36</v>
      </c>
      <c r="AP197" s="5">
        <v>552.99</v>
      </c>
      <c r="AQ197" s="121">
        <v>774.19</v>
      </c>
      <c r="AR197" s="5">
        <v>314.77</v>
      </c>
      <c r="AS197" s="5">
        <v>307.74</v>
      </c>
      <c r="AT197" s="5">
        <v>300.72000000000003</v>
      </c>
      <c r="AU197" s="5">
        <v>293.69</v>
      </c>
      <c r="AV197" s="37">
        <v>193</v>
      </c>
      <c r="AW197" s="41">
        <v>226.43</v>
      </c>
      <c r="AX197" s="41">
        <v>231.39</v>
      </c>
      <c r="AY197" s="41">
        <v>236.35</v>
      </c>
      <c r="AZ197" s="41">
        <v>241.31</v>
      </c>
      <c r="BA197" s="41">
        <v>246.27</v>
      </c>
      <c r="BB197" s="41">
        <v>251.23</v>
      </c>
      <c r="BC197" s="41">
        <v>256.19</v>
      </c>
      <c r="BD197" s="41">
        <v>261.14999999999998</v>
      </c>
      <c r="BE197" s="42">
        <v>266.11</v>
      </c>
      <c r="BF197" s="62">
        <v>271.07</v>
      </c>
      <c r="BG197" s="62">
        <v>276.02999999999997</v>
      </c>
      <c r="BH197" s="68">
        <v>280.99</v>
      </c>
      <c r="BI197" s="42">
        <v>285.95</v>
      </c>
      <c r="BJ197" s="34">
        <v>290.91000000000003</v>
      </c>
      <c r="BK197" s="43">
        <v>295.87</v>
      </c>
      <c r="BL197" s="5">
        <v>300.83</v>
      </c>
      <c r="BM197" s="5">
        <v>305.79000000000002</v>
      </c>
      <c r="BN197" s="5">
        <v>310.75</v>
      </c>
      <c r="BO197" s="5">
        <v>315.70999999999998</v>
      </c>
      <c r="BP197" s="5">
        <v>320.67</v>
      </c>
      <c r="BQ197" s="5">
        <v>325.02999999999997</v>
      </c>
      <c r="BR197" s="144">
        <v>330.59</v>
      </c>
      <c r="BS197" s="144">
        <v>335.55</v>
      </c>
      <c r="BT197" s="144">
        <v>340.51</v>
      </c>
      <c r="BU197" s="144">
        <v>345.47</v>
      </c>
      <c r="BV197" s="144">
        <v>350.43</v>
      </c>
      <c r="BW197" s="5">
        <v>202.26</v>
      </c>
      <c r="BX197" s="5">
        <v>197.3</v>
      </c>
      <c r="BY197" s="5">
        <v>192.34</v>
      </c>
      <c r="BZ197" s="5">
        <v>187.38</v>
      </c>
    </row>
    <row r="198" spans="1:78" x14ac:dyDescent="0.45">
      <c r="A198" s="119" t="s">
        <v>655</v>
      </c>
      <c r="B198" s="41">
        <v>414.8</v>
      </c>
      <c r="C198" s="81">
        <v>580.72</v>
      </c>
      <c r="D198" s="41">
        <v>421.86</v>
      </c>
      <c r="E198" s="81">
        <v>590.61</v>
      </c>
      <c r="F198" s="41">
        <v>428.92</v>
      </c>
      <c r="G198" s="88">
        <v>600.49</v>
      </c>
      <c r="H198" s="42">
        <v>435.99</v>
      </c>
      <c r="I198" s="94">
        <v>610.38</v>
      </c>
      <c r="J198" s="62">
        <v>443.05</v>
      </c>
      <c r="K198" s="100">
        <v>620.27</v>
      </c>
      <c r="L198" s="62">
        <v>450.11</v>
      </c>
      <c r="M198" s="100">
        <v>630.15</v>
      </c>
      <c r="N198" s="68">
        <v>457.17</v>
      </c>
      <c r="O198" s="106">
        <v>640.04</v>
      </c>
      <c r="P198" s="42">
        <v>464.23</v>
      </c>
      <c r="Q198" s="94">
        <v>649.92999999999995</v>
      </c>
      <c r="R198" s="42">
        <v>471.29</v>
      </c>
      <c r="S198" s="112">
        <v>659.81</v>
      </c>
      <c r="T198" s="43">
        <v>478.36</v>
      </c>
      <c r="U198" s="45">
        <v>669.7</v>
      </c>
      <c r="V198" s="5">
        <v>485.42</v>
      </c>
      <c r="W198" s="45">
        <v>679.58</v>
      </c>
      <c r="X198" s="5">
        <v>492.48</v>
      </c>
      <c r="Y198" s="126">
        <v>689.47</v>
      </c>
      <c r="Z198" s="5">
        <v>499.54</v>
      </c>
      <c r="AA198" s="126">
        <v>699.36</v>
      </c>
      <c r="AB198" s="5">
        <v>506.6</v>
      </c>
      <c r="AC198" s="134">
        <v>709.24</v>
      </c>
      <c r="AD198" s="5">
        <v>513.66</v>
      </c>
      <c r="AE198" s="134">
        <v>719.13</v>
      </c>
      <c r="AF198" s="5">
        <v>520.73</v>
      </c>
      <c r="AG198" s="134">
        <v>729.02</v>
      </c>
      <c r="AH198" s="144">
        <v>527.79</v>
      </c>
      <c r="AI198" s="134">
        <v>738.9</v>
      </c>
      <c r="AJ198" s="144">
        <v>534.85</v>
      </c>
      <c r="AK198" s="134">
        <v>748.79</v>
      </c>
      <c r="AL198" s="144">
        <v>541.91</v>
      </c>
      <c r="AM198" s="134">
        <v>758.67</v>
      </c>
      <c r="AN198" s="144">
        <v>548.97</v>
      </c>
      <c r="AO198" s="144">
        <v>768.56</v>
      </c>
      <c r="AP198" s="5">
        <v>556.03</v>
      </c>
      <c r="AQ198" s="121">
        <v>778.45</v>
      </c>
      <c r="AR198" s="5">
        <v>316.5</v>
      </c>
      <c r="AS198" s="5">
        <v>309.44</v>
      </c>
      <c r="AT198" s="5">
        <v>302.38</v>
      </c>
      <c r="AU198" s="5">
        <v>295.32</v>
      </c>
      <c r="AV198" s="37">
        <v>194</v>
      </c>
      <c r="AW198" s="41">
        <v>227.65</v>
      </c>
      <c r="AX198" s="41">
        <v>232.64</v>
      </c>
      <c r="AY198" s="41">
        <v>237.62</v>
      </c>
      <c r="AZ198" s="41">
        <v>242.61</v>
      </c>
      <c r="BA198" s="41">
        <v>247.6</v>
      </c>
      <c r="BB198" s="41">
        <v>252.58</v>
      </c>
      <c r="BC198" s="41">
        <v>257.57</v>
      </c>
      <c r="BD198" s="41">
        <v>262.55</v>
      </c>
      <c r="BE198" s="42">
        <v>267.54000000000002</v>
      </c>
      <c r="BF198" s="62">
        <v>272.52999999999997</v>
      </c>
      <c r="BG198" s="62">
        <v>277.51</v>
      </c>
      <c r="BH198" s="68">
        <v>282.5</v>
      </c>
      <c r="BI198" s="42">
        <v>287.48</v>
      </c>
      <c r="BJ198" s="34">
        <v>292.47000000000003</v>
      </c>
      <c r="BK198" s="43">
        <v>297.45</v>
      </c>
      <c r="BL198" s="5">
        <v>302.44</v>
      </c>
      <c r="BM198" s="5">
        <v>307.43</v>
      </c>
      <c r="BN198" s="5">
        <v>312.41000000000003</v>
      </c>
      <c r="BO198" s="5">
        <v>317.39999999999998</v>
      </c>
      <c r="BP198" s="5">
        <v>322.38</v>
      </c>
      <c r="BQ198" s="5">
        <v>327.37</v>
      </c>
      <c r="BR198" s="144">
        <v>332.36</v>
      </c>
      <c r="BS198" s="144">
        <v>337.34</v>
      </c>
      <c r="BT198" s="144">
        <v>342.33</v>
      </c>
      <c r="BU198" s="144">
        <v>347.31</v>
      </c>
      <c r="BV198" s="144">
        <v>352.3</v>
      </c>
      <c r="BW198" s="5">
        <v>203.34</v>
      </c>
      <c r="BX198" s="5">
        <v>198.35</v>
      </c>
      <c r="BY198" s="5">
        <v>193.36</v>
      </c>
      <c r="BZ198" s="5">
        <v>188.38</v>
      </c>
    </row>
    <row r="199" spans="1:78" x14ac:dyDescent="0.45">
      <c r="A199" s="119" t="s">
        <v>656</v>
      </c>
      <c r="B199" s="41">
        <v>417.12</v>
      </c>
      <c r="C199" s="81">
        <v>583.97</v>
      </c>
      <c r="D199" s="41">
        <v>424.22</v>
      </c>
      <c r="E199" s="81">
        <v>593.91</v>
      </c>
      <c r="F199" s="41">
        <v>431.32</v>
      </c>
      <c r="G199" s="88">
        <v>603.84</v>
      </c>
      <c r="H199" s="42">
        <v>438.42</v>
      </c>
      <c r="I199" s="94">
        <v>613.78</v>
      </c>
      <c r="J199" s="62">
        <v>445.51</v>
      </c>
      <c r="K199" s="100">
        <v>623.72</v>
      </c>
      <c r="L199" s="62">
        <v>452.61</v>
      </c>
      <c r="M199" s="100">
        <v>633.66</v>
      </c>
      <c r="N199" s="68">
        <v>459.71</v>
      </c>
      <c r="O199" s="106">
        <v>643.59</v>
      </c>
      <c r="P199" s="42">
        <v>466.81</v>
      </c>
      <c r="Q199" s="94">
        <v>653.53</v>
      </c>
      <c r="R199" s="42">
        <v>473.91</v>
      </c>
      <c r="S199" s="112">
        <v>663.47</v>
      </c>
      <c r="T199" s="43">
        <v>481</v>
      </c>
      <c r="U199" s="45">
        <v>673.41</v>
      </c>
      <c r="V199" s="5">
        <v>488.1</v>
      </c>
      <c r="W199" s="45">
        <v>683.34</v>
      </c>
      <c r="X199" s="5">
        <v>495.2</v>
      </c>
      <c r="Y199" s="126">
        <v>693.28</v>
      </c>
      <c r="Z199" s="5">
        <v>502.3</v>
      </c>
      <c r="AA199" s="126">
        <v>703.22</v>
      </c>
      <c r="AB199" s="5">
        <v>509.4</v>
      </c>
      <c r="AC199" s="134">
        <v>713.15</v>
      </c>
      <c r="AD199" s="5">
        <v>516.49</v>
      </c>
      <c r="AE199" s="134">
        <v>723.09</v>
      </c>
      <c r="AF199" s="5">
        <v>523.59</v>
      </c>
      <c r="AG199" s="134">
        <v>733.03</v>
      </c>
      <c r="AH199" s="144">
        <v>530.69000000000005</v>
      </c>
      <c r="AI199" s="134">
        <v>742.97</v>
      </c>
      <c r="AJ199" s="144">
        <v>537.79</v>
      </c>
      <c r="AK199" s="134">
        <v>752.9</v>
      </c>
      <c r="AL199" s="144">
        <v>544.89</v>
      </c>
      <c r="AM199" s="134">
        <v>762.84</v>
      </c>
      <c r="AN199" s="144">
        <v>551.98</v>
      </c>
      <c r="AO199" s="144">
        <v>772.78</v>
      </c>
      <c r="AP199" s="5">
        <v>559.08000000000004</v>
      </c>
      <c r="AQ199" s="121">
        <v>782.71</v>
      </c>
      <c r="AR199" s="5">
        <v>318.24</v>
      </c>
      <c r="AS199" s="5">
        <v>311.14</v>
      </c>
      <c r="AT199" s="5">
        <v>304.04000000000002</v>
      </c>
      <c r="AU199" s="5">
        <v>296.94</v>
      </c>
      <c r="AV199" s="37">
        <v>195</v>
      </c>
      <c r="AW199" s="41">
        <v>228.71</v>
      </c>
      <c r="AX199" s="41">
        <v>233.72</v>
      </c>
      <c r="AY199" s="41">
        <v>238.73</v>
      </c>
      <c r="AZ199" s="41">
        <v>243.74</v>
      </c>
      <c r="BA199" s="41">
        <v>248.76</v>
      </c>
      <c r="BB199" s="41">
        <v>253.77</v>
      </c>
      <c r="BC199" s="41">
        <v>258.77999999999997</v>
      </c>
      <c r="BD199" s="41">
        <v>263.79000000000002</v>
      </c>
      <c r="BE199" s="42">
        <v>268.8</v>
      </c>
      <c r="BF199" s="62">
        <v>273.81</v>
      </c>
      <c r="BG199" s="62">
        <v>278.82</v>
      </c>
      <c r="BH199" s="68">
        <v>283.83999999999997</v>
      </c>
      <c r="BI199" s="42">
        <v>288.85000000000002</v>
      </c>
      <c r="BJ199" s="34">
        <v>293.86</v>
      </c>
      <c r="BK199" s="43">
        <v>298.87</v>
      </c>
      <c r="BL199" s="5">
        <v>303.88</v>
      </c>
      <c r="BM199" s="5">
        <v>308.89</v>
      </c>
      <c r="BN199" s="5">
        <v>313.91000000000003</v>
      </c>
      <c r="BO199" s="5">
        <v>318.92</v>
      </c>
      <c r="BP199" s="5">
        <v>323.93</v>
      </c>
      <c r="BQ199" s="45">
        <v>328</v>
      </c>
      <c r="BR199" s="144">
        <v>333.95</v>
      </c>
      <c r="BS199" s="144">
        <v>338.96</v>
      </c>
      <c r="BT199" s="144">
        <v>343.97</v>
      </c>
      <c r="BU199" s="144">
        <v>348.99</v>
      </c>
      <c r="BV199" s="144">
        <v>354</v>
      </c>
      <c r="BW199" s="5">
        <v>204.31</v>
      </c>
      <c r="BX199" s="5">
        <v>199.3</v>
      </c>
      <c r="BY199" s="5">
        <v>194.29</v>
      </c>
      <c r="BZ199" s="5">
        <v>189.28</v>
      </c>
    </row>
    <row r="200" spans="1:78" x14ac:dyDescent="0.45">
      <c r="A200" s="119" t="s">
        <v>657</v>
      </c>
      <c r="B200" s="41">
        <v>418.81</v>
      </c>
      <c r="C200" s="81">
        <v>586.34</v>
      </c>
      <c r="D200" s="41">
        <v>425.95</v>
      </c>
      <c r="E200" s="81">
        <v>596.32000000000005</v>
      </c>
      <c r="F200" s="41">
        <v>433.08</v>
      </c>
      <c r="G200" s="88">
        <v>606.30999999999995</v>
      </c>
      <c r="H200" s="42">
        <v>440.21</v>
      </c>
      <c r="I200" s="94">
        <v>616.29999999999995</v>
      </c>
      <c r="J200" s="62">
        <v>447.35</v>
      </c>
      <c r="K200" s="100">
        <v>626.29</v>
      </c>
      <c r="L200" s="62">
        <v>454.48</v>
      </c>
      <c r="M200" s="100">
        <v>636.28</v>
      </c>
      <c r="N200" s="68">
        <v>461.62</v>
      </c>
      <c r="O200" s="106">
        <v>646.26</v>
      </c>
      <c r="P200" s="42">
        <v>468.75</v>
      </c>
      <c r="Q200" s="94">
        <v>656.25</v>
      </c>
      <c r="R200" s="42">
        <v>475.89</v>
      </c>
      <c r="S200" s="112">
        <v>666.24</v>
      </c>
      <c r="T200" s="43">
        <v>483.02</v>
      </c>
      <c r="U200" s="45">
        <v>676.23</v>
      </c>
      <c r="V200" s="5">
        <v>490.16</v>
      </c>
      <c r="W200" s="45">
        <v>686.22</v>
      </c>
      <c r="X200" s="5">
        <v>497.29</v>
      </c>
      <c r="Y200" s="126">
        <v>696.21</v>
      </c>
      <c r="Z200" s="5">
        <v>504.42</v>
      </c>
      <c r="AA200" s="126">
        <v>706.19</v>
      </c>
      <c r="AB200" s="5">
        <v>511.56</v>
      </c>
      <c r="AC200" s="134">
        <v>716.18</v>
      </c>
      <c r="AD200" s="5">
        <v>518.69000000000005</v>
      </c>
      <c r="AE200" s="134">
        <v>726.17</v>
      </c>
      <c r="AF200" s="5">
        <v>525.83000000000004</v>
      </c>
      <c r="AG200" s="134">
        <v>736.16</v>
      </c>
      <c r="AH200" s="144">
        <v>532.96</v>
      </c>
      <c r="AI200" s="134">
        <v>746.15</v>
      </c>
      <c r="AJ200" s="144">
        <v>540.1</v>
      </c>
      <c r="AK200" s="134">
        <v>756.13</v>
      </c>
      <c r="AL200" s="144">
        <v>547.23</v>
      </c>
      <c r="AM200" s="134">
        <v>766.12</v>
      </c>
      <c r="AN200" s="144">
        <v>554.36</v>
      </c>
      <c r="AO200" s="144">
        <v>776.11</v>
      </c>
      <c r="AP200" s="5">
        <v>561.5</v>
      </c>
      <c r="AQ200" s="121">
        <v>786.1</v>
      </c>
      <c r="AR200" s="5">
        <v>319.61</v>
      </c>
      <c r="AS200" s="5">
        <v>312.47000000000003</v>
      </c>
      <c r="AT200" s="5">
        <v>305.33999999999997</v>
      </c>
      <c r="AU200" s="5">
        <v>298.20999999999998</v>
      </c>
      <c r="AV200" s="37">
        <v>196</v>
      </c>
      <c r="AW200" s="41">
        <v>229.93</v>
      </c>
      <c r="AX200" s="41">
        <v>234.97</v>
      </c>
      <c r="AY200" s="41">
        <v>240.01</v>
      </c>
      <c r="AZ200" s="41">
        <v>245.04</v>
      </c>
      <c r="BA200" s="41">
        <v>250.08</v>
      </c>
      <c r="BB200" s="41">
        <v>255.12</v>
      </c>
      <c r="BC200" s="41">
        <v>260.16000000000003</v>
      </c>
      <c r="BD200" s="41">
        <v>265.19</v>
      </c>
      <c r="BE200" s="42">
        <v>270.23</v>
      </c>
      <c r="BF200" s="62">
        <v>275.27</v>
      </c>
      <c r="BG200" s="62">
        <v>280.31</v>
      </c>
      <c r="BH200" s="68">
        <v>285.33999999999997</v>
      </c>
      <c r="BI200" s="42">
        <v>290.38</v>
      </c>
      <c r="BJ200" s="34">
        <v>295.42</v>
      </c>
      <c r="BK200" s="43">
        <v>300.45</v>
      </c>
      <c r="BL200" s="5">
        <v>305.49</v>
      </c>
      <c r="BM200" s="5">
        <v>310.52999999999997</v>
      </c>
      <c r="BN200" s="5">
        <v>315.57</v>
      </c>
      <c r="BO200" s="5">
        <v>320.60000000000002</v>
      </c>
      <c r="BP200" s="5">
        <v>325.64</v>
      </c>
      <c r="BQ200" s="45">
        <v>330.6</v>
      </c>
      <c r="BR200" s="144">
        <v>335.71</v>
      </c>
      <c r="BS200" s="144">
        <v>340.75</v>
      </c>
      <c r="BT200" s="144">
        <v>345.79</v>
      </c>
      <c r="BU200" s="144">
        <v>350.83</v>
      </c>
      <c r="BV200" s="144">
        <v>355.86</v>
      </c>
      <c r="BW200" s="5">
        <v>205.39</v>
      </c>
      <c r="BX200" s="5">
        <v>200.35</v>
      </c>
      <c r="BY200" s="5">
        <v>195.32</v>
      </c>
      <c r="BZ200" s="5">
        <v>190.28</v>
      </c>
    </row>
    <row r="201" spans="1:78" x14ac:dyDescent="0.45">
      <c r="A201" s="119" t="s">
        <v>658</v>
      </c>
      <c r="B201" s="41">
        <v>421.14</v>
      </c>
      <c r="C201" s="81">
        <v>589.6</v>
      </c>
      <c r="D201" s="41">
        <v>428.31</v>
      </c>
      <c r="E201" s="81">
        <v>599.64</v>
      </c>
      <c r="F201" s="41">
        <v>435.48</v>
      </c>
      <c r="G201" s="88">
        <v>609.67999999999995</v>
      </c>
      <c r="H201" s="42">
        <v>442.65</v>
      </c>
      <c r="I201" s="94">
        <v>619.71</v>
      </c>
      <c r="J201" s="62">
        <v>449.82</v>
      </c>
      <c r="K201" s="100">
        <v>629.75</v>
      </c>
      <c r="L201" s="62">
        <v>456.99</v>
      </c>
      <c r="M201" s="100">
        <v>639.79</v>
      </c>
      <c r="N201" s="68">
        <v>464.17</v>
      </c>
      <c r="O201" s="106">
        <v>649.83000000000004</v>
      </c>
      <c r="P201" s="42">
        <v>471.34</v>
      </c>
      <c r="Q201" s="94">
        <v>659.87</v>
      </c>
      <c r="R201" s="42">
        <v>478.51</v>
      </c>
      <c r="S201" s="112">
        <v>669.91</v>
      </c>
      <c r="T201" s="43">
        <v>485.68</v>
      </c>
      <c r="U201" s="45">
        <v>679.95</v>
      </c>
      <c r="V201" s="5">
        <v>492.85</v>
      </c>
      <c r="W201" s="45">
        <v>689.99</v>
      </c>
      <c r="X201" s="5">
        <v>500.02</v>
      </c>
      <c r="Y201" s="126">
        <v>700.03</v>
      </c>
      <c r="Z201" s="5">
        <v>507.19</v>
      </c>
      <c r="AA201" s="126">
        <v>710.07</v>
      </c>
      <c r="AB201" s="5">
        <v>514.36</v>
      </c>
      <c r="AC201" s="134">
        <v>720.11</v>
      </c>
      <c r="AD201" s="5">
        <v>521.53</v>
      </c>
      <c r="AE201" s="134">
        <v>730.14</v>
      </c>
      <c r="AF201" s="5">
        <v>528.70000000000005</v>
      </c>
      <c r="AG201" s="134">
        <v>740.18</v>
      </c>
      <c r="AH201" s="144">
        <v>535.87</v>
      </c>
      <c r="AI201" s="134">
        <v>750.22</v>
      </c>
      <c r="AJ201" s="144">
        <v>543.04</v>
      </c>
      <c r="AK201" s="134">
        <v>760.26</v>
      </c>
      <c r="AL201" s="144">
        <v>550.21</v>
      </c>
      <c r="AM201" s="134">
        <v>770.3</v>
      </c>
      <c r="AN201" s="144">
        <v>557.39</v>
      </c>
      <c r="AO201" s="144">
        <v>780.34</v>
      </c>
      <c r="AP201" s="5">
        <v>564.55999999999995</v>
      </c>
      <c r="AQ201" s="121">
        <v>790.38</v>
      </c>
      <c r="AR201" s="5">
        <v>321.35000000000002</v>
      </c>
      <c r="AS201" s="5">
        <v>314.18</v>
      </c>
      <c r="AT201" s="5">
        <v>307.01</v>
      </c>
      <c r="AU201" s="5">
        <v>299.83999999999997</v>
      </c>
      <c r="AV201" s="37">
        <v>197</v>
      </c>
      <c r="AW201" s="41">
        <v>231.16</v>
      </c>
      <c r="AX201" s="41">
        <v>236.22</v>
      </c>
      <c r="AY201" s="41">
        <v>241.28</v>
      </c>
      <c r="AZ201" s="41">
        <v>246.35</v>
      </c>
      <c r="BA201" s="41">
        <v>251.41</v>
      </c>
      <c r="BB201" s="41">
        <v>256.47000000000003</v>
      </c>
      <c r="BC201" s="41">
        <v>261.54000000000002</v>
      </c>
      <c r="BD201" s="41">
        <v>266.60000000000002</v>
      </c>
      <c r="BE201" s="42">
        <v>271.66000000000003</v>
      </c>
      <c r="BF201" s="62">
        <v>276.73</v>
      </c>
      <c r="BG201" s="62">
        <v>281.79000000000002</v>
      </c>
      <c r="BH201" s="68">
        <v>286.85000000000002</v>
      </c>
      <c r="BI201" s="42">
        <v>291.91000000000003</v>
      </c>
      <c r="BJ201" s="34">
        <v>296.98</v>
      </c>
      <c r="BK201" s="43">
        <v>302.04000000000002</v>
      </c>
      <c r="BL201" s="5">
        <v>307.10000000000002</v>
      </c>
      <c r="BM201" s="5">
        <v>312.17</v>
      </c>
      <c r="BN201" s="5">
        <v>317.23</v>
      </c>
      <c r="BO201" s="5">
        <v>322.29000000000002</v>
      </c>
      <c r="BP201" s="5">
        <v>327.35000000000002</v>
      </c>
      <c r="BQ201" s="5">
        <v>332.42</v>
      </c>
      <c r="BR201" s="144">
        <v>337.48</v>
      </c>
      <c r="BS201" s="144">
        <v>342.54</v>
      </c>
      <c r="BT201" s="144">
        <v>347.61</v>
      </c>
      <c r="BU201" s="144">
        <v>352.67</v>
      </c>
      <c r="BV201" s="144">
        <v>357.73</v>
      </c>
      <c r="BW201" s="5">
        <v>206.47</v>
      </c>
      <c r="BX201" s="5">
        <v>201.41</v>
      </c>
      <c r="BY201" s="5">
        <v>196.35</v>
      </c>
      <c r="BZ201" s="5">
        <v>191.28</v>
      </c>
    </row>
    <row r="202" spans="1:78" x14ac:dyDescent="0.45">
      <c r="A202" s="119" t="s">
        <v>659</v>
      </c>
      <c r="B202" s="21">
        <v>423.48</v>
      </c>
      <c r="C202" s="78">
        <v>592.87</v>
      </c>
      <c r="D202" s="21">
        <v>430.69</v>
      </c>
      <c r="E202" s="78">
        <v>602.96</v>
      </c>
      <c r="F202" s="21">
        <v>437.89</v>
      </c>
      <c r="G202" s="85">
        <v>613.04999999999995</v>
      </c>
      <c r="H202" s="22">
        <v>445.1</v>
      </c>
      <c r="I202" s="91">
        <v>623.14</v>
      </c>
      <c r="J202" s="59">
        <v>452.31</v>
      </c>
      <c r="K202" s="97">
        <v>633.23</v>
      </c>
      <c r="L202" s="59">
        <v>459.52</v>
      </c>
      <c r="M202" s="97">
        <v>643.32000000000005</v>
      </c>
      <c r="N202" s="65">
        <v>466.72</v>
      </c>
      <c r="O202" s="103">
        <v>653.41</v>
      </c>
      <c r="P202" s="22">
        <v>473.93</v>
      </c>
      <c r="Q202" s="91">
        <v>663.5</v>
      </c>
      <c r="R202" s="22">
        <v>481.14</v>
      </c>
      <c r="S202" s="109">
        <v>673.59</v>
      </c>
      <c r="T202" s="23">
        <v>488.34</v>
      </c>
      <c r="U202" s="45">
        <v>683.68</v>
      </c>
      <c r="V202" s="5">
        <v>495.55</v>
      </c>
      <c r="W202" s="45">
        <v>693.77</v>
      </c>
      <c r="X202" s="5">
        <v>502.76</v>
      </c>
      <c r="Y202" s="126">
        <v>703.86</v>
      </c>
      <c r="Z202" s="5">
        <v>509.97</v>
      </c>
      <c r="AA202" s="126">
        <v>713.96</v>
      </c>
      <c r="AB202" s="5">
        <v>517.16999999999996</v>
      </c>
      <c r="AC202" s="134">
        <v>724.04</v>
      </c>
      <c r="AD202" s="5">
        <v>524.38</v>
      </c>
      <c r="AE202" s="134">
        <v>734.13</v>
      </c>
      <c r="AF202" s="5">
        <v>531.59</v>
      </c>
      <c r="AG202" s="134">
        <v>744.22</v>
      </c>
      <c r="AH202" s="144">
        <v>538.78</v>
      </c>
      <c r="AI202" s="134">
        <v>754.31</v>
      </c>
      <c r="AJ202" s="144">
        <v>546</v>
      </c>
      <c r="AK202" s="134">
        <v>764.4</v>
      </c>
      <c r="AL202" s="144">
        <v>553.21</v>
      </c>
      <c r="AM202" s="134">
        <v>774.49</v>
      </c>
      <c r="AN202" s="144">
        <v>560.41999999999996</v>
      </c>
      <c r="AO202" s="144">
        <v>784.58</v>
      </c>
      <c r="AP202" s="5">
        <v>567.62</v>
      </c>
      <c r="AQ202" s="121">
        <v>794.67</v>
      </c>
      <c r="AR202" s="5">
        <v>323.10000000000002</v>
      </c>
      <c r="AS202" s="5">
        <v>315.89</v>
      </c>
      <c r="AT202" s="5">
        <v>308.69</v>
      </c>
      <c r="AU202" s="5">
        <v>301.48</v>
      </c>
      <c r="AV202" s="37">
        <v>198</v>
      </c>
      <c r="AW202" s="21">
        <v>232.22</v>
      </c>
      <c r="AX202" s="21">
        <v>237.3</v>
      </c>
      <c r="AY202" s="21">
        <v>242.39</v>
      </c>
      <c r="AZ202" s="21">
        <v>247.48</v>
      </c>
      <c r="BA202" s="21">
        <v>252.57</v>
      </c>
      <c r="BB202" s="21">
        <v>257.66000000000003</v>
      </c>
      <c r="BC202" s="21">
        <v>262.75</v>
      </c>
      <c r="BD202" s="21">
        <v>267.83999999999997</v>
      </c>
      <c r="BE202" s="22">
        <v>272.92</v>
      </c>
      <c r="BF202" s="59">
        <v>278.01</v>
      </c>
      <c r="BG202" s="59">
        <v>283.10000000000002</v>
      </c>
      <c r="BH202" s="65">
        <v>288.19</v>
      </c>
      <c r="BI202" s="22">
        <v>293.27999999999997</v>
      </c>
      <c r="BJ202" s="34">
        <v>298.37</v>
      </c>
      <c r="BK202" s="23">
        <v>303.45999999999998</v>
      </c>
      <c r="BL202" s="5">
        <v>308.54000000000002</v>
      </c>
      <c r="BM202" s="5">
        <v>313.63</v>
      </c>
      <c r="BN202" s="5">
        <v>318.72000000000003</v>
      </c>
      <c r="BO202" s="5">
        <v>323.81</v>
      </c>
      <c r="BP202" s="5">
        <v>328.9</v>
      </c>
      <c r="BQ202" s="5">
        <v>333.99</v>
      </c>
      <c r="BR202" s="144">
        <v>339.08</v>
      </c>
      <c r="BS202" s="144">
        <v>344.16</v>
      </c>
      <c r="BT202" s="144">
        <v>349.25</v>
      </c>
      <c r="BU202" s="144">
        <v>354.34</v>
      </c>
      <c r="BV202" s="144">
        <v>359.43</v>
      </c>
      <c r="BW202" s="5">
        <v>207.45</v>
      </c>
      <c r="BX202" s="5">
        <v>202.36</v>
      </c>
      <c r="BY202" s="5">
        <v>197.27</v>
      </c>
      <c r="BZ202" s="5">
        <v>192.18</v>
      </c>
    </row>
    <row r="203" spans="1:78" x14ac:dyDescent="0.45">
      <c r="A203" s="119" t="s">
        <v>660</v>
      </c>
      <c r="B203" s="30">
        <v>425.17</v>
      </c>
      <c r="C203" s="79">
        <v>595.24</v>
      </c>
      <c r="D203" s="30">
        <v>432.41</v>
      </c>
      <c r="E203" s="79">
        <v>605.38</v>
      </c>
      <c r="F203" s="30">
        <v>439.66</v>
      </c>
      <c r="G203" s="86">
        <v>615.52</v>
      </c>
      <c r="H203" s="31">
        <v>446.9</v>
      </c>
      <c r="I203" s="92">
        <v>625.66</v>
      </c>
      <c r="J203" s="60">
        <v>454.14</v>
      </c>
      <c r="K203" s="98">
        <v>635.79999999999995</v>
      </c>
      <c r="L203" s="60">
        <v>461.39</v>
      </c>
      <c r="M203" s="98">
        <v>645.94000000000005</v>
      </c>
      <c r="N203" s="66">
        <v>468.63</v>
      </c>
      <c r="O203" s="104">
        <v>656.08</v>
      </c>
      <c r="P203" s="31">
        <v>475.87</v>
      </c>
      <c r="Q203" s="92">
        <v>666.22</v>
      </c>
      <c r="R203" s="31">
        <v>483.12</v>
      </c>
      <c r="S203" s="110">
        <v>676.36</v>
      </c>
      <c r="T203" s="32">
        <v>490.36</v>
      </c>
      <c r="U203" s="45">
        <v>686.51</v>
      </c>
      <c r="V203" s="5">
        <v>497.6</v>
      </c>
      <c r="W203" s="45">
        <v>696.65</v>
      </c>
      <c r="X203" s="5">
        <v>504.85</v>
      </c>
      <c r="Y203" s="126">
        <v>706.79</v>
      </c>
      <c r="Z203" s="5">
        <v>512.09</v>
      </c>
      <c r="AA203" s="126">
        <v>716.93</v>
      </c>
      <c r="AB203" s="5">
        <v>519.34</v>
      </c>
      <c r="AC203" s="134">
        <v>727.07</v>
      </c>
      <c r="AD203" s="5">
        <v>526.58000000000004</v>
      </c>
      <c r="AE203" s="134">
        <v>737.21</v>
      </c>
      <c r="AF203" s="5">
        <v>533.82000000000005</v>
      </c>
      <c r="AG203" s="134">
        <v>747.35</v>
      </c>
      <c r="AH203" s="144">
        <v>541.07000000000005</v>
      </c>
      <c r="AI203" s="134">
        <v>757.49</v>
      </c>
      <c r="AJ203" s="144">
        <v>548.30999999999995</v>
      </c>
      <c r="AK203" s="134">
        <v>767.63</v>
      </c>
      <c r="AL203" s="144">
        <v>555.54999999999995</v>
      </c>
      <c r="AM203" s="134">
        <v>777.77</v>
      </c>
      <c r="AN203" s="144">
        <v>562.79999999999995</v>
      </c>
      <c r="AO203" s="144">
        <v>787.92</v>
      </c>
      <c r="AP203" s="5">
        <v>570.04</v>
      </c>
      <c r="AQ203" s="121">
        <v>798.06</v>
      </c>
      <c r="AR203" s="5">
        <v>324.47000000000003</v>
      </c>
      <c r="AS203" s="5">
        <v>317.23</v>
      </c>
      <c r="AT203" s="5">
        <v>309.38</v>
      </c>
      <c r="AU203" s="5">
        <v>302.74</v>
      </c>
      <c r="AV203" s="37">
        <v>199</v>
      </c>
      <c r="AW203" s="30">
        <v>233.44</v>
      </c>
      <c r="AX203" s="30">
        <v>238.56</v>
      </c>
      <c r="AY203" s="30">
        <v>243.67</v>
      </c>
      <c r="AZ203" s="30">
        <v>248.79</v>
      </c>
      <c r="BA203" s="30">
        <v>253.9</v>
      </c>
      <c r="BB203" s="30">
        <v>259.02</v>
      </c>
      <c r="BC203" s="30">
        <v>264.13</v>
      </c>
      <c r="BD203" s="30">
        <v>269.24</v>
      </c>
      <c r="BE203" s="31">
        <v>274.36</v>
      </c>
      <c r="BF203" s="60">
        <v>279.47000000000003</v>
      </c>
      <c r="BG203" s="60">
        <v>284.58999999999997</v>
      </c>
      <c r="BH203" s="66">
        <v>289.7</v>
      </c>
      <c r="BI203" s="31">
        <v>294.82</v>
      </c>
      <c r="BJ203" s="34">
        <v>299.93</v>
      </c>
      <c r="BK203" s="32">
        <v>305.04000000000002</v>
      </c>
      <c r="BL203" s="5">
        <v>310.16000000000003</v>
      </c>
      <c r="BM203" s="5">
        <v>315.27</v>
      </c>
      <c r="BN203" s="5">
        <v>320.39</v>
      </c>
      <c r="BO203" s="5">
        <v>325.5</v>
      </c>
      <c r="BP203" s="5">
        <v>330.62</v>
      </c>
      <c r="BQ203" s="5">
        <v>335.73</v>
      </c>
      <c r="BR203" s="144">
        <v>340.84</v>
      </c>
      <c r="BS203" s="144">
        <v>345.96</v>
      </c>
      <c r="BT203" s="144">
        <v>351.07</v>
      </c>
      <c r="BU203" s="144">
        <v>356.19</v>
      </c>
      <c r="BV203" s="144">
        <v>361.3</v>
      </c>
      <c r="BW203" s="5">
        <v>208.53</v>
      </c>
      <c r="BX203" s="5">
        <v>203.41</v>
      </c>
      <c r="BY203" s="5">
        <v>198.3</v>
      </c>
      <c r="BZ203" s="5">
        <v>193.19</v>
      </c>
    </row>
    <row r="204" spans="1:78" ht="21.75" thickBot="1" x14ac:dyDescent="0.5">
      <c r="A204" s="119" t="s">
        <v>661</v>
      </c>
      <c r="B204" s="46">
        <v>427.52</v>
      </c>
      <c r="C204" s="83">
        <v>598.52</v>
      </c>
      <c r="D204" s="46">
        <v>434.8</v>
      </c>
      <c r="E204" s="83">
        <v>608.72</v>
      </c>
      <c r="F204" s="46">
        <v>442.08</v>
      </c>
      <c r="G204" s="89">
        <v>618.91</v>
      </c>
      <c r="H204" s="47">
        <v>449.36</v>
      </c>
      <c r="I204" s="95">
        <v>629.1</v>
      </c>
      <c r="J204" s="63">
        <v>456.64</v>
      </c>
      <c r="K204" s="101">
        <v>639.29</v>
      </c>
      <c r="L204" s="63">
        <v>463.92</v>
      </c>
      <c r="M204" s="101">
        <v>649.48</v>
      </c>
      <c r="N204" s="69">
        <v>471.2</v>
      </c>
      <c r="O204" s="107">
        <v>659.68</v>
      </c>
      <c r="P204" s="47">
        <v>478.48</v>
      </c>
      <c r="Q204" s="95">
        <v>669.87</v>
      </c>
      <c r="R204" s="47">
        <v>485.76</v>
      </c>
      <c r="S204" s="113">
        <v>680.06</v>
      </c>
      <c r="T204" s="48">
        <v>493.04</v>
      </c>
      <c r="U204" s="118">
        <v>690.25</v>
      </c>
      <c r="V204" s="49">
        <v>500.32</v>
      </c>
      <c r="W204" s="118">
        <v>700.44</v>
      </c>
      <c r="X204" s="49">
        <v>507.6</v>
      </c>
      <c r="Y204" s="126">
        <v>710.64</v>
      </c>
      <c r="Z204" s="49">
        <v>514.88</v>
      </c>
      <c r="AA204" s="126">
        <v>720.83</v>
      </c>
      <c r="AB204" s="49">
        <v>522.16</v>
      </c>
      <c r="AC204" s="134">
        <v>731.02</v>
      </c>
      <c r="AD204" s="49">
        <v>529.44000000000005</v>
      </c>
      <c r="AE204" s="134">
        <v>741.21</v>
      </c>
      <c r="AF204" s="49">
        <v>536.72</v>
      </c>
      <c r="AG204" s="134">
        <v>751.4</v>
      </c>
      <c r="AH204" s="145">
        <v>544</v>
      </c>
      <c r="AI204" s="134">
        <v>761.6</v>
      </c>
      <c r="AJ204" s="145">
        <v>551.28</v>
      </c>
      <c r="AK204" s="134">
        <v>771.79</v>
      </c>
      <c r="AL204" s="145">
        <v>558.55999999999995</v>
      </c>
      <c r="AM204" s="134">
        <v>781.98</v>
      </c>
      <c r="AN204" s="145">
        <v>565.84</v>
      </c>
      <c r="AO204" s="144">
        <v>792.17</v>
      </c>
      <c r="AP204" s="5">
        <v>573.12</v>
      </c>
      <c r="AQ204" s="121">
        <v>802.36</v>
      </c>
      <c r="AR204" s="5">
        <v>326.22000000000003</v>
      </c>
      <c r="AS204" s="5">
        <v>318.94</v>
      </c>
      <c r="AT204" s="5">
        <v>311.66000000000003</v>
      </c>
      <c r="AU204" s="5">
        <v>304.38</v>
      </c>
      <c r="AV204" s="50">
        <v>200</v>
      </c>
      <c r="AW204" s="46">
        <v>234.67</v>
      </c>
      <c r="AX204" s="46">
        <v>239.81</v>
      </c>
      <c r="AY204" s="46">
        <v>244.95</v>
      </c>
      <c r="AZ204" s="46">
        <v>250.07</v>
      </c>
      <c r="BA204" s="46">
        <v>255.23</v>
      </c>
      <c r="BB204" s="46">
        <v>260.37</v>
      </c>
      <c r="BC204" s="46">
        <v>265.51</v>
      </c>
      <c r="BD204" s="46">
        <v>270.64999999999998</v>
      </c>
      <c r="BE204" s="47">
        <v>275.79000000000002</v>
      </c>
      <c r="BF204" s="63">
        <v>280.93</v>
      </c>
      <c r="BG204" s="63">
        <v>286.07</v>
      </c>
      <c r="BH204" s="69">
        <v>291.20999999999998</v>
      </c>
      <c r="BI204" s="47">
        <v>296.35000000000002</v>
      </c>
      <c r="BJ204" s="51">
        <v>301.49</v>
      </c>
      <c r="BK204" s="48">
        <v>306.63</v>
      </c>
      <c r="BL204" s="49">
        <v>311.77</v>
      </c>
      <c r="BM204" s="49">
        <v>316.91000000000003</v>
      </c>
      <c r="BN204" s="49">
        <v>322.05</v>
      </c>
      <c r="BO204" s="49">
        <v>327.19</v>
      </c>
      <c r="BP204" s="49">
        <v>332.33</v>
      </c>
      <c r="BQ204" s="49">
        <v>337.47</v>
      </c>
      <c r="BR204" s="145">
        <v>342.61</v>
      </c>
      <c r="BS204" s="145">
        <v>347.75</v>
      </c>
      <c r="BT204" s="145">
        <v>352.89</v>
      </c>
      <c r="BU204" s="145">
        <v>358.03</v>
      </c>
      <c r="BV204" s="144">
        <v>363.17</v>
      </c>
      <c r="BW204" s="5">
        <v>209.61</v>
      </c>
      <c r="BX204" s="5">
        <v>204.47</v>
      </c>
      <c r="BY204" s="5">
        <v>199.33</v>
      </c>
      <c r="BZ204" s="5">
        <v>194.19</v>
      </c>
    </row>
    <row r="205" spans="1:78" ht="21.75" thickBot="1" x14ac:dyDescent="0.5">
      <c r="B205" s="16">
        <v>2.14</v>
      </c>
      <c r="C205" s="84">
        <v>2.99</v>
      </c>
      <c r="D205" s="16">
        <v>2.1800000000000002</v>
      </c>
      <c r="E205" s="84"/>
      <c r="F205" s="16">
        <v>2.21</v>
      </c>
      <c r="G205" s="90"/>
      <c r="H205" s="52">
        <v>2.25</v>
      </c>
      <c r="I205" s="96">
        <v>3.15</v>
      </c>
      <c r="J205" s="18">
        <v>2.29</v>
      </c>
      <c r="K205" s="102">
        <v>3.2</v>
      </c>
      <c r="L205" s="18">
        <v>2.3199999999999998</v>
      </c>
      <c r="M205" s="102">
        <v>3.25</v>
      </c>
      <c r="N205" s="70">
        <v>2.36</v>
      </c>
      <c r="O205" s="108">
        <v>3.3</v>
      </c>
      <c r="P205" s="52">
        <v>2.39</v>
      </c>
      <c r="Q205" s="96">
        <v>3.35</v>
      </c>
      <c r="R205" s="52">
        <v>2.4300000000000002</v>
      </c>
      <c r="S205" s="114">
        <v>3.4</v>
      </c>
      <c r="T205" s="53">
        <v>2.46</v>
      </c>
      <c r="U205" s="114">
        <v>3.45</v>
      </c>
      <c r="V205" s="52">
        <v>2.5</v>
      </c>
      <c r="W205" s="96">
        <v>3.5</v>
      </c>
      <c r="X205" s="52">
        <v>2.54</v>
      </c>
      <c r="Y205" s="127"/>
      <c r="Z205" s="52">
        <v>2.58</v>
      </c>
      <c r="AA205" s="127"/>
      <c r="AB205" s="52">
        <v>2.61</v>
      </c>
      <c r="AC205" s="135"/>
      <c r="AD205" s="52">
        <v>2.65</v>
      </c>
      <c r="AE205" s="135"/>
      <c r="AF205" s="52">
        <v>2.69</v>
      </c>
      <c r="AG205" s="135"/>
      <c r="AH205" s="135">
        <v>2.72</v>
      </c>
      <c r="AI205" s="135"/>
      <c r="AJ205" s="135">
        <v>2.76</v>
      </c>
      <c r="AK205" s="135"/>
      <c r="AL205" s="135">
        <v>2.79</v>
      </c>
      <c r="AM205" s="146"/>
      <c r="AN205" s="147">
        <v>2.83</v>
      </c>
      <c r="AO205" s="148"/>
      <c r="AP205" s="54">
        <v>2.86</v>
      </c>
      <c r="AQ205" s="58"/>
      <c r="AR205" s="55">
        <v>1.63</v>
      </c>
      <c r="AS205" s="55">
        <v>1.6</v>
      </c>
      <c r="AT205" s="55">
        <v>1.56</v>
      </c>
      <c r="AU205" s="54">
        <v>1.52</v>
      </c>
      <c r="AV205" s="54"/>
      <c r="AW205" s="16">
        <v>1.17</v>
      </c>
      <c r="AX205" s="16">
        <v>1.2</v>
      </c>
      <c r="AY205" s="16">
        <v>1.22</v>
      </c>
      <c r="AZ205" s="16">
        <v>1.25</v>
      </c>
      <c r="BA205" s="16">
        <v>1.28</v>
      </c>
      <c r="BB205" s="16">
        <v>1.3</v>
      </c>
      <c r="BC205" s="16">
        <v>1.33</v>
      </c>
      <c r="BD205" s="16">
        <v>1.35</v>
      </c>
      <c r="BE205" s="18">
        <v>1.38</v>
      </c>
      <c r="BF205" s="18">
        <v>1.41</v>
      </c>
      <c r="BG205" s="18">
        <v>1.43</v>
      </c>
      <c r="BH205" s="64">
        <v>1.46</v>
      </c>
      <c r="BI205" s="52">
        <v>1.48</v>
      </c>
      <c r="BJ205" s="52">
        <v>1.51</v>
      </c>
      <c r="BK205" s="53">
        <v>1.54</v>
      </c>
      <c r="BL205" s="56">
        <v>1.56</v>
      </c>
      <c r="BM205" s="57">
        <v>1.59</v>
      </c>
      <c r="BN205" s="57">
        <v>1.61</v>
      </c>
      <c r="BO205" s="57">
        <v>1.64</v>
      </c>
      <c r="BP205" s="57">
        <v>1.66</v>
      </c>
      <c r="BQ205" s="57">
        <v>1.69</v>
      </c>
      <c r="BR205" s="151">
        <v>1.71</v>
      </c>
      <c r="BS205" s="151">
        <v>1.74</v>
      </c>
      <c r="BT205" s="151">
        <v>1.76</v>
      </c>
      <c r="BU205" s="152">
        <v>1.79</v>
      </c>
      <c r="BV205" s="153">
        <v>1.81</v>
      </c>
      <c r="BW205" s="58">
        <v>1.05</v>
      </c>
      <c r="BX205" s="58">
        <v>1.02</v>
      </c>
      <c r="BY205" s="58">
        <v>1</v>
      </c>
      <c r="BZ205" s="54">
        <v>0.97</v>
      </c>
    </row>
    <row r="206" spans="1:78" x14ac:dyDescent="0.45"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122"/>
      <c r="Z206" s="3"/>
      <c r="AA206" s="122"/>
      <c r="AB206" s="3"/>
      <c r="AC206" s="130"/>
      <c r="AD206" s="3"/>
      <c r="AE206" s="130"/>
      <c r="AF206" s="3"/>
      <c r="AG206" s="130"/>
      <c r="AH206" s="130"/>
      <c r="AI206" s="130"/>
      <c r="AJ206" s="130"/>
      <c r="AK206" s="130"/>
      <c r="AL206" s="130"/>
      <c r="AM206" s="130"/>
      <c r="AN206" s="130"/>
      <c r="AO206" s="130"/>
      <c r="AP206" s="3"/>
      <c r="AQ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V206" s="130"/>
      <c r="BW206" s="3"/>
      <c r="BX206" s="3"/>
      <c r="BY206" s="3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BreakPreview" topLeftCell="A8" zoomScaleNormal="70" zoomScaleSheetLayoutView="100" workbookViewId="0">
      <selection activeCell="A22" sqref="A22:IV22"/>
    </sheetView>
  </sheetViews>
  <sheetFormatPr defaultRowHeight="26.25" x14ac:dyDescent="0.55000000000000004"/>
  <cols>
    <col min="1" max="1" width="9.140625" style="1043"/>
    <col min="2" max="2" width="56" style="1043" customWidth="1"/>
    <col min="3" max="4" width="13.5703125" style="1043" customWidth="1"/>
    <col min="5" max="5" width="19.7109375" style="1043" customWidth="1"/>
    <col min="6" max="6" width="18.28515625" style="1043" customWidth="1"/>
    <col min="7" max="7" width="19.28515625" style="1043" customWidth="1"/>
    <col min="8" max="8" width="20.85546875" style="1043" customWidth="1"/>
    <col min="9" max="9" width="20" style="1043" customWidth="1"/>
    <col min="10" max="10" width="22.85546875" style="1043" customWidth="1"/>
    <col min="11" max="257" width="9.140625" style="983"/>
    <col min="258" max="258" width="56" style="983" customWidth="1"/>
    <col min="259" max="260" width="13.5703125" style="983" customWidth="1"/>
    <col min="261" max="261" width="19.7109375" style="983" customWidth="1"/>
    <col min="262" max="262" width="18.28515625" style="983" customWidth="1"/>
    <col min="263" max="263" width="19.28515625" style="983" customWidth="1"/>
    <col min="264" max="264" width="20.85546875" style="983" customWidth="1"/>
    <col min="265" max="265" width="20" style="983" customWidth="1"/>
    <col min="266" max="266" width="22.85546875" style="983" customWidth="1"/>
    <col min="267" max="513" width="9.140625" style="983"/>
    <col min="514" max="514" width="56" style="983" customWidth="1"/>
    <col min="515" max="516" width="13.5703125" style="983" customWidth="1"/>
    <col min="517" max="517" width="19.7109375" style="983" customWidth="1"/>
    <col min="518" max="518" width="18.28515625" style="983" customWidth="1"/>
    <col min="519" max="519" width="19.28515625" style="983" customWidth="1"/>
    <col min="520" max="520" width="20.85546875" style="983" customWidth="1"/>
    <col min="521" max="521" width="20" style="983" customWidth="1"/>
    <col min="522" max="522" width="22.85546875" style="983" customWidth="1"/>
    <col min="523" max="769" width="9.140625" style="983"/>
    <col min="770" max="770" width="56" style="983" customWidth="1"/>
    <col min="771" max="772" width="13.5703125" style="983" customWidth="1"/>
    <col min="773" max="773" width="19.7109375" style="983" customWidth="1"/>
    <col min="774" max="774" width="18.28515625" style="983" customWidth="1"/>
    <col min="775" max="775" width="19.28515625" style="983" customWidth="1"/>
    <col min="776" max="776" width="20.85546875" style="983" customWidth="1"/>
    <col min="777" max="777" width="20" style="983" customWidth="1"/>
    <col min="778" max="778" width="22.85546875" style="983" customWidth="1"/>
    <col min="779" max="1025" width="9.140625" style="983"/>
    <col min="1026" max="1026" width="56" style="983" customWidth="1"/>
    <col min="1027" max="1028" width="13.5703125" style="983" customWidth="1"/>
    <col min="1029" max="1029" width="19.7109375" style="983" customWidth="1"/>
    <col min="1030" max="1030" width="18.28515625" style="983" customWidth="1"/>
    <col min="1031" max="1031" width="19.28515625" style="983" customWidth="1"/>
    <col min="1032" max="1032" width="20.85546875" style="983" customWidth="1"/>
    <col min="1033" max="1033" width="20" style="983" customWidth="1"/>
    <col min="1034" max="1034" width="22.85546875" style="983" customWidth="1"/>
    <col min="1035" max="1281" width="9.140625" style="983"/>
    <col min="1282" max="1282" width="56" style="983" customWidth="1"/>
    <col min="1283" max="1284" width="13.5703125" style="983" customWidth="1"/>
    <col min="1285" max="1285" width="19.7109375" style="983" customWidth="1"/>
    <col min="1286" max="1286" width="18.28515625" style="983" customWidth="1"/>
    <col min="1287" max="1287" width="19.28515625" style="983" customWidth="1"/>
    <col min="1288" max="1288" width="20.85546875" style="983" customWidth="1"/>
    <col min="1289" max="1289" width="20" style="983" customWidth="1"/>
    <col min="1290" max="1290" width="22.85546875" style="983" customWidth="1"/>
    <col min="1291" max="1537" width="9.140625" style="983"/>
    <col min="1538" max="1538" width="56" style="983" customWidth="1"/>
    <col min="1539" max="1540" width="13.5703125" style="983" customWidth="1"/>
    <col min="1541" max="1541" width="19.7109375" style="983" customWidth="1"/>
    <col min="1542" max="1542" width="18.28515625" style="983" customWidth="1"/>
    <col min="1543" max="1543" width="19.28515625" style="983" customWidth="1"/>
    <col min="1544" max="1544" width="20.85546875" style="983" customWidth="1"/>
    <col min="1545" max="1545" width="20" style="983" customWidth="1"/>
    <col min="1546" max="1546" width="22.85546875" style="983" customWidth="1"/>
    <col min="1547" max="1793" width="9.140625" style="983"/>
    <col min="1794" max="1794" width="56" style="983" customWidth="1"/>
    <col min="1795" max="1796" width="13.5703125" style="983" customWidth="1"/>
    <col min="1797" max="1797" width="19.7109375" style="983" customWidth="1"/>
    <col min="1798" max="1798" width="18.28515625" style="983" customWidth="1"/>
    <col min="1799" max="1799" width="19.28515625" style="983" customWidth="1"/>
    <col min="1800" max="1800" width="20.85546875" style="983" customWidth="1"/>
    <col min="1801" max="1801" width="20" style="983" customWidth="1"/>
    <col min="1802" max="1802" width="22.85546875" style="983" customWidth="1"/>
    <col min="1803" max="2049" width="9.140625" style="983"/>
    <col min="2050" max="2050" width="56" style="983" customWidth="1"/>
    <col min="2051" max="2052" width="13.5703125" style="983" customWidth="1"/>
    <col min="2053" max="2053" width="19.7109375" style="983" customWidth="1"/>
    <col min="2054" max="2054" width="18.28515625" style="983" customWidth="1"/>
    <col min="2055" max="2055" width="19.28515625" style="983" customWidth="1"/>
    <col min="2056" max="2056" width="20.85546875" style="983" customWidth="1"/>
    <col min="2057" max="2057" width="20" style="983" customWidth="1"/>
    <col min="2058" max="2058" width="22.85546875" style="983" customWidth="1"/>
    <col min="2059" max="2305" width="9.140625" style="983"/>
    <col min="2306" max="2306" width="56" style="983" customWidth="1"/>
    <col min="2307" max="2308" width="13.5703125" style="983" customWidth="1"/>
    <col min="2309" max="2309" width="19.7109375" style="983" customWidth="1"/>
    <col min="2310" max="2310" width="18.28515625" style="983" customWidth="1"/>
    <col min="2311" max="2311" width="19.28515625" style="983" customWidth="1"/>
    <col min="2312" max="2312" width="20.85546875" style="983" customWidth="1"/>
    <col min="2313" max="2313" width="20" style="983" customWidth="1"/>
    <col min="2314" max="2314" width="22.85546875" style="983" customWidth="1"/>
    <col min="2315" max="2561" width="9.140625" style="983"/>
    <col min="2562" max="2562" width="56" style="983" customWidth="1"/>
    <col min="2563" max="2564" width="13.5703125" style="983" customWidth="1"/>
    <col min="2565" max="2565" width="19.7109375" style="983" customWidth="1"/>
    <col min="2566" max="2566" width="18.28515625" style="983" customWidth="1"/>
    <col min="2567" max="2567" width="19.28515625" style="983" customWidth="1"/>
    <col min="2568" max="2568" width="20.85546875" style="983" customWidth="1"/>
    <col min="2569" max="2569" width="20" style="983" customWidth="1"/>
    <col min="2570" max="2570" width="22.85546875" style="983" customWidth="1"/>
    <col min="2571" max="2817" width="9.140625" style="983"/>
    <col min="2818" max="2818" width="56" style="983" customWidth="1"/>
    <col min="2819" max="2820" width="13.5703125" style="983" customWidth="1"/>
    <col min="2821" max="2821" width="19.7109375" style="983" customWidth="1"/>
    <col min="2822" max="2822" width="18.28515625" style="983" customWidth="1"/>
    <col min="2823" max="2823" width="19.28515625" style="983" customWidth="1"/>
    <col min="2824" max="2824" width="20.85546875" style="983" customWidth="1"/>
    <col min="2825" max="2825" width="20" style="983" customWidth="1"/>
    <col min="2826" max="2826" width="22.85546875" style="983" customWidth="1"/>
    <col min="2827" max="3073" width="9.140625" style="983"/>
    <col min="3074" max="3074" width="56" style="983" customWidth="1"/>
    <col min="3075" max="3076" width="13.5703125" style="983" customWidth="1"/>
    <col min="3077" max="3077" width="19.7109375" style="983" customWidth="1"/>
    <col min="3078" max="3078" width="18.28515625" style="983" customWidth="1"/>
    <col min="3079" max="3079" width="19.28515625" style="983" customWidth="1"/>
    <col min="3080" max="3080" width="20.85546875" style="983" customWidth="1"/>
    <col min="3081" max="3081" width="20" style="983" customWidth="1"/>
    <col min="3082" max="3082" width="22.85546875" style="983" customWidth="1"/>
    <col min="3083" max="3329" width="9.140625" style="983"/>
    <col min="3330" max="3330" width="56" style="983" customWidth="1"/>
    <col min="3331" max="3332" width="13.5703125" style="983" customWidth="1"/>
    <col min="3333" max="3333" width="19.7109375" style="983" customWidth="1"/>
    <col min="3334" max="3334" width="18.28515625" style="983" customWidth="1"/>
    <col min="3335" max="3335" width="19.28515625" style="983" customWidth="1"/>
    <col min="3336" max="3336" width="20.85546875" style="983" customWidth="1"/>
    <col min="3337" max="3337" width="20" style="983" customWidth="1"/>
    <col min="3338" max="3338" width="22.85546875" style="983" customWidth="1"/>
    <col min="3339" max="3585" width="9.140625" style="983"/>
    <col min="3586" max="3586" width="56" style="983" customWidth="1"/>
    <col min="3587" max="3588" width="13.5703125" style="983" customWidth="1"/>
    <col min="3589" max="3589" width="19.7109375" style="983" customWidth="1"/>
    <col min="3590" max="3590" width="18.28515625" style="983" customWidth="1"/>
    <col min="3591" max="3591" width="19.28515625" style="983" customWidth="1"/>
    <col min="3592" max="3592" width="20.85546875" style="983" customWidth="1"/>
    <col min="3593" max="3593" width="20" style="983" customWidth="1"/>
    <col min="3594" max="3594" width="22.85546875" style="983" customWidth="1"/>
    <col min="3595" max="3841" width="9.140625" style="983"/>
    <col min="3842" max="3842" width="56" style="983" customWidth="1"/>
    <col min="3843" max="3844" width="13.5703125" style="983" customWidth="1"/>
    <col min="3845" max="3845" width="19.7109375" style="983" customWidth="1"/>
    <col min="3846" max="3846" width="18.28515625" style="983" customWidth="1"/>
    <col min="3847" max="3847" width="19.28515625" style="983" customWidth="1"/>
    <col min="3848" max="3848" width="20.85546875" style="983" customWidth="1"/>
    <col min="3849" max="3849" width="20" style="983" customWidth="1"/>
    <col min="3850" max="3850" width="22.85546875" style="983" customWidth="1"/>
    <col min="3851" max="4097" width="9.140625" style="983"/>
    <col min="4098" max="4098" width="56" style="983" customWidth="1"/>
    <col min="4099" max="4100" width="13.5703125" style="983" customWidth="1"/>
    <col min="4101" max="4101" width="19.7109375" style="983" customWidth="1"/>
    <col min="4102" max="4102" width="18.28515625" style="983" customWidth="1"/>
    <col min="4103" max="4103" width="19.28515625" style="983" customWidth="1"/>
    <col min="4104" max="4104" width="20.85546875" style="983" customWidth="1"/>
    <col min="4105" max="4105" width="20" style="983" customWidth="1"/>
    <col min="4106" max="4106" width="22.85546875" style="983" customWidth="1"/>
    <col min="4107" max="4353" width="9.140625" style="983"/>
    <col min="4354" max="4354" width="56" style="983" customWidth="1"/>
    <col min="4355" max="4356" width="13.5703125" style="983" customWidth="1"/>
    <col min="4357" max="4357" width="19.7109375" style="983" customWidth="1"/>
    <col min="4358" max="4358" width="18.28515625" style="983" customWidth="1"/>
    <col min="4359" max="4359" width="19.28515625" style="983" customWidth="1"/>
    <col min="4360" max="4360" width="20.85546875" style="983" customWidth="1"/>
    <col min="4361" max="4361" width="20" style="983" customWidth="1"/>
    <col min="4362" max="4362" width="22.85546875" style="983" customWidth="1"/>
    <col min="4363" max="4609" width="9.140625" style="983"/>
    <col min="4610" max="4610" width="56" style="983" customWidth="1"/>
    <col min="4611" max="4612" width="13.5703125" style="983" customWidth="1"/>
    <col min="4613" max="4613" width="19.7109375" style="983" customWidth="1"/>
    <col min="4614" max="4614" width="18.28515625" style="983" customWidth="1"/>
    <col min="4615" max="4615" width="19.28515625" style="983" customWidth="1"/>
    <col min="4616" max="4616" width="20.85546875" style="983" customWidth="1"/>
    <col min="4617" max="4617" width="20" style="983" customWidth="1"/>
    <col min="4618" max="4618" width="22.85546875" style="983" customWidth="1"/>
    <col min="4619" max="4865" width="9.140625" style="983"/>
    <col min="4866" max="4866" width="56" style="983" customWidth="1"/>
    <col min="4867" max="4868" width="13.5703125" style="983" customWidth="1"/>
    <col min="4869" max="4869" width="19.7109375" style="983" customWidth="1"/>
    <col min="4870" max="4870" width="18.28515625" style="983" customWidth="1"/>
    <col min="4871" max="4871" width="19.28515625" style="983" customWidth="1"/>
    <col min="4872" max="4872" width="20.85546875" style="983" customWidth="1"/>
    <col min="4873" max="4873" width="20" style="983" customWidth="1"/>
    <col min="4874" max="4874" width="22.85546875" style="983" customWidth="1"/>
    <col min="4875" max="5121" width="9.140625" style="983"/>
    <col min="5122" max="5122" width="56" style="983" customWidth="1"/>
    <col min="5123" max="5124" width="13.5703125" style="983" customWidth="1"/>
    <col min="5125" max="5125" width="19.7109375" style="983" customWidth="1"/>
    <col min="5126" max="5126" width="18.28515625" style="983" customWidth="1"/>
    <col min="5127" max="5127" width="19.28515625" style="983" customWidth="1"/>
    <col min="5128" max="5128" width="20.85546875" style="983" customWidth="1"/>
    <col min="5129" max="5129" width="20" style="983" customWidth="1"/>
    <col min="5130" max="5130" width="22.85546875" style="983" customWidth="1"/>
    <col min="5131" max="5377" width="9.140625" style="983"/>
    <col min="5378" max="5378" width="56" style="983" customWidth="1"/>
    <col min="5379" max="5380" width="13.5703125" style="983" customWidth="1"/>
    <col min="5381" max="5381" width="19.7109375" style="983" customWidth="1"/>
    <col min="5382" max="5382" width="18.28515625" style="983" customWidth="1"/>
    <col min="5383" max="5383" width="19.28515625" style="983" customWidth="1"/>
    <col min="5384" max="5384" width="20.85546875" style="983" customWidth="1"/>
    <col min="5385" max="5385" width="20" style="983" customWidth="1"/>
    <col min="5386" max="5386" width="22.85546875" style="983" customWidth="1"/>
    <col min="5387" max="5633" width="9.140625" style="983"/>
    <col min="5634" max="5634" width="56" style="983" customWidth="1"/>
    <col min="5635" max="5636" width="13.5703125" style="983" customWidth="1"/>
    <col min="5637" max="5637" width="19.7109375" style="983" customWidth="1"/>
    <col min="5638" max="5638" width="18.28515625" style="983" customWidth="1"/>
    <col min="5639" max="5639" width="19.28515625" style="983" customWidth="1"/>
    <col min="5640" max="5640" width="20.85546875" style="983" customWidth="1"/>
    <col min="5641" max="5641" width="20" style="983" customWidth="1"/>
    <col min="5642" max="5642" width="22.85546875" style="983" customWidth="1"/>
    <col min="5643" max="5889" width="9.140625" style="983"/>
    <col min="5890" max="5890" width="56" style="983" customWidth="1"/>
    <col min="5891" max="5892" width="13.5703125" style="983" customWidth="1"/>
    <col min="5893" max="5893" width="19.7109375" style="983" customWidth="1"/>
    <col min="5894" max="5894" width="18.28515625" style="983" customWidth="1"/>
    <col min="5895" max="5895" width="19.28515625" style="983" customWidth="1"/>
    <col min="5896" max="5896" width="20.85546875" style="983" customWidth="1"/>
    <col min="5897" max="5897" width="20" style="983" customWidth="1"/>
    <col min="5898" max="5898" width="22.85546875" style="983" customWidth="1"/>
    <col min="5899" max="6145" width="9.140625" style="983"/>
    <col min="6146" max="6146" width="56" style="983" customWidth="1"/>
    <col min="6147" max="6148" width="13.5703125" style="983" customWidth="1"/>
    <col min="6149" max="6149" width="19.7109375" style="983" customWidth="1"/>
    <col min="6150" max="6150" width="18.28515625" style="983" customWidth="1"/>
    <col min="6151" max="6151" width="19.28515625" style="983" customWidth="1"/>
    <col min="6152" max="6152" width="20.85546875" style="983" customWidth="1"/>
    <col min="6153" max="6153" width="20" style="983" customWidth="1"/>
    <col min="6154" max="6154" width="22.85546875" style="983" customWidth="1"/>
    <col min="6155" max="6401" width="9.140625" style="983"/>
    <col min="6402" max="6402" width="56" style="983" customWidth="1"/>
    <col min="6403" max="6404" width="13.5703125" style="983" customWidth="1"/>
    <col min="6405" max="6405" width="19.7109375" style="983" customWidth="1"/>
    <col min="6406" max="6406" width="18.28515625" style="983" customWidth="1"/>
    <col min="6407" max="6407" width="19.28515625" style="983" customWidth="1"/>
    <col min="6408" max="6408" width="20.85546875" style="983" customWidth="1"/>
    <col min="6409" max="6409" width="20" style="983" customWidth="1"/>
    <col min="6410" max="6410" width="22.85546875" style="983" customWidth="1"/>
    <col min="6411" max="6657" width="9.140625" style="983"/>
    <col min="6658" max="6658" width="56" style="983" customWidth="1"/>
    <col min="6659" max="6660" width="13.5703125" style="983" customWidth="1"/>
    <col min="6661" max="6661" width="19.7109375" style="983" customWidth="1"/>
    <col min="6662" max="6662" width="18.28515625" style="983" customWidth="1"/>
    <col min="6663" max="6663" width="19.28515625" style="983" customWidth="1"/>
    <col min="6664" max="6664" width="20.85546875" style="983" customWidth="1"/>
    <col min="6665" max="6665" width="20" style="983" customWidth="1"/>
    <col min="6666" max="6666" width="22.85546875" style="983" customWidth="1"/>
    <col min="6667" max="6913" width="9.140625" style="983"/>
    <col min="6914" max="6914" width="56" style="983" customWidth="1"/>
    <col min="6915" max="6916" width="13.5703125" style="983" customWidth="1"/>
    <col min="6917" max="6917" width="19.7109375" style="983" customWidth="1"/>
    <col min="6918" max="6918" width="18.28515625" style="983" customWidth="1"/>
    <col min="6919" max="6919" width="19.28515625" style="983" customWidth="1"/>
    <col min="6920" max="6920" width="20.85546875" style="983" customWidth="1"/>
    <col min="6921" max="6921" width="20" style="983" customWidth="1"/>
    <col min="6922" max="6922" width="22.85546875" style="983" customWidth="1"/>
    <col min="6923" max="7169" width="9.140625" style="983"/>
    <col min="7170" max="7170" width="56" style="983" customWidth="1"/>
    <col min="7171" max="7172" width="13.5703125" style="983" customWidth="1"/>
    <col min="7173" max="7173" width="19.7109375" style="983" customWidth="1"/>
    <col min="7174" max="7174" width="18.28515625" style="983" customWidth="1"/>
    <col min="7175" max="7175" width="19.28515625" style="983" customWidth="1"/>
    <col min="7176" max="7176" width="20.85546875" style="983" customWidth="1"/>
    <col min="7177" max="7177" width="20" style="983" customWidth="1"/>
    <col min="7178" max="7178" width="22.85546875" style="983" customWidth="1"/>
    <col min="7179" max="7425" width="9.140625" style="983"/>
    <col min="7426" max="7426" width="56" style="983" customWidth="1"/>
    <col min="7427" max="7428" width="13.5703125" style="983" customWidth="1"/>
    <col min="7429" max="7429" width="19.7109375" style="983" customWidth="1"/>
    <col min="7430" max="7430" width="18.28515625" style="983" customWidth="1"/>
    <col min="7431" max="7431" width="19.28515625" style="983" customWidth="1"/>
    <col min="7432" max="7432" width="20.85546875" style="983" customWidth="1"/>
    <col min="7433" max="7433" width="20" style="983" customWidth="1"/>
    <col min="7434" max="7434" width="22.85546875" style="983" customWidth="1"/>
    <col min="7435" max="7681" width="9.140625" style="983"/>
    <col min="7682" max="7682" width="56" style="983" customWidth="1"/>
    <col min="7683" max="7684" width="13.5703125" style="983" customWidth="1"/>
    <col min="7685" max="7685" width="19.7109375" style="983" customWidth="1"/>
    <col min="7686" max="7686" width="18.28515625" style="983" customWidth="1"/>
    <col min="7687" max="7687" width="19.28515625" style="983" customWidth="1"/>
    <col min="7688" max="7688" width="20.85546875" style="983" customWidth="1"/>
    <col min="7689" max="7689" width="20" style="983" customWidth="1"/>
    <col min="7690" max="7690" width="22.85546875" style="983" customWidth="1"/>
    <col min="7691" max="7937" width="9.140625" style="983"/>
    <col min="7938" max="7938" width="56" style="983" customWidth="1"/>
    <col min="7939" max="7940" width="13.5703125" style="983" customWidth="1"/>
    <col min="7941" max="7941" width="19.7109375" style="983" customWidth="1"/>
    <col min="7942" max="7942" width="18.28515625" style="983" customWidth="1"/>
    <col min="7943" max="7943" width="19.28515625" style="983" customWidth="1"/>
    <col min="7944" max="7944" width="20.85546875" style="983" customWidth="1"/>
    <col min="7945" max="7945" width="20" style="983" customWidth="1"/>
    <col min="7946" max="7946" width="22.85546875" style="983" customWidth="1"/>
    <col min="7947" max="8193" width="9.140625" style="983"/>
    <col min="8194" max="8194" width="56" style="983" customWidth="1"/>
    <col min="8195" max="8196" width="13.5703125" style="983" customWidth="1"/>
    <col min="8197" max="8197" width="19.7109375" style="983" customWidth="1"/>
    <col min="8198" max="8198" width="18.28515625" style="983" customWidth="1"/>
    <col min="8199" max="8199" width="19.28515625" style="983" customWidth="1"/>
    <col min="8200" max="8200" width="20.85546875" style="983" customWidth="1"/>
    <col min="8201" max="8201" width="20" style="983" customWidth="1"/>
    <col min="8202" max="8202" width="22.85546875" style="983" customWidth="1"/>
    <col min="8203" max="8449" width="9.140625" style="983"/>
    <col min="8450" max="8450" width="56" style="983" customWidth="1"/>
    <col min="8451" max="8452" width="13.5703125" style="983" customWidth="1"/>
    <col min="8453" max="8453" width="19.7109375" style="983" customWidth="1"/>
    <col min="8454" max="8454" width="18.28515625" style="983" customWidth="1"/>
    <col min="8455" max="8455" width="19.28515625" style="983" customWidth="1"/>
    <col min="8456" max="8456" width="20.85546875" style="983" customWidth="1"/>
    <col min="8457" max="8457" width="20" style="983" customWidth="1"/>
    <col min="8458" max="8458" width="22.85546875" style="983" customWidth="1"/>
    <col min="8459" max="8705" width="9.140625" style="983"/>
    <col min="8706" max="8706" width="56" style="983" customWidth="1"/>
    <col min="8707" max="8708" width="13.5703125" style="983" customWidth="1"/>
    <col min="8709" max="8709" width="19.7109375" style="983" customWidth="1"/>
    <col min="8710" max="8710" width="18.28515625" style="983" customWidth="1"/>
    <col min="8711" max="8711" width="19.28515625" style="983" customWidth="1"/>
    <col min="8712" max="8712" width="20.85546875" style="983" customWidth="1"/>
    <col min="8713" max="8713" width="20" style="983" customWidth="1"/>
    <col min="8714" max="8714" width="22.85546875" style="983" customWidth="1"/>
    <col min="8715" max="8961" width="9.140625" style="983"/>
    <col min="8962" max="8962" width="56" style="983" customWidth="1"/>
    <col min="8963" max="8964" width="13.5703125" style="983" customWidth="1"/>
    <col min="8965" max="8965" width="19.7109375" style="983" customWidth="1"/>
    <col min="8966" max="8966" width="18.28515625" style="983" customWidth="1"/>
    <col min="8967" max="8967" width="19.28515625" style="983" customWidth="1"/>
    <col min="8968" max="8968" width="20.85546875" style="983" customWidth="1"/>
    <col min="8969" max="8969" width="20" style="983" customWidth="1"/>
    <col min="8970" max="8970" width="22.85546875" style="983" customWidth="1"/>
    <col min="8971" max="9217" width="9.140625" style="983"/>
    <col min="9218" max="9218" width="56" style="983" customWidth="1"/>
    <col min="9219" max="9220" width="13.5703125" style="983" customWidth="1"/>
    <col min="9221" max="9221" width="19.7109375" style="983" customWidth="1"/>
    <col min="9222" max="9222" width="18.28515625" style="983" customWidth="1"/>
    <col min="9223" max="9223" width="19.28515625" style="983" customWidth="1"/>
    <col min="9224" max="9224" width="20.85546875" style="983" customWidth="1"/>
    <col min="9225" max="9225" width="20" style="983" customWidth="1"/>
    <col min="9226" max="9226" width="22.85546875" style="983" customWidth="1"/>
    <col min="9227" max="9473" width="9.140625" style="983"/>
    <col min="9474" max="9474" width="56" style="983" customWidth="1"/>
    <col min="9475" max="9476" width="13.5703125" style="983" customWidth="1"/>
    <col min="9477" max="9477" width="19.7109375" style="983" customWidth="1"/>
    <col min="9478" max="9478" width="18.28515625" style="983" customWidth="1"/>
    <col min="9479" max="9479" width="19.28515625" style="983" customWidth="1"/>
    <col min="9480" max="9480" width="20.85546875" style="983" customWidth="1"/>
    <col min="9481" max="9481" width="20" style="983" customWidth="1"/>
    <col min="9482" max="9482" width="22.85546875" style="983" customWidth="1"/>
    <col min="9483" max="9729" width="9.140625" style="983"/>
    <col min="9730" max="9730" width="56" style="983" customWidth="1"/>
    <col min="9731" max="9732" width="13.5703125" style="983" customWidth="1"/>
    <col min="9733" max="9733" width="19.7109375" style="983" customWidth="1"/>
    <col min="9734" max="9734" width="18.28515625" style="983" customWidth="1"/>
    <col min="9735" max="9735" width="19.28515625" style="983" customWidth="1"/>
    <col min="9736" max="9736" width="20.85546875" style="983" customWidth="1"/>
    <col min="9737" max="9737" width="20" style="983" customWidth="1"/>
    <col min="9738" max="9738" width="22.85546875" style="983" customWidth="1"/>
    <col min="9739" max="9985" width="9.140625" style="983"/>
    <col min="9986" max="9986" width="56" style="983" customWidth="1"/>
    <col min="9987" max="9988" width="13.5703125" style="983" customWidth="1"/>
    <col min="9989" max="9989" width="19.7109375" style="983" customWidth="1"/>
    <col min="9990" max="9990" width="18.28515625" style="983" customWidth="1"/>
    <col min="9991" max="9991" width="19.28515625" style="983" customWidth="1"/>
    <col min="9992" max="9992" width="20.85546875" style="983" customWidth="1"/>
    <col min="9993" max="9993" width="20" style="983" customWidth="1"/>
    <col min="9994" max="9994" width="22.85546875" style="983" customWidth="1"/>
    <col min="9995" max="10241" width="9.140625" style="983"/>
    <col min="10242" max="10242" width="56" style="983" customWidth="1"/>
    <col min="10243" max="10244" width="13.5703125" style="983" customWidth="1"/>
    <col min="10245" max="10245" width="19.7109375" style="983" customWidth="1"/>
    <col min="10246" max="10246" width="18.28515625" style="983" customWidth="1"/>
    <col min="10247" max="10247" width="19.28515625" style="983" customWidth="1"/>
    <col min="10248" max="10248" width="20.85546875" style="983" customWidth="1"/>
    <col min="10249" max="10249" width="20" style="983" customWidth="1"/>
    <col min="10250" max="10250" width="22.85546875" style="983" customWidth="1"/>
    <col min="10251" max="10497" width="9.140625" style="983"/>
    <col min="10498" max="10498" width="56" style="983" customWidth="1"/>
    <col min="10499" max="10500" width="13.5703125" style="983" customWidth="1"/>
    <col min="10501" max="10501" width="19.7109375" style="983" customWidth="1"/>
    <col min="10502" max="10502" width="18.28515625" style="983" customWidth="1"/>
    <col min="10503" max="10503" width="19.28515625" style="983" customWidth="1"/>
    <col min="10504" max="10504" width="20.85546875" style="983" customWidth="1"/>
    <col min="10505" max="10505" width="20" style="983" customWidth="1"/>
    <col min="10506" max="10506" width="22.85546875" style="983" customWidth="1"/>
    <col min="10507" max="10753" width="9.140625" style="983"/>
    <col min="10754" max="10754" width="56" style="983" customWidth="1"/>
    <col min="10755" max="10756" width="13.5703125" style="983" customWidth="1"/>
    <col min="10757" max="10757" width="19.7109375" style="983" customWidth="1"/>
    <col min="10758" max="10758" width="18.28515625" style="983" customWidth="1"/>
    <col min="10759" max="10759" width="19.28515625" style="983" customWidth="1"/>
    <col min="10760" max="10760" width="20.85546875" style="983" customWidth="1"/>
    <col min="10761" max="10761" width="20" style="983" customWidth="1"/>
    <col min="10762" max="10762" width="22.85546875" style="983" customWidth="1"/>
    <col min="10763" max="11009" width="9.140625" style="983"/>
    <col min="11010" max="11010" width="56" style="983" customWidth="1"/>
    <col min="11011" max="11012" width="13.5703125" style="983" customWidth="1"/>
    <col min="11013" max="11013" width="19.7109375" style="983" customWidth="1"/>
    <col min="11014" max="11014" width="18.28515625" style="983" customWidth="1"/>
    <col min="11015" max="11015" width="19.28515625" style="983" customWidth="1"/>
    <col min="11016" max="11016" width="20.85546875" style="983" customWidth="1"/>
    <col min="11017" max="11017" width="20" style="983" customWidth="1"/>
    <col min="11018" max="11018" width="22.85546875" style="983" customWidth="1"/>
    <col min="11019" max="11265" width="9.140625" style="983"/>
    <col min="11266" max="11266" width="56" style="983" customWidth="1"/>
    <col min="11267" max="11268" width="13.5703125" style="983" customWidth="1"/>
    <col min="11269" max="11269" width="19.7109375" style="983" customWidth="1"/>
    <col min="11270" max="11270" width="18.28515625" style="983" customWidth="1"/>
    <col min="11271" max="11271" width="19.28515625" style="983" customWidth="1"/>
    <col min="11272" max="11272" width="20.85546875" style="983" customWidth="1"/>
    <col min="11273" max="11273" width="20" style="983" customWidth="1"/>
    <col min="11274" max="11274" width="22.85546875" style="983" customWidth="1"/>
    <col min="11275" max="11521" width="9.140625" style="983"/>
    <col min="11522" max="11522" width="56" style="983" customWidth="1"/>
    <col min="11523" max="11524" width="13.5703125" style="983" customWidth="1"/>
    <col min="11525" max="11525" width="19.7109375" style="983" customWidth="1"/>
    <col min="11526" max="11526" width="18.28515625" style="983" customWidth="1"/>
    <col min="11527" max="11527" width="19.28515625" style="983" customWidth="1"/>
    <col min="11528" max="11528" width="20.85546875" style="983" customWidth="1"/>
    <col min="11529" max="11529" width="20" style="983" customWidth="1"/>
    <col min="11530" max="11530" width="22.85546875" style="983" customWidth="1"/>
    <col min="11531" max="11777" width="9.140625" style="983"/>
    <col min="11778" max="11778" width="56" style="983" customWidth="1"/>
    <col min="11779" max="11780" width="13.5703125" style="983" customWidth="1"/>
    <col min="11781" max="11781" width="19.7109375" style="983" customWidth="1"/>
    <col min="11782" max="11782" width="18.28515625" style="983" customWidth="1"/>
    <col min="11783" max="11783" width="19.28515625" style="983" customWidth="1"/>
    <col min="11784" max="11784" width="20.85546875" style="983" customWidth="1"/>
    <col min="11785" max="11785" width="20" style="983" customWidth="1"/>
    <col min="11786" max="11786" width="22.85546875" style="983" customWidth="1"/>
    <col min="11787" max="12033" width="9.140625" style="983"/>
    <col min="12034" max="12034" width="56" style="983" customWidth="1"/>
    <col min="12035" max="12036" width="13.5703125" style="983" customWidth="1"/>
    <col min="12037" max="12037" width="19.7109375" style="983" customWidth="1"/>
    <col min="12038" max="12038" width="18.28515625" style="983" customWidth="1"/>
    <col min="12039" max="12039" width="19.28515625" style="983" customWidth="1"/>
    <col min="12040" max="12040" width="20.85546875" style="983" customWidth="1"/>
    <col min="12041" max="12041" width="20" style="983" customWidth="1"/>
    <col min="12042" max="12042" width="22.85546875" style="983" customWidth="1"/>
    <col min="12043" max="12289" width="9.140625" style="983"/>
    <col min="12290" max="12290" width="56" style="983" customWidth="1"/>
    <col min="12291" max="12292" width="13.5703125" style="983" customWidth="1"/>
    <col min="12293" max="12293" width="19.7109375" style="983" customWidth="1"/>
    <col min="12294" max="12294" width="18.28515625" style="983" customWidth="1"/>
    <col min="12295" max="12295" width="19.28515625" style="983" customWidth="1"/>
    <col min="12296" max="12296" width="20.85546875" style="983" customWidth="1"/>
    <col min="12297" max="12297" width="20" style="983" customWidth="1"/>
    <col min="12298" max="12298" width="22.85546875" style="983" customWidth="1"/>
    <col min="12299" max="12545" width="9.140625" style="983"/>
    <col min="12546" max="12546" width="56" style="983" customWidth="1"/>
    <col min="12547" max="12548" width="13.5703125" style="983" customWidth="1"/>
    <col min="12549" max="12549" width="19.7109375" style="983" customWidth="1"/>
    <col min="12550" max="12550" width="18.28515625" style="983" customWidth="1"/>
    <col min="12551" max="12551" width="19.28515625" style="983" customWidth="1"/>
    <col min="12552" max="12552" width="20.85546875" style="983" customWidth="1"/>
    <col min="12553" max="12553" width="20" style="983" customWidth="1"/>
    <col min="12554" max="12554" width="22.85546875" style="983" customWidth="1"/>
    <col min="12555" max="12801" width="9.140625" style="983"/>
    <col min="12802" max="12802" width="56" style="983" customWidth="1"/>
    <col min="12803" max="12804" width="13.5703125" style="983" customWidth="1"/>
    <col min="12805" max="12805" width="19.7109375" style="983" customWidth="1"/>
    <col min="12806" max="12806" width="18.28515625" style="983" customWidth="1"/>
    <col min="12807" max="12807" width="19.28515625" style="983" customWidth="1"/>
    <col min="12808" max="12808" width="20.85546875" style="983" customWidth="1"/>
    <col min="12809" max="12809" width="20" style="983" customWidth="1"/>
    <col min="12810" max="12810" width="22.85546875" style="983" customWidth="1"/>
    <col min="12811" max="13057" width="9.140625" style="983"/>
    <col min="13058" max="13058" width="56" style="983" customWidth="1"/>
    <col min="13059" max="13060" width="13.5703125" style="983" customWidth="1"/>
    <col min="13061" max="13061" width="19.7109375" style="983" customWidth="1"/>
    <col min="13062" max="13062" width="18.28515625" style="983" customWidth="1"/>
    <col min="13063" max="13063" width="19.28515625" style="983" customWidth="1"/>
    <col min="13064" max="13064" width="20.85546875" style="983" customWidth="1"/>
    <col min="13065" max="13065" width="20" style="983" customWidth="1"/>
    <col min="13066" max="13066" width="22.85546875" style="983" customWidth="1"/>
    <col min="13067" max="13313" width="9.140625" style="983"/>
    <col min="13314" max="13314" width="56" style="983" customWidth="1"/>
    <col min="13315" max="13316" width="13.5703125" style="983" customWidth="1"/>
    <col min="13317" max="13317" width="19.7109375" style="983" customWidth="1"/>
    <col min="13318" max="13318" width="18.28515625" style="983" customWidth="1"/>
    <col min="13319" max="13319" width="19.28515625" style="983" customWidth="1"/>
    <col min="13320" max="13320" width="20.85546875" style="983" customWidth="1"/>
    <col min="13321" max="13321" width="20" style="983" customWidth="1"/>
    <col min="13322" max="13322" width="22.85546875" style="983" customWidth="1"/>
    <col min="13323" max="13569" width="9.140625" style="983"/>
    <col min="13570" max="13570" width="56" style="983" customWidth="1"/>
    <col min="13571" max="13572" width="13.5703125" style="983" customWidth="1"/>
    <col min="13573" max="13573" width="19.7109375" style="983" customWidth="1"/>
    <col min="13574" max="13574" width="18.28515625" style="983" customWidth="1"/>
    <col min="13575" max="13575" width="19.28515625" style="983" customWidth="1"/>
    <col min="13576" max="13576" width="20.85546875" style="983" customWidth="1"/>
    <col min="13577" max="13577" width="20" style="983" customWidth="1"/>
    <col min="13578" max="13578" width="22.85546875" style="983" customWidth="1"/>
    <col min="13579" max="13825" width="9.140625" style="983"/>
    <col min="13826" max="13826" width="56" style="983" customWidth="1"/>
    <col min="13827" max="13828" width="13.5703125" style="983" customWidth="1"/>
    <col min="13829" max="13829" width="19.7109375" style="983" customWidth="1"/>
    <col min="13830" max="13830" width="18.28515625" style="983" customWidth="1"/>
    <col min="13831" max="13831" width="19.28515625" style="983" customWidth="1"/>
    <col min="13832" max="13832" width="20.85546875" style="983" customWidth="1"/>
    <col min="13833" max="13833" width="20" style="983" customWidth="1"/>
    <col min="13834" max="13834" width="22.85546875" style="983" customWidth="1"/>
    <col min="13835" max="14081" width="9.140625" style="983"/>
    <col min="14082" max="14082" width="56" style="983" customWidth="1"/>
    <col min="14083" max="14084" width="13.5703125" style="983" customWidth="1"/>
    <col min="14085" max="14085" width="19.7109375" style="983" customWidth="1"/>
    <col min="14086" max="14086" width="18.28515625" style="983" customWidth="1"/>
    <col min="14087" max="14087" width="19.28515625" style="983" customWidth="1"/>
    <col min="14088" max="14088" width="20.85546875" style="983" customWidth="1"/>
    <col min="14089" max="14089" width="20" style="983" customWidth="1"/>
    <col min="14090" max="14090" width="22.85546875" style="983" customWidth="1"/>
    <col min="14091" max="14337" width="9.140625" style="983"/>
    <col min="14338" max="14338" width="56" style="983" customWidth="1"/>
    <col min="14339" max="14340" width="13.5703125" style="983" customWidth="1"/>
    <col min="14341" max="14341" width="19.7109375" style="983" customWidth="1"/>
    <col min="14342" max="14342" width="18.28515625" style="983" customWidth="1"/>
    <col min="14343" max="14343" width="19.28515625" style="983" customWidth="1"/>
    <col min="14344" max="14344" width="20.85546875" style="983" customWidth="1"/>
    <col min="14345" max="14345" width="20" style="983" customWidth="1"/>
    <col min="14346" max="14346" width="22.85546875" style="983" customWidth="1"/>
    <col min="14347" max="14593" width="9.140625" style="983"/>
    <col min="14594" max="14594" width="56" style="983" customWidth="1"/>
    <col min="14595" max="14596" width="13.5703125" style="983" customWidth="1"/>
    <col min="14597" max="14597" width="19.7109375" style="983" customWidth="1"/>
    <col min="14598" max="14598" width="18.28515625" style="983" customWidth="1"/>
    <col min="14599" max="14599" width="19.28515625" style="983" customWidth="1"/>
    <col min="14600" max="14600" width="20.85546875" style="983" customWidth="1"/>
    <col min="14601" max="14601" width="20" style="983" customWidth="1"/>
    <col min="14602" max="14602" width="22.85546875" style="983" customWidth="1"/>
    <col min="14603" max="14849" width="9.140625" style="983"/>
    <col min="14850" max="14850" width="56" style="983" customWidth="1"/>
    <col min="14851" max="14852" width="13.5703125" style="983" customWidth="1"/>
    <col min="14853" max="14853" width="19.7109375" style="983" customWidth="1"/>
    <col min="14854" max="14854" width="18.28515625" style="983" customWidth="1"/>
    <col min="14855" max="14855" width="19.28515625" style="983" customWidth="1"/>
    <col min="14856" max="14856" width="20.85546875" style="983" customWidth="1"/>
    <col min="14857" max="14857" width="20" style="983" customWidth="1"/>
    <col min="14858" max="14858" width="22.85546875" style="983" customWidth="1"/>
    <col min="14859" max="15105" width="9.140625" style="983"/>
    <col min="15106" max="15106" width="56" style="983" customWidth="1"/>
    <col min="15107" max="15108" width="13.5703125" style="983" customWidth="1"/>
    <col min="15109" max="15109" width="19.7109375" style="983" customWidth="1"/>
    <col min="15110" max="15110" width="18.28515625" style="983" customWidth="1"/>
    <col min="15111" max="15111" width="19.28515625" style="983" customWidth="1"/>
    <col min="15112" max="15112" width="20.85546875" style="983" customWidth="1"/>
    <col min="15113" max="15113" width="20" style="983" customWidth="1"/>
    <col min="15114" max="15114" width="22.85546875" style="983" customWidth="1"/>
    <col min="15115" max="15361" width="9.140625" style="983"/>
    <col min="15362" max="15362" width="56" style="983" customWidth="1"/>
    <col min="15363" max="15364" width="13.5703125" style="983" customWidth="1"/>
    <col min="15365" max="15365" width="19.7109375" style="983" customWidth="1"/>
    <col min="15366" max="15366" width="18.28515625" style="983" customWidth="1"/>
    <col min="15367" max="15367" width="19.28515625" style="983" customWidth="1"/>
    <col min="15368" max="15368" width="20.85546875" style="983" customWidth="1"/>
    <col min="15369" max="15369" width="20" style="983" customWidth="1"/>
    <col min="15370" max="15370" width="22.85546875" style="983" customWidth="1"/>
    <col min="15371" max="15617" width="9.140625" style="983"/>
    <col min="15618" max="15618" width="56" style="983" customWidth="1"/>
    <col min="15619" max="15620" width="13.5703125" style="983" customWidth="1"/>
    <col min="15621" max="15621" width="19.7109375" style="983" customWidth="1"/>
    <col min="15622" max="15622" width="18.28515625" style="983" customWidth="1"/>
    <col min="15623" max="15623" width="19.28515625" style="983" customWidth="1"/>
    <col min="15624" max="15624" width="20.85546875" style="983" customWidth="1"/>
    <col min="15625" max="15625" width="20" style="983" customWidth="1"/>
    <col min="15626" max="15626" width="22.85546875" style="983" customWidth="1"/>
    <col min="15627" max="15873" width="9.140625" style="983"/>
    <col min="15874" max="15874" width="56" style="983" customWidth="1"/>
    <col min="15875" max="15876" width="13.5703125" style="983" customWidth="1"/>
    <col min="15877" max="15877" width="19.7109375" style="983" customWidth="1"/>
    <col min="15878" max="15878" width="18.28515625" style="983" customWidth="1"/>
    <col min="15879" max="15879" width="19.28515625" style="983" customWidth="1"/>
    <col min="15880" max="15880" width="20.85546875" style="983" customWidth="1"/>
    <col min="15881" max="15881" width="20" style="983" customWidth="1"/>
    <col min="15882" max="15882" width="22.85546875" style="983" customWidth="1"/>
    <col min="15883" max="16129" width="9.140625" style="983"/>
    <col min="16130" max="16130" width="56" style="983" customWidth="1"/>
    <col min="16131" max="16132" width="13.5703125" style="983" customWidth="1"/>
    <col min="16133" max="16133" width="19.7109375" style="983" customWidth="1"/>
    <col min="16134" max="16134" width="18.28515625" style="983" customWidth="1"/>
    <col min="16135" max="16135" width="19.28515625" style="983" customWidth="1"/>
    <col min="16136" max="16136" width="20.85546875" style="983" customWidth="1"/>
    <col min="16137" max="16137" width="20" style="983" customWidth="1"/>
    <col min="16138" max="16138" width="22.85546875" style="983" customWidth="1"/>
    <col min="16139" max="16384" width="9.140625" style="983"/>
  </cols>
  <sheetData>
    <row r="1" spans="1:10" x14ac:dyDescent="0.55000000000000004">
      <c r="A1" s="1065" t="s">
        <v>738</v>
      </c>
      <c r="B1" s="1066"/>
      <c r="C1" s="1066"/>
      <c r="D1" s="1066"/>
      <c r="E1" s="1066"/>
      <c r="F1" s="1066"/>
      <c r="G1" s="1066"/>
      <c r="H1" s="1066"/>
      <c r="I1" s="1066"/>
      <c r="J1" s="1066"/>
    </row>
    <row r="2" spans="1:10" x14ac:dyDescent="0.55000000000000004">
      <c r="A2" s="984" t="str">
        <f>'[1]แบบสรุป '!B4</f>
        <v xml:space="preserve">โครงการ </v>
      </c>
      <c r="B2" s="984" t="str">
        <f>[2]สรุปใหม่!C3</f>
        <v>ซ่อมสร้างถนนลาดยางแอสฟัลติกคอนกรีต สายทาง 1089 ตำบลป่าตึง อำเภอแม่จัน จังหวัดเชียงราย</v>
      </c>
      <c r="C2" s="984"/>
      <c r="D2" s="984"/>
      <c r="E2" s="984"/>
      <c r="F2" s="984"/>
      <c r="G2" s="984"/>
      <c r="H2" s="984"/>
      <c r="I2" s="984"/>
      <c r="J2" s="984"/>
    </row>
    <row r="3" spans="1:10" x14ac:dyDescent="0.55000000000000004">
      <c r="A3" s="985" t="s">
        <v>739</v>
      </c>
      <c r="B3" s="985"/>
      <c r="C3" s="986"/>
      <c r="D3" s="987"/>
      <c r="E3" s="988"/>
      <c r="F3" s="987"/>
      <c r="G3" s="987"/>
      <c r="H3" s="985"/>
      <c r="I3" s="985"/>
      <c r="J3" s="985"/>
    </row>
    <row r="4" spans="1:10" x14ac:dyDescent="0.55000000000000004">
      <c r="A4" s="1067" t="s">
        <v>740</v>
      </c>
      <c r="B4" s="1067"/>
      <c r="C4" s="1067"/>
      <c r="D4" s="1067"/>
      <c r="E4" s="1067"/>
      <c r="F4" s="1067"/>
      <c r="G4" s="1067"/>
      <c r="H4" s="1067"/>
      <c r="I4" s="1067"/>
      <c r="J4" s="1067"/>
    </row>
    <row r="5" spans="1:10" x14ac:dyDescent="0.55000000000000004">
      <c r="A5" s="1067" t="s">
        <v>741</v>
      </c>
      <c r="B5" s="1067"/>
      <c r="C5" s="1067"/>
      <c r="D5" s="1067"/>
      <c r="E5" s="1067"/>
      <c r="F5" s="1067"/>
      <c r="G5" s="1067"/>
      <c r="H5" s="1067"/>
      <c r="I5" s="1067"/>
      <c r="J5" s="1067"/>
    </row>
    <row r="6" spans="1:10" x14ac:dyDescent="0.55000000000000004">
      <c r="A6" s="1067" t="s">
        <v>742</v>
      </c>
      <c r="B6" s="1067"/>
      <c r="C6" s="1067"/>
      <c r="D6" s="1067"/>
      <c r="E6" s="1067"/>
      <c r="F6" s="1067"/>
      <c r="G6" s="1067"/>
      <c r="H6" s="1067"/>
      <c r="I6" s="1067"/>
      <c r="J6" s="1067"/>
    </row>
    <row r="7" spans="1:10" x14ac:dyDescent="0.55000000000000004">
      <c r="A7" s="989"/>
      <c r="B7" s="989"/>
      <c r="C7" s="989"/>
      <c r="D7" s="989"/>
      <c r="E7" s="989"/>
      <c r="F7" s="989"/>
      <c r="G7" s="989"/>
      <c r="H7" s="989"/>
      <c r="I7" s="989"/>
      <c r="J7" s="989"/>
    </row>
    <row r="8" spans="1:10" x14ac:dyDescent="0.55000000000000004">
      <c r="A8" s="989"/>
      <c r="B8" s="989"/>
      <c r="C8" s="989"/>
      <c r="D8" s="989"/>
      <c r="E8" s="989"/>
      <c r="F8" s="989"/>
      <c r="G8" s="989"/>
      <c r="H8" s="989"/>
      <c r="I8" s="989"/>
      <c r="J8" s="989"/>
    </row>
    <row r="9" spans="1:10" x14ac:dyDescent="0.55000000000000004">
      <c r="A9" s="1068" t="s">
        <v>147</v>
      </c>
      <c r="B9" s="1068" t="s">
        <v>1</v>
      </c>
      <c r="C9" s="1071" t="s">
        <v>743</v>
      </c>
      <c r="D9" s="1068" t="s">
        <v>13</v>
      </c>
      <c r="E9" s="990"/>
      <c r="F9" s="990"/>
      <c r="G9" s="991"/>
      <c r="H9" s="990"/>
      <c r="I9" s="990"/>
      <c r="J9" s="1068" t="s">
        <v>11</v>
      </c>
    </row>
    <row r="10" spans="1:10" x14ac:dyDescent="0.55000000000000004">
      <c r="A10" s="1069"/>
      <c r="B10" s="1069"/>
      <c r="C10" s="1072"/>
      <c r="D10" s="1069"/>
      <c r="E10" s="992" t="s">
        <v>744</v>
      </c>
      <c r="F10" s="992" t="s">
        <v>145</v>
      </c>
      <c r="G10" s="992" t="s">
        <v>745</v>
      </c>
      <c r="H10" s="992" t="s">
        <v>746</v>
      </c>
      <c r="I10" s="992" t="s">
        <v>146</v>
      </c>
      <c r="J10" s="1069"/>
    </row>
    <row r="11" spans="1:10" x14ac:dyDescent="0.55000000000000004">
      <c r="A11" s="1070"/>
      <c r="B11" s="1069"/>
      <c r="C11" s="1072"/>
      <c r="D11" s="1069"/>
      <c r="E11" s="992" t="s">
        <v>747</v>
      </c>
      <c r="F11" s="992" t="s">
        <v>747</v>
      </c>
      <c r="G11" s="993"/>
      <c r="H11" s="992" t="s">
        <v>747</v>
      </c>
      <c r="I11" s="992" t="s">
        <v>747</v>
      </c>
      <c r="J11" s="1069"/>
    </row>
    <row r="12" spans="1:10" x14ac:dyDescent="0.55000000000000004">
      <c r="A12" s="994">
        <v>1</v>
      </c>
      <c r="B12" s="995" t="s">
        <v>675</v>
      </c>
      <c r="C12" s="996"/>
      <c r="D12" s="996"/>
      <c r="E12" s="996"/>
      <c r="F12" s="996"/>
      <c r="G12" s="996"/>
      <c r="H12" s="996"/>
      <c r="I12" s="996"/>
      <c r="J12" s="996"/>
    </row>
    <row r="13" spans="1:10" x14ac:dyDescent="0.55000000000000004">
      <c r="A13" s="997">
        <v>1</v>
      </c>
      <c r="B13" s="998" t="s">
        <v>431</v>
      </c>
      <c r="C13" s="999"/>
      <c r="D13" s="999"/>
      <c r="E13" s="1000"/>
      <c r="F13" s="1001"/>
      <c r="G13" s="1001"/>
      <c r="H13" s="1001"/>
      <c r="I13" s="1001"/>
      <c r="J13" s="1002"/>
    </row>
    <row r="14" spans="1:10" x14ac:dyDescent="0.55000000000000004">
      <c r="A14" s="1003"/>
      <c r="B14" s="998" t="s">
        <v>723</v>
      </c>
      <c r="C14" s="1003">
        <v>1352</v>
      </c>
      <c r="D14" s="1003" t="s">
        <v>17</v>
      </c>
      <c r="E14" s="1004"/>
      <c r="F14" s="1005"/>
      <c r="G14" s="1005"/>
      <c r="H14" s="1005"/>
      <c r="I14" s="1005"/>
      <c r="J14" s="1006"/>
    </row>
    <row r="15" spans="1:10" x14ac:dyDescent="0.55000000000000004">
      <c r="A15" s="1003"/>
      <c r="B15" s="998" t="s">
        <v>258</v>
      </c>
      <c r="C15" s="1003">
        <v>67</v>
      </c>
      <c r="D15" s="1003" t="s">
        <v>18</v>
      </c>
      <c r="E15" s="1004"/>
      <c r="F15" s="1005"/>
      <c r="G15" s="1005"/>
      <c r="H15" s="1005"/>
      <c r="I15" s="1005"/>
      <c r="J15" s="1006"/>
    </row>
    <row r="16" spans="1:10" x14ac:dyDescent="0.55000000000000004">
      <c r="A16" s="1003"/>
      <c r="B16" s="998" t="s">
        <v>748</v>
      </c>
      <c r="C16" s="1003">
        <v>1352</v>
      </c>
      <c r="D16" s="1003" t="s">
        <v>17</v>
      </c>
      <c r="E16" s="1004"/>
      <c r="F16" s="1005"/>
      <c r="G16" s="1005"/>
      <c r="H16" s="1005"/>
      <c r="I16" s="1005"/>
      <c r="J16" s="1006"/>
    </row>
    <row r="17" spans="1:10" x14ac:dyDescent="0.55000000000000004">
      <c r="A17" s="1003">
        <v>2</v>
      </c>
      <c r="B17" s="998" t="s">
        <v>400</v>
      </c>
      <c r="C17" s="1007"/>
      <c r="D17" s="1006"/>
      <c r="E17" s="1004"/>
      <c r="F17" s="1005"/>
      <c r="G17" s="1005"/>
      <c r="H17" s="1005"/>
      <c r="I17" s="1005"/>
      <c r="J17" s="1006"/>
    </row>
    <row r="18" spans="1:10" x14ac:dyDescent="0.55000000000000004">
      <c r="A18" s="1003"/>
      <c r="B18" s="998" t="s">
        <v>447</v>
      </c>
      <c r="C18" s="1007">
        <f>C16</f>
        <v>1352</v>
      </c>
      <c r="D18" s="1003" t="s">
        <v>17</v>
      </c>
      <c r="E18" s="1005"/>
      <c r="F18" s="1005"/>
      <c r="G18" s="1005"/>
      <c r="H18" s="1005"/>
      <c r="I18" s="1005"/>
      <c r="J18" s="1006"/>
    </row>
    <row r="19" spans="1:10" x14ac:dyDescent="0.55000000000000004">
      <c r="A19" s="1003"/>
      <c r="B19" s="998" t="s">
        <v>430</v>
      </c>
      <c r="C19" s="1007">
        <f>C18</f>
        <v>1352</v>
      </c>
      <c r="D19" s="1003" t="s">
        <v>17</v>
      </c>
      <c r="E19" s="1005"/>
      <c r="F19" s="1005"/>
      <c r="G19" s="1005"/>
      <c r="H19" s="1005"/>
      <c r="I19" s="1005"/>
      <c r="J19" s="1006"/>
    </row>
    <row r="20" spans="1:10" x14ac:dyDescent="0.55000000000000004">
      <c r="A20" s="1003">
        <v>3</v>
      </c>
      <c r="B20" s="998" t="s">
        <v>729</v>
      </c>
      <c r="C20" s="1007"/>
      <c r="D20" s="1003"/>
      <c r="E20" s="1005"/>
      <c r="F20" s="1005"/>
      <c r="G20" s="1005"/>
      <c r="H20" s="1005"/>
      <c r="I20" s="1005"/>
      <c r="J20" s="1006"/>
    </row>
    <row r="21" spans="1:10" x14ac:dyDescent="0.55000000000000004">
      <c r="A21" s="1003"/>
      <c r="B21" s="998" t="s">
        <v>730</v>
      </c>
      <c r="C21" s="1007">
        <v>1</v>
      </c>
      <c r="D21" s="1003" t="s">
        <v>19</v>
      </c>
      <c r="E21" s="1005"/>
      <c r="F21" s="1005"/>
      <c r="G21" s="1005"/>
      <c r="H21" s="1005"/>
      <c r="I21" s="1005"/>
      <c r="J21" s="1006"/>
    </row>
    <row r="22" spans="1:10" x14ac:dyDescent="0.55000000000000004">
      <c r="A22" s="1003">
        <v>4</v>
      </c>
      <c r="B22" s="998" t="s">
        <v>432</v>
      </c>
      <c r="C22" s="1007"/>
      <c r="D22" s="1003"/>
      <c r="E22" s="1005"/>
      <c r="F22" s="1005"/>
      <c r="G22" s="1005"/>
      <c r="H22" s="1005"/>
      <c r="I22" s="1005"/>
      <c r="J22" s="1006"/>
    </row>
    <row r="23" spans="1:10" x14ac:dyDescent="0.55000000000000004">
      <c r="A23" s="1003"/>
      <c r="B23" s="1008" t="s">
        <v>455</v>
      </c>
      <c r="C23" s="1007">
        <v>46</v>
      </c>
      <c r="D23" s="1006" t="s">
        <v>17</v>
      </c>
      <c r="E23" s="1005"/>
      <c r="F23" s="1005"/>
      <c r="G23" s="1005"/>
      <c r="H23" s="1005"/>
      <c r="I23" s="1005"/>
      <c r="J23" s="1006"/>
    </row>
    <row r="24" spans="1:10" ht="27" thickBot="1" x14ac:dyDescent="0.6">
      <c r="A24" s="1009"/>
      <c r="B24" s="1010" t="s">
        <v>749</v>
      </c>
      <c r="C24" s="1011"/>
      <c r="D24" s="1009"/>
      <c r="E24" s="1012"/>
      <c r="F24" s="1012"/>
      <c r="G24" s="1012"/>
      <c r="H24" s="1012"/>
      <c r="I24" s="1012"/>
      <c r="J24" s="1009"/>
    </row>
    <row r="25" spans="1:10" x14ac:dyDescent="0.55000000000000004">
      <c r="A25" s="1013"/>
      <c r="B25" s="1014"/>
      <c r="C25" s="1015"/>
      <c r="D25" s="1016"/>
      <c r="E25" s="1017"/>
      <c r="F25" s="1018"/>
      <c r="G25" s="1019"/>
      <c r="H25" s="1020"/>
      <c r="I25" s="1021"/>
      <c r="J25" s="1022"/>
    </row>
    <row r="26" spans="1:10" x14ac:dyDescent="0.55000000000000004">
      <c r="A26" s="1023"/>
      <c r="B26" s="1024"/>
      <c r="C26" s="1025"/>
      <c r="D26" s="1026" t="s">
        <v>750</v>
      </c>
      <c r="E26" s="1026"/>
      <c r="F26" s="1026"/>
      <c r="G26" s="1026"/>
      <c r="H26" s="1027"/>
      <c r="I26" s="1028"/>
      <c r="J26" s="1029" t="s">
        <v>22</v>
      </c>
    </row>
    <row r="27" spans="1:10" x14ac:dyDescent="0.55000000000000004">
      <c r="A27" s="1023"/>
      <c r="B27" s="1024"/>
      <c r="C27" s="1025"/>
      <c r="D27" s="1026" t="s">
        <v>751</v>
      </c>
      <c r="E27" s="1026"/>
      <c r="F27" s="1026"/>
      <c r="G27" s="1026"/>
      <c r="H27" s="1027"/>
      <c r="I27" s="1028"/>
      <c r="J27" s="1029" t="s">
        <v>22</v>
      </c>
    </row>
    <row r="28" spans="1:10" x14ac:dyDescent="0.55000000000000004">
      <c r="A28" s="1023"/>
      <c r="B28" s="1024"/>
      <c r="C28" s="1025"/>
      <c r="D28" s="1026" t="s">
        <v>752</v>
      </c>
      <c r="E28" s="1026"/>
      <c r="F28" s="1026"/>
      <c r="G28" s="1026"/>
      <c r="H28" s="1027"/>
      <c r="I28" s="1028"/>
      <c r="J28" s="1029" t="s">
        <v>22</v>
      </c>
    </row>
    <row r="29" spans="1:10" x14ac:dyDescent="0.55000000000000004">
      <c r="A29" s="1023"/>
      <c r="B29" s="1024"/>
      <c r="C29" s="1025"/>
      <c r="D29" s="1030" t="s">
        <v>753</v>
      </c>
      <c r="E29" s="1030"/>
      <c r="F29" s="1030"/>
      <c r="G29" s="1030"/>
      <c r="H29" s="1031"/>
      <c r="I29" s="1028"/>
      <c r="J29" s="1029" t="s">
        <v>22</v>
      </c>
    </row>
    <row r="30" spans="1:10" x14ac:dyDescent="0.55000000000000004">
      <c r="A30" s="1023"/>
      <c r="B30" s="1024"/>
      <c r="C30" s="1025"/>
      <c r="D30" s="1030" t="s">
        <v>754</v>
      </c>
      <c r="E30" s="1030"/>
      <c r="F30" s="1030"/>
      <c r="G30" s="1030"/>
      <c r="H30" s="1030"/>
      <c r="I30" s="1028"/>
      <c r="J30" s="1029" t="s">
        <v>22</v>
      </c>
    </row>
    <row r="31" spans="1:10" x14ac:dyDescent="0.55000000000000004">
      <c r="A31" s="1032"/>
      <c r="B31" s="1033"/>
      <c r="C31" s="1063" t="s">
        <v>755</v>
      </c>
      <c r="D31" s="1063"/>
      <c r="E31" s="1063"/>
      <c r="F31" s="1063"/>
      <c r="G31" s="1063"/>
      <c r="H31" s="1064"/>
      <c r="I31" s="1034"/>
      <c r="J31" s="1035" t="s">
        <v>22</v>
      </c>
    </row>
    <row r="32" spans="1:10" ht="27" thickBot="1" x14ac:dyDescent="0.6">
      <c r="A32" s="1036"/>
      <c r="B32" s="1037" t="s">
        <v>756</v>
      </c>
      <c r="C32" s="1038"/>
      <c r="D32" s="1039"/>
      <c r="E32" s="1039"/>
      <c r="F32" s="1039"/>
      <c r="G32" s="1039"/>
      <c r="H32" s="1039"/>
      <c r="I32" s="1040"/>
      <c r="J32" s="1041"/>
    </row>
    <row r="33" spans="1:10" x14ac:dyDescent="0.55000000000000004">
      <c r="A33" s="1042"/>
      <c r="C33" s="986"/>
      <c r="D33" s="1042"/>
      <c r="E33" s="1042"/>
      <c r="F33" s="1042"/>
      <c r="G33" s="1042"/>
      <c r="H33" s="1042"/>
      <c r="I33" s="1044"/>
      <c r="J33" s="987"/>
    </row>
    <row r="34" spans="1:10" x14ac:dyDescent="0.55000000000000004">
      <c r="A34" s="1045"/>
      <c r="B34" s="1043" t="s">
        <v>757</v>
      </c>
      <c r="C34" s="1046"/>
      <c r="D34" s="1047"/>
      <c r="E34" s="1048"/>
      <c r="F34" s="1048"/>
      <c r="G34" s="1048"/>
      <c r="H34" s="1048"/>
      <c r="I34" s="1049" t="s">
        <v>758</v>
      </c>
      <c r="J34" s="1048"/>
    </row>
    <row r="35" spans="1:10" x14ac:dyDescent="0.55000000000000004">
      <c r="A35" s="1045"/>
      <c r="B35" s="1043" t="s">
        <v>759</v>
      </c>
      <c r="C35" s="1047"/>
    </row>
    <row r="36" spans="1:10" x14ac:dyDescent="0.55000000000000004">
      <c r="A36" s="1045"/>
      <c r="C36" s="1047"/>
    </row>
    <row r="37" spans="1:10" x14ac:dyDescent="0.55000000000000004">
      <c r="A37" s="1045"/>
      <c r="B37" s="985"/>
      <c r="C37" s="1047"/>
    </row>
    <row r="38" spans="1:10" x14ac:dyDescent="0.55000000000000004">
      <c r="A38" s="1045"/>
      <c r="B38" s="985"/>
      <c r="C38" s="1047"/>
      <c r="E38" s="1050" t="s">
        <v>760</v>
      </c>
      <c r="F38" s="1050"/>
      <c r="G38" s="1050"/>
      <c r="H38" s="1050"/>
      <c r="I38" s="1050"/>
      <c r="J38" s="1050"/>
    </row>
    <row r="39" spans="1:10" x14ac:dyDescent="0.55000000000000004">
      <c r="A39" s="987"/>
      <c r="B39" s="1051"/>
      <c r="C39" s="1047"/>
      <c r="E39" s="1043" t="s">
        <v>761</v>
      </c>
    </row>
    <row r="40" spans="1:10" x14ac:dyDescent="0.55000000000000004">
      <c r="A40" s="1042"/>
      <c r="B40" s="985"/>
      <c r="C40" s="1047"/>
      <c r="E40" s="1050" t="s">
        <v>762</v>
      </c>
      <c r="F40" s="1050"/>
      <c r="G40" s="1050"/>
      <c r="H40" s="1050"/>
      <c r="I40" s="1050"/>
      <c r="J40" s="1050"/>
    </row>
    <row r="41" spans="1:10" x14ac:dyDescent="0.55000000000000004">
      <c r="A41" s="985"/>
      <c r="B41" s="985"/>
      <c r="C41" s="1047"/>
      <c r="E41" s="1050" t="s">
        <v>763</v>
      </c>
      <c r="F41" s="1050"/>
      <c r="G41" s="1050"/>
      <c r="H41" s="1050"/>
      <c r="I41" s="1050"/>
      <c r="J41" s="1050"/>
    </row>
  </sheetData>
  <mergeCells count="10">
    <mergeCell ref="C31:H31"/>
    <mergeCell ref="A1:J1"/>
    <mergeCell ref="A4:J4"/>
    <mergeCell ref="A5:J5"/>
    <mergeCell ref="A6:J6"/>
    <mergeCell ref="A9:A11"/>
    <mergeCell ref="B9:B11"/>
    <mergeCell ref="C9:C11"/>
    <mergeCell ref="D9:D11"/>
    <mergeCell ref="J9:J11"/>
  </mergeCells>
  <printOptions horizontalCentered="1"/>
  <pageMargins left="0.15748031496062992" right="0.15748031496062992" top="0.59055118110236227" bottom="0.51181102362204722" header="0.51181102362204722" footer="0.51181102362204722"/>
  <pageSetup paperSize="9" scale="65" orientation="landscape" horizontalDpi="4294967293" r:id="rId1"/>
  <rowBreaks count="1" manualBreakCount="1">
    <brk id="2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N20"/>
  <sheetViews>
    <sheetView workbookViewId="0">
      <selection activeCell="B4" sqref="B4"/>
    </sheetView>
  </sheetViews>
  <sheetFormatPr defaultColWidth="9.140625" defaultRowHeight="23.25" x14ac:dyDescent="0.5"/>
  <cols>
    <col min="1" max="1" width="15.85546875" style="346" customWidth="1"/>
    <col min="2" max="2" width="53.85546875" style="346" customWidth="1"/>
    <col min="3" max="3" width="28.5703125" style="346" customWidth="1"/>
    <col min="4" max="4" width="16.5703125" style="346" customWidth="1"/>
    <col min="5" max="5" width="35.85546875" style="346" customWidth="1"/>
    <col min="6" max="6" width="14" style="346" customWidth="1"/>
    <col min="7" max="7" width="11.140625" style="346" customWidth="1"/>
    <col min="8" max="16384" width="9.140625" style="346"/>
  </cols>
  <sheetData>
    <row r="1" spans="1:14" ht="24" thickBot="1" x14ac:dyDescent="0.55000000000000004">
      <c r="A1" s="1073" t="s">
        <v>186</v>
      </c>
      <c r="B1" s="1074"/>
      <c r="C1" s="1074"/>
      <c r="D1" s="1074"/>
      <c r="E1" s="1075"/>
    </row>
    <row r="2" spans="1:14" s="199" customFormat="1" x14ac:dyDescent="0.5">
      <c r="A2" s="579" t="s">
        <v>138</v>
      </c>
      <c r="B2" s="580" t="s">
        <v>728</v>
      </c>
      <c r="C2" s="580"/>
      <c r="D2" s="580"/>
      <c r="E2" s="581"/>
      <c r="F2" s="582"/>
      <c r="G2" s="582"/>
      <c r="H2" s="582"/>
      <c r="I2" s="582"/>
      <c r="J2" s="582"/>
      <c r="K2" s="582"/>
      <c r="N2" s="583"/>
    </row>
    <row r="3" spans="1:14" s="199" customFormat="1" x14ac:dyDescent="0.5">
      <c r="A3" s="584" t="s">
        <v>139</v>
      </c>
      <c r="B3" s="979" t="s">
        <v>737</v>
      </c>
      <c r="C3" s="585"/>
      <c r="D3" s="586"/>
      <c r="E3" s="587"/>
      <c r="F3" s="588"/>
      <c r="G3" s="588"/>
      <c r="H3" s="588"/>
      <c r="I3" s="588"/>
      <c r="J3" s="588"/>
      <c r="K3" s="588"/>
      <c r="N3" s="583"/>
    </row>
    <row r="4" spans="1:14" s="199" customFormat="1" x14ac:dyDescent="0.5">
      <c r="A4" s="584" t="s">
        <v>732</v>
      </c>
      <c r="B4" s="980" t="s">
        <v>731</v>
      </c>
      <c r="C4" s="585"/>
      <c r="D4" s="978"/>
      <c r="E4" s="587"/>
      <c r="F4" s="588"/>
      <c r="G4" s="588"/>
      <c r="H4" s="588"/>
      <c r="I4" s="588"/>
      <c r="J4" s="588"/>
      <c r="K4" s="588"/>
      <c r="N4" s="583"/>
    </row>
    <row r="5" spans="1:14" s="199" customFormat="1" x14ac:dyDescent="0.5">
      <c r="A5" s="584" t="s">
        <v>140</v>
      </c>
      <c r="B5" s="981" t="s">
        <v>735</v>
      </c>
      <c r="C5" s="585"/>
      <c r="D5" s="586"/>
      <c r="E5" s="587"/>
      <c r="F5" s="588"/>
      <c r="G5" s="588"/>
      <c r="H5" s="588"/>
      <c r="I5" s="588"/>
      <c r="J5" s="588"/>
      <c r="K5" s="588"/>
      <c r="N5" s="583"/>
    </row>
    <row r="6" spans="1:14" s="199" customFormat="1" ht="24" thickBot="1" x14ac:dyDescent="0.55000000000000004">
      <c r="A6" s="589" t="s">
        <v>132</v>
      </c>
      <c r="B6" s="982" t="s">
        <v>733</v>
      </c>
      <c r="C6" s="590"/>
      <c r="D6" s="591"/>
      <c r="E6" s="592"/>
      <c r="F6" s="589" t="s">
        <v>132</v>
      </c>
      <c r="N6" s="583"/>
    </row>
    <row r="7" spans="1:14" ht="24" thickBot="1" x14ac:dyDescent="0.55000000000000004">
      <c r="A7" s="593" t="s">
        <v>720</v>
      </c>
      <c r="B7" s="594" t="s">
        <v>734</v>
      </c>
      <c r="C7" s="594"/>
      <c r="D7" s="595"/>
      <c r="E7" s="596"/>
    </row>
    <row r="8" spans="1:14" ht="24" thickBot="1" x14ac:dyDescent="0.55000000000000004">
      <c r="A8" s="597"/>
      <c r="B8" s="598" t="s">
        <v>185</v>
      </c>
      <c r="C8" s="598"/>
      <c r="D8" s="599"/>
      <c r="E8" s="600"/>
      <c r="F8" s="589" t="s">
        <v>445</v>
      </c>
    </row>
    <row r="9" spans="1:14" x14ac:dyDescent="0.5">
      <c r="A9" s="601" t="s">
        <v>142</v>
      </c>
      <c r="B9" s="602"/>
      <c r="C9" s="602"/>
      <c r="D9" s="603">
        <v>8</v>
      </c>
      <c r="E9" s="604" t="s">
        <v>104</v>
      </c>
    </row>
    <row r="10" spans="1:14" x14ac:dyDescent="0.5">
      <c r="A10" s="605" t="s">
        <v>143</v>
      </c>
      <c r="B10" s="606"/>
      <c r="C10" s="607" t="s">
        <v>725</v>
      </c>
      <c r="D10" s="608">
        <v>169</v>
      </c>
      <c r="E10" s="609" t="s">
        <v>104</v>
      </c>
    </row>
    <row r="11" spans="1:14" ht="24" thickBot="1" x14ac:dyDescent="0.55000000000000004">
      <c r="A11" s="610" t="s">
        <v>184</v>
      </c>
      <c r="B11" s="611"/>
      <c r="C11" s="611" t="s">
        <v>717</v>
      </c>
      <c r="D11" s="612">
        <v>32.5</v>
      </c>
      <c r="E11" s="613" t="s">
        <v>30</v>
      </c>
    </row>
    <row r="12" spans="1:14" x14ac:dyDescent="0.5">
      <c r="A12" s="614" t="s">
        <v>183</v>
      </c>
      <c r="B12" s="615"/>
      <c r="C12" s="616" t="s">
        <v>441</v>
      </c>
      <c r="D12" s="617">
        <v>40</v>
      </c>
      <c r="E12" s="618" t="s">
        <v>21</v>
      </c>
    </row>
    <row r="13" spans="1:14" x14ac:dyDescent="0.5">
      <c r="A13" s="619" t="s">
        <v>467</v>
      </c>
      <c r="B13" s="620"/>
      <c r="C13" s="621" t="s">
        <v>468</v>
      </c>
      <c r="D13" s="622">
        <v>29</v>
      </c>
      <c r="E13" s="623"/>
    </row>
    <row r="14" spans="1:14" x14ac:dyDescent="0.5">
      <c r="A14" s="624" t="s">
        <v>182</v>
      </c>
      <c r="B14" s="625"/>
      <c r="C14" s="626" t="s">
        <v>442</v>
      </c>
      <c r="D14" s="622">
        <v>15</v>
      </c>
      <c r="E14" s="627" t="s">
        <v>21</v>
      </c>
    </row>
    <row r="15" spans="1:14" ht="24" thickBot="1" x14ac:dyDescent="0.55000000000000004">
      <c r="A15" s="628" t="s">
        <v>470</v>
      </c>
      <c r="B15" s="629"/>
      <c r="C15" s="630" t="s">
        <v>469</v>
      </c>
      <c r="D15" s="631">
        <v>741</v>
      </c>
      <c r="E15" s="632" t="s">
        <v>21</v>
      </c>
    </row>
    <row r="16" spans="1:14" ht="24" thickBot="1" x14ac:dyDescent="0.55000000000000004">
      <c r="A16" s="628" t="s">
        <v>418</v>
      </c>
      <c r="B16" s="629"/>
      <c r="C16" s="630" t="s">
        <v>443</v>
      </c>
      <c r="D16" s="631">
        <v>40</v>
      </c>
      <c r="E16" s="632" t="s">
        <v>21</v>
      </c>
    </row>
    <row r="17" spans="1:5" x14ac:dyDescent="0.5">
      <c r="A17" s="633" t="s">
        <v>181</v>
      </c>
      <c r="B17" s="634"/>
      <c r="C17" s="634"/>
      <c r="D17" s="635">
        <v>10</v>
      </c>
      <c r="E17" s="636" t="s">
        <v>21</v>
      </c>
    </row>
    <row r="18" spans="1:5" ht="24" thickBot="1" x14ac:dyDescent="0.55000000000000004">
      <c r="A18" s="637" t="s">
        <v>180</v>
      </c>
      <c r="B18" s="638"/>
      <c r="C18" s="639"/>
      <c r="D18" s="640">
        <v>20</v>
      </c>
      <c r="E18" s="641" t="s">
        <v>21</v>
      </c>
    </row>
    <row r="19" spans="1:5" ht="24" thickBot="1" x14ac:dyDescent="0.55000000000000004">
      <c r="A19" s="642"/>
      <c r="B19" s="599"/>
      <c r="C19" s="599"/>
      <c r="D19" s="643">
        <f>ปร.งานทาง!K89</f>
        <v>853723.42999999982</v>
      </c>
      <c r="E19" s="644"/>
    </row>
    <row r="20" spans="1:5" ht="24" thickBot="1" x14ac:dyDescent="0.55000000000000004">
      <c r="A20" s="645"/>
      <c r="B20" s="646"/>
      <c r="C20" s="345"/>
      <c r="D20" s="643">
        <f>ปร.งานทาง!K90</f>
        <v>853723.42999999982</v>
      </c>
      <c r="E20" s="644"/>
    </row>
  </sheetData>
  <mergeCells count="1">
    <mergeCell ref="A1:E1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7" workbookViewId="0">
      <selection activeCell="F25" sqref="F25"/>
    </sheetView>
  </sheetViews>
  <sheetFormatPr defaultColWidth="10.42578125" defaultRowHeight="24.95" customHeight="1" x14ac:dyDescent="0.5"/>
  <cols>
    <col min="1" max="1" width="7.85546875" style="391" customWidth="1"/>
    <col min="2" max="2" width="7.28515625" style="391" customWidth="1"/>
    <col min="3" max="3" width="9.85546875" style="391" customWidth="1"/>
    <col min="4" max="4" width="13.28515625" style="391" customWidth="1"/>
    <col min="5" max="5" width="8.140625" style="391" customWidth="1"/>
    <col min="6" max="6" width="16.28515625" style="391" customWidth="1"/>
    <col min="7" max="7" width="13.28515625" style="391" customWidth="1"/>
    <col min="8" max="8" width="14.5703125" style="391" customWidth="1"/>
    <col min="9" max="9" width="18.5703125" style="391" customWidth="1"/>
    <col min="10" max="10" width="19" style="946" customWidth="1"/>
    <col min="11" max="11" width="20.5703125" style="391" customWidth="1"/>
    <col min="12" max="12" width="10.42578125" style="391"/>
    <col min="13" max="13" width="14.7109375" style="391" customWidth="1"/>
    <col min="14" max="16384" width="10.42578125" style="391"/>
  </cols>
  <sheetData>
    <row r="1" spans="1:13" ht="30.2" customHeight="1" x14ac:dyDescent="0.5">
      <c r="A1" s="1079" t="s">
        <v>698</v>
      </c>
      <c r="B1" s="1079"/>
      <c r="C1" s="1079"/>
      <c r="D1" s="1079"/>
      <c r="E1" s="1079"/>
      <c r="F1" s="1079"/>
      <c r="G1" s="1079"/>
      <c r="H1" s="1079"/>
      <c r="I1" s="1079"/>
    </row>
    <row r="2" spans="1:13" ht="22.7" customHeight="1" x14ac:dyDescent="0.5">
      <c r="A2" s="947" t="s">
        <v>699</v>
      </c>
      <c r="B2" s="947"/>
      <c r="C2" s="391" t="str">
        <f>ปร.งานทาง!C3</f>
        <v>ซ่อมสร้างถนนลาดยางแอสฟัลต์ติกคอนกรีต  สายทาง 1089  ตำบลป่าตึง อำเภอแม่จัน จังหวัดเชียงราย</v>
      </c>
    </row>
    <row r="3" spans="1:13" ht="22.7" customHeight="1" x14ac:dyDescent="0.5">
      <c r="A3" s="947" t="s">
        <v>700</v>
      </c>
      <c r="B3" s="947"/>
      <c r="C3" s="391" t="str">
        <f>กรอกข้อมูล!B5</f>
        <v xml:space="preserve">หน้าโรงเรียนศุภปัญญา  หมู่ 4 ตำบลป่าตึง อำเภอแม่จัน จังหวัดเชียงราย </v>
      </c>
    </row>
    <row r="4" spans="1:13" ht="22.7" customHeight="1" x14ac:dyDescent="0.5">
      <c r="A4" s="947" t="s">
        <v>701</v>
      </c>
      <c r="B4" s="947"/>
      <c r="D4" s="222" t="str">
        <f>กรอกข้อมูล!B2</f>
        <v>องค์การบริหารส่วนตำบลป่าตึง</v>
      </c>
    </row>
    <row r="5" spans="1:13" ht="22.7" customHeight="1" x14ac:dyDescent="0.5">
      <c r="A5" s="947" t="s">
        <v>141</v>
      </c>
      <c r="C5" s="391" t="str">
        <f>กรอกข้อมูล!B4</f>
        <v>กว้าง  8.00  ม.  ยาว  169.00 ม. หนา 0.05 ม. หรือมีพื้นที่ผิวจราจรรวมไม่น้อยกว่า 1,352.00  ตร.ม.</v>
      </c>
    </row>
    <row r="6" spans="1:13" ht="22.7" customHeight="1" x14ac:dyDescent="0.5">
      <c r="A6" s="947" t="s">
        <v>144</v>
      </c>
      <c r="C6" s="391" t="str">
        <f>ปร.งานทาง!C6</f>
        <v>รายละเอียดตามประมาณการงานก่อสร้างและตามแบบแปลนที่ อบต.ป่าตึง กำหนด</v>
      </c>
    </row>
    <row r="7" spans="1:13" ht="22.7" customHeight="1" x14ac:dyDescent="0.5">
      <c r="A7" s="1080" t="s">
        <v>702</v>
      </c>
      <c r="B7" s="1080"/>
      <c r="C7" s="1080"/>
      <c r="D7" s="1080"/>
      <c r="E7" s="1080"/>
      <c r="F7" s="1080"/>
      <c r="G7" s="1080"/>
      <c r="H7" s="1080"/>
      <c r="I7" s="1080"/>
    </row>
    <row r="8" spans="1:13" ht="22.7" customHeight="1" thickBot="1" x14ac:dyDescent="0.55000000000000004">
      <c r="A8" s="948" t="s">
        <v>132</v>
      </c>
      <c r="B8" s="948"/>
      <c r="C8" s="949" t="str">
        <f>กรอกข้อมูล!B6</f>
        <v xml:space="preserve">  มิถุนายน 2568</v>
      </c>
      <c r="E8" s="948"/>
      <c r="F8" s="948"/>
      <c r="G8" s="948"/>
      <c r="H8" s="948"/>
      <c r="I8" s="948" t="s">
        <v>703</v>
      </c>
    </row>
    <row r="9" spans="1:13" ht="22.7" customHeight="1" thickTop="1" x14ac:dyDescent="0.5">
      <c r="A9" s="1081" t="s">
        <v>704</v>
      </c>
      <c r="B9" s="1083" t="s">
        <v>1</v>
      </c>
      <c r="C9" s="1084"/>
      <c r="D9" s="1084"/>
      <c r="E9" s="1085"/>
      <c r="F9" s="1081" t="s">
        <v>260</v>
      </c>
      <c r="G9" s="1081"/>
      <c r="H9" s="1089" t="s">
        <v>705</v>
      </c>
      <c r="I9" s="1081" t="s">
        <v>11</v>
      </c>
    </row>
    <row r="10" spans="1:13" ht="22.7" customHeight="1" thickBot="1" x14ac:dyDescent="0.55000000000000004">
      <c r="A10" s="1082"/>
      <c r="B10" s="1086"/>
      <c r="C10" s="1087"/>
      <c r="D10" s="1087"/>
      <c r="E10" s="1088"/>
      <c r="F10" s="1082"/>
      <c r="G10" s="1082"/>
      <c r="H10" s="1090"/>
      <c r="I10" s="1082"/>
    </row>
    <row r="11" spans="1:13" ht="22.7" hidden="1" customHeight="1" x14ac:dyDescent="0.5">
      <c r="A11" s="950"/>
      <c r="B11" s="951"/>
      <c r="C11" s="951"/>
      <c r="D11" s="951"/>
      <c r="E11" s="951"/>
      <c r="F11" s="950"/>
      <c r="G11" s="950"/>
      <c r="H11" s="952"/>
      <c r="I11" s="950"/>
    </row>
    <row r="12" spans="1:13" ht="22.7" customHeight="1" thickTop="1" x14ac:dyDescent="0.5">
      <c r="A12" s="953">
        <v>1</v>
      </c>
      <c r="B12" s="391" t="s">
        <v>712</v>
      </c>
      <c r="F12" s="954">
        <f>ปร.งานทาง!H89</f>
        <v>616495.84000000008</v>
      </c>
      <c r="G12" s="955"/>
      <c r="H12" s="954">
        <f>ปร.งานทาง!K90</f>
        <v>853723.42999999982</v>
      </c>
      <c r="I12" s="956"/>
      <c r="J12" s="957"/>
      <c r="K12" s="958"/>
      <c r="L12" s="959"/>
      <c r="M12" s="958"/>
    </row>
    <row r="13" spans="1:13" ht="22.7" customHeight="1" x14ac:dyDescent="0.5">
      <c r="A13" s="953"/>
      <c r="F13" s="954"/>
      <c r="G13" s="955"/>
      <c r="H13" s="954"/>
      <c r="I13" s="956"/>
      <c r="J13" s="957"/>
      <c r="K13" s="958"/>
      <c r="L13" s="959"/>
      <c r="M13" s="958"/>
    </row>
    <row r="14" spans="1:13" ht="22.7" customHeight="1" x14ac:dyDescent="0.5">
      <c r="A14" s="953"/>
      <c r="F14" s="954"/>
      <c r="G14" s="955"/>
      <c r="H14" s="954"/>
      <c r="I14" s="956"/>
      <c r="J14" s="957"/>
      <c r="K14" s="958"/>
      <c r="L14" s="959"/>
      <c r="M14" s="958"/>
    </row>
    <row r="15" spans="1:13" ht="22.7" customHeight="1" x14ac:dyDescent="0.5">
      <c r="A15" s="953"/>
      <c r="F15" s="954"/>
      <c r="G15" s="955"/>
      <c r="H15" s="954"/>
      <c r="I15" s="956"/>
      <c r="K15" s="958"/>
      <c r="L15" s="959"/>
      <c r="M15" s="958"/>
    </row>
    <row r="16" spans="1:13" ht="22.7" customHeight="1" x14ac:dyDescent="0.5">
      <c r="A16" s="953"/>
      <c r="F16" s="954"/>
      <c r="G16" s="955"/>
      <c r="H16" s="954"/>
      <c r="I16" s="956"/>
      <c r="K16" s="958"/>
      <c r="M16" s="960"/>
    </row>
    <row r="17" spans="1:12" ht="23.25" x14ac:dyDescent="0.5">
      <c r="A17" s="953"/>
      <c r="F17" s="954"/>
      <c r="G17" s="955"/>
      <c r="H17" s="954"/>
      <c r="I17" s="956"/>
      <c r="K17" s="958"/>
    </row>
    <row r="18" spans="1:12" ht="23.25" x14ac:dyDescent="0.5">
      <c r="A18" s="953"/>
      <c r="B18" s="391" t="s">
        <v>706</v>
      </c>
      <c r="F18" s="954"/>
      <c r="G18" s="955"/>
      <c r="H18" s="954"/>
      <c r="I18" s="956"/>
      <c r="K18" s="958"/>
    </row>
    <row r="19" spans="1:12" ht="23.25" x14ac:dyDescent="0.5">
      <c r="A19" s="953"/>
      <c r="B19" s="391" t="s">
        <v>707</v>
      </c>
      <c r="F19" s="954"/>
      <c r="G19" s="955"/>
      <c r="H19" s="954"/>
      <c r="I19" s="956"/>
      <c r="K19" s="946"/>
    </row>
    <row r="20" spans="1:12" ht="23.25" x14ac:dyDescent="0.5">
      <c r="A20" s="953"/>
      <c r="B20" s="391" t="s">
        <v>708</v>
      </c>
      <c r="F20" s="954"/>
      <c r="G20" s="955"/>
      <c r="H20" s="954"/>
      <c r="I20" s="956"/>
      <c r="K20" s="946"/>
    </row>
    <row r="21" spans="1:12" ht="23.25" x14ac:dyDescent="0.5">
      <c r="A21" s="953"/>
      <c r="B21" s="391" t="s">
        <v>716</v>
      </c>
      <c r="F21" s="954"/>
      <c r="G21" s="955"/>
      <c r="H21" s="954"/>
      <c r="I21" s="956"/>
      <c r="K21" s="946"/>
    </row>
    <row r="22" spans="1:12" ht="23.25" x14ac:dyDescent="0.5">
      <c r="A22" s="953"/>
      <c r="B22" s="391" t="s">
        <v>709</v>
      </c>
      <c r="F22" s="954"/>
      <c r="G22" s="955"/>
      <c r="H22" s="954"/>
      <c r="I22" s="956"/>
      <c r="K22" s="946"/>
    </row>
    <row r="23" spans="1:12" ht="24" thickBot="1" x14ac:dyDescent="0.55000000000000004">
      <c r="A23" s="961"/>
      <c r="B23" s="948"/>
      <c r="C23" s="948"/>
      <c r="D23" s="948"/>
      <c r="E23" s="948"/>
      <c r="F23" s="962"/>
      <c r="G23" s="948"/>
      <c r="H23" s="962"/>
      <c r="I23" s="961"/>
    </row>
    <row r="24" spans="1:12" s="947" customFormat="1" ht="24.75" thickTop="1" thickBot="1" x14ac:dyDescent="0.55000000000000004">
      <c r="E24" s="963" t="s">
        <v>710</v>
      </c>
      <c r="F24" s="964">
        <f>SUM(F9:F23)</f>
        <v>616495.84000000008</v>
      </c>
      <c r="G24" s="965" t="s">
        <v>711</v>
      </c>
      <c r="H24" s="964">
        <f>SUM(H9:H23)</f>
        <v>853723.42999999982</v>
      </c>
      <c r="I24" s="947" t="s">
        <v>22</v>
      </c>
      <c r="J24" s="966">
        <v>9900000</v>
      </c>
      <c r="K24" s="960">
        <f>J24-H24</f>
        <v>9046276.5700000003</v>
      </c>
      <c r="L24" s="967"/>
    </row>
    <row r="25" spans="1:12" ht="24.75" thickTop="1" thickBot="1" x14ac:dyDescent="0.55000000000000004">
      <c r="F25" s="968"/>
      <c r="G25" s="963" t="s">
        <v>713</v>
      </c>
      <c r="H25" s="969">
        <f>ROUNDDOWN(H24,)</f>
        <v>853723</v>
      </c>
      <c r="I25" s="947" t="s">
        <v>22</v>
      </c>
    </row>
    <row r="26" spans="1:12" ht="24" thickTop="1" x14ac:dyDescent="0.5">
      <c r="D26" s="970"/>
      <c r="E26" s="970"/>
      <c r="H26" s="971" t="str">
        <f>"ตัวอักษร "&amp;"("&amp;BAHTTEXT(H25)&amp;")"</f>
        <v>ตัวอักษร (แปดแสนห้าหมื่นสามพันเจ็ดร้อยยี่สิบสามบาทถ้วน)</v>
      </c>
    </row>
    <row r="27" spans="1:12" s="222" customFormat="1" ht="23.25" x14ac:dyDescent="0.5">
      <c r="A27" s="391"/>
      <c r="B27" s="972"/>
      <c r="C27" s="972"/>
      <c r="D27" s="972"/>
      <c r="E27" s="972"/>
      <c r="F27" s="973"/>
      <c r="G27" s="972"/>
      <c r="H27" s="972"/>
      <c r="I27" s="972"/>
      <c r="J27" s="974"/>
    </row>
    <row r="28" spans="1:12" s="222" customFormat="1" ht="23.25" x14ac:dyDescent="0.5">
      <c r="B28" s="975"/>
      <c r="C28" s="975"/>
      <c r="D28" s="975"/>
      <c r="E28" s="975"/>
      <c r="F28" s="975"/>
      <c r="J28" s="974"/>
    </row>
    <row r="29" spans="1:12" s="222" customFormat="1" ht="23.25" x14ac:dyDescent="0.5">
      <c r="A29" s="835"/>
      <c r="B29" s="199"/>
      <c r="C29" s="836"/>
      <c r="D29" s="975"/>
      <c r="F29" s="840"/>
      <c r="G29" s="975"/>
      <c r="H29" s="1076"/>
      <c r="I29" s="1076"/>
      <c r="J29" s="974"/>
    </row>
    <row r="30" spans="1:12" s="222" customFormat="1" ht="23.25" x14ac:dyDescent="0.5">
      <c r="B30" s="840"/>
      <c r="C30" s="200"/>
      <c r="D30" s="975"/>
      <c r="E30" s="200"/>
      <c r="F30" s="841"/>
      <c r="G30" s="975"/>
      <c r="H30" s="1077"/>
      <c r="I30" s="1077"/>
      <c r="J30" s="974"/>
    </row>
    <row r="31" spans="1:12" s="222" customFormat="1" ht="23.25" x14ac:dyDescent="0.5">
      <c r="B31" s="840"/>
      <c r="C31" s="200"/>
      <c r="D31" s="975"/>
      <c r="E31" s="200"/>
      <c r="F31" s="841"/>
      <c r="G31" s="975"/>
      <c r="H31" s="1078"/>
      <c r="I31" s="1078"/>
      <c r="J31" s="974"/>
    </row>
    <row r="32" spans="1:12" s="222" customFormat="1" ht="23.25" x14ac:dyDescent="0.5">
      <c r="E32" s="976"/>
      <c r="F32" s="976"/>
      <c r="J32" s="974"/>
    </row>
    <row r="33" spans="2:10" s="222" customFormat="1" ht="23.25" x14ac:dyDescent="0.5">
      <c r="B33" s="977"/>
      <c r="E33" s="391"/>
      <c r="F33" s="391"/>
      <c r="I33" s="199"/>
      <c r="J33" s="974"/>
    </row>
    <row r="34" spans="2:10" s="222" customFormat="1" ht="23.25" x14ac:dyDescent="0.5">
      <c r="B34" s="977"/>
      <c r="C34" s="977"/>
      <c r="E34" s="391"/>
      <c r="F34" s="391"/>
      <c r="I34" s="199"/>
      <c r="J34" s="974"/>
    </row>
    <row r="35" spans="2:10" s="222" customFormat="1" ht="23.25" x14ac:dyDescent="0.5">
      <c r="B35" s="977"/>
      <c r="C35" s="977"/>
      <c r="E35" s="391"/>
      <c r="F35" s="391"/>
      <c r="I35" s="199"/>
      <c r="J35" s="974"/>
    </row>
  </sheetData>
  <mergeCells count="11">
    <mergeCell ref="H29:I29"/>
    <mergeCell ref="H30:I30"/>
    <mergeCell ref="H31:I31"/>
    <mergeCell ref="A1:I1"/>
    <mergeCell ref="A7:I7"/>
    <mergeCell ref="A9:A10"/>
    <mergeCell ref="B9:E10"/>
    <mergeCell ref="F9:F10"/>
    <mergeCell ref="G9:G10"/>
    <mergeCell ref="H9:H10"/>
    <mergeCell ref="I9:I10"/>
  </mergeCells>
  <printOptions horizontalCentered="1"/>
  <pageMargins left="0.25" right="0.25" top="0.75" bottom="0.75" header="0.3" footer="0.3"/>
  <pageSetup paperSize="9" scale="90" orientation="portrait" r:id="rId1"/>
  <headerFooter>
    <oddHeader>&amp;R&amp;"TH SarabunPSK,ธรรมดา"&amp;16ปร.5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66FF99"/>
  </sheetPr>
  <dimension ref="A1:AC107"/>
  <sheetViews>
    <sheetView topLeftCell="A2" zoomScaleNormal="100" zoomScaleSheetLayoutView="100" workbookViewId="0">
      <selection activeCell="C3" sqref="C3"/>
    </sheetView>
  </sheetViews>
  <sheetFormatPr defaultColWidth="9.140625" defaultRowHeight="22.15" customHeight="1" x14ac:dyDescent="0.5"/>
  <cols>
    <col min="1" max="1" width="6.140625" style="199" customWidth="1"/>
    <col min="2" max="2" width="6.28515625" style="199" customWidth="1"/>
    <col min="3" max="3" width="17.42578125" style="199" customWidth="1"/>
    <col min="4" max="4" width="39.28515625" style="199" customWidth="1"/>
    <col min="5" max="5" width="6.7109375" style="654" customWidth="1"/>
    <col min="6" max="6" width="11.7109375" style="846" customWidth="1"/>
    <col min="7" max="7" width="11.7109375" style="654" customWidth="1"/>
    <col min="8" max="8" width="15.5703125" style="654" customWidth="1"/>
    <col min="9" max="9" width="12.140625" style="847" customWidth="1"/>
    <col min="10" max="10" width="11.7109375" style="654" customWidth="1"/>
    <col min="11" max="11" width="15.7109375" style="654" customWidth="1"/>
    <col min="12" max="15" width="21.28515625" style="199" customWidth="1"/>
    <col min="16" max="16" width="16.42578125" style="199" customWidth="1"/>
    <col min="17" max="17" width="19" style="199" customWidth="1"/>
    <col min="18" max="18" width="12.5703125" style="199" customWidth="1"/>
    <col min="19" max="19" width="36.7109375" style="199" customWidth="1"/>
    <col min="20" max="20" width="12.140625" style="199" customWidth="1"/>
    <col min="21" max="21" width="10.5703125" style="199" customWidth="1"/>
    <col min="22" max="22" width="9.140625" style="199"/>
    <col min="23" max="23" width="11.42578125" style="199" customWidth="1"/>
    <col min="24" max="16384" width="9.140625" style="199"/>
  </cols>
  <sheetData>
    <row r="1" spans="1:24" ht="22.15" customHeight="1" x14ac:dyDescent="0.5">
      <c r="A1" s="1091" t="str">
        <f>"แบบสรุป"&amp;กรอกข้อมูล!$A$6&amp;"งานทาง "</f>
        <v xml:space="preserve">แบบสรุปประมาณราคางานทาง </v>
      </c>
      <c r="B1" s="1091"/>
      <c r="C1" s="1091"/>
      <c r="D1" s="1091"/>
      <c r="E1" s="1091"/>
      <c r="F1" s="1091"/>
      <c r="G1" s="1091"/>
      <c r="H1" s="1091"/>
      <c r="I1" s="1091"/>
      <c r="J1" s="1091"/>
      <c r="K1" s="1091"/>
      <c r="L1" s="1091"/>
      <c r="M1" s="647"/>
      <c r="N1" s="647"/>
      <c r="O1" s="647"/>
      <c r="P1" s="647"/>
      <c r="Q1" s="647"/>
      <c r="R1" s="647"/>
      <c r="S1" s="647"/>
      <c r="T1" s="648"/>
    </row>
    <row r="2" spans="1:24" ht="22.15" customHeight="1" x14ac:dyDescent="0.5">
      <c r="A2" s="198" t="s">
        <v>138</v>
      </c>
      <c r="C2" s="200" t="str">
        <f>กรอกข้อมูล!B2</f>
        <v>องค์การบริหารส่วนตำบลป่าตึง</v>
      </c>
      <c r="D2" s="200"/>
      <c r="E2" s="649"/>
      <c r="F2" s="649"/>
      <c r="G2" s="649"/>
      <c r="H2" s="649"/>
      <c r="I2" s="650"/>
      <c r="J2" s="651"/>
      <c r="K2" s="651"/>
      <c r="L2" s="652"/>
      <c r="M2" s="652">
        <f>กรอกข้อมูล!D9</f>
        <v>8</v>
      </c>
      <c r="N2" s="652"/>
      <c r="O2" s="652"/>
      <c r="P2" s="653"/>
      <c r="Q2" s="653"/>
      <c r="T2" s="654"/>
      <c r="V2" s="655"/>
    </row>
    <row r="3" spans="1:24" ht="22.15" customHeight="1" x14ac:dyDescent="0.5">
      <c r="A3" s="198" t="s">
        <v>139</v>
      </c>
      <c r="C3" s="656" t="str">
        <f>กรอกข้อมูล!B3</f>
        <v>ซ่อมสร้างถนนลาดยางแอสฟัลต์ติกคอนกรีต  สายทาง 1089  ตำบลป่าตึง อำเภอแม่จัน จังหวัดเชียงราย</v>
      </c>
      <c r="D3" s="656"/>
      <c r="E3" s="657"/>
      <c r="F3" s="657"/>
      <c r="G3" s="657"/>
      <c r="H3" s="657"/>
      <c r="I3" s="658"/>
      <c r="J3" s="657"/>
      <c r="K3" s="659"/>
      <c r="M3" s="652">
        <f>กรอกข้อมูล!D10</f>
        <v>169</v>
      </c>
      <c r="N3" s="660"/>
      <c r="O3" s="660"/>
      <c r="T3" s="654"/>
    </row>
    <row r="4" spans="1:24" ht="22.15" customHeight="1" x14ac:dyDescent="0.5">
      <c r="A4" s="198" t="s">
        <v>140</v>
      </c>
      <c r="C4" s="656" t="str">
        <f>กรอกข้อมูล!B5</f>
        <v xml:space="preserve">หน้าโรงเรียนศุภปัญญา  หมู่ 4 ตำบลป่าตึง อำเภอแม่จัน จังหวัดเชียงราย </v>
      </c>
      <c r="D4" s="656"/>
      <c r="E4" s="656"/>
      <c r="F4" s="656"/>
      <c r="G4" s="656"/>
      <c r="H4" s="656"/>
      <c r="I4" s="656"/>
      <c r="J4" s="656"/>
      <c r="K4" s="656"/>
      <c r="L4" s="656"/>
      <c r="M4" s="661">
        <f>M2*M3</f>
        <v>1352</v>
      </c>
      <c r="N4" s="661"/>
      <c r="O4" s="661"/>
      <c r="P4" s="199" t="s">
        <v>674</v>
      </c>
      <c r="T4" s="654"/>
      <c r="V4" s="655"/>
    </row>
    <row r="5" spans="1:24" s="206" customFormat="1" ht="22.15" customHeight="1" x14ac:dyDescent="0.5">
      <c r="A5" s="198" t="s">
        <v>141</v>
      </c>
      <c r="C5" s="199" t="str">
        <f>"ผิวจราจรกว้าง "&amp;FIXED(กรอกข้อมูล!D9,2)&amp;" เมตร ยาว "&amp;FIXED(กรอกข้อมูล!D10,2)&amp;" เมตร หรือพื้นที่ไม่น้อยกว่า "&amp;FIXED(กรอกข้อมูล!D9*กรอกข้อมูล!D10,2)&amp;" ตารางเมตร"</f>
        <v>ผิวจราจรกว้าง 8.00 เมตร ยาว 169.00 เมตร หรือพื้นที่ไม่น้อยกว่า 1,352.00 ตารางเมตร</v>
      </c>
      <c r="D5" s="662"/>
      <c r="F5" s="200"/>
      <c r="G5" s="663"/>
      <c r="H5" s="663"/>
      <c r="J5" s="217"/>
      <c r="K5" s="664"/>
      <c r="L5" s="198"/>
      <c r="M5" s="665"/>
      <c r="N5" s="665"/>
      <c r="O5" s="665"/>
      <c r="Q5" s="198" t="s">
        <v>25</v>
      </c>
      <c r="R5" s="666">
        <v>0.15</v>
      </c>
      <c r="S5" s="667" t="s">
        <v>23</v>
      </c>
      <c r="T5" s="206">
        <v>800</v>
      </c>
    </row>
    <row r="6" spans="1:24" ht="22.15" customHeight="1" x14ac:dyDescent="0.5">
      <c r="A6" s="198" t="s">
        <v>144</v>
      </c>
      <c r="C6" s="199" t="s">
        <v>726</v>
      </c>
      <c r="E6" s="668"/>
      <c r="F6" s="668"/>
      <c r="G6" s="668"/>
      <c r="H6" s="668"/>
      <c r="I6" s="669"/>
      <c r="J6" s="670"/>
      <c r="K6" s="671"/>
      <c r="L6" s="672"/>
      <c r="M6" s="672"/>
      <c r="N6" s="672"/>
      <c r="O6" s="672"/>
      <c r="P6" s="673"/>
      <c r="Q6" s="673"/>
      <c r="R6" s="673"/>
      <c r="T6" s="206"/>
    </row>
    <row r="7" spans="1:24" ht="22.15" customHeight="1" thickBot="1" x14ac:dyDescent="0.55000000000000004">
      <c r="A7" s="674" t="str">
        <f>"ราคาน้ำมันดีเซล ที่ อ.เมือง  "&amp;FIXED(ROUNDDOWN(กรอกข้อมูล!$D$11,0),0)&amp;".00 - "&amp;FIXED(ROUNDDOWN(กรอกข้อมูล!$D$11,0),0)&amp;".99 บาท/ลิตร เฉลี่ย  "&amp;FIXED(กรอกข้อมูล!$D$11,2)&amp;" บาท/ลิตร"</f>
        <v>ราคาน้ำมันดีเซล ที่ อ.เมือง  32.00 - 32.99 บาท/ลิตร เฉลี่ย  32.50 บาท/ลิตร</v>
      </c>
      <c r="B7" s="675"/>
      <c r="C7" s="675"/>
      <c r="D7" s="675"/>
      <c r="E7" s="676"/>
      <c r="F7" s="676"/>
      <c r="G7" s="677"/>
      <c r="H7" s="677"/>
      <c r="I7" s="678"/>
      <c r="J7" s="679" t="str">
        <f>""&amp;(กรอกข้อมูล!$A$6)&amp;"เมื่อ  "</f>
        <v xml:space="preserve">ประมาณราคาเมื่อ  </v>
      </c>
      <c r="K7" s="676" t="str">
        <f>กรอกข้อมูล!$B$6</f>
        <v xml:space="preserve">  มิถุนายน 2568</v>
      </c>
      <c r="L7" s="680"/>
      <c r="M7" s="655"/>
      <c r="N7" s="655"/>
      <c r="O7" s="655"/>
      <c r="P7" s="346"/>
      <c r="Q7" s="346">
        <f>G5*3*0.1</f>
        <v>0</v>
      </c>
    </row>
    <row r="8" spans="1:24" ht="22.15" customHeight="1" thickTop="1" x14ac:dyDescent="0.5">
      <c r="A8" s="681" t="s">
        <v>147</v>
      </c>
      <c r="B8" s="1100" t="s">
        <v>1</v>
      </c>
      <c r="C8" s="1101"/>
      <c r="D8" s="1102"/>
      <c r="E8" s="1106" t="s">
        <v>13</v>
      </c>
      <c r="F8" s="1106" t="s">
        <v>405</v>
      </c>
      <c r="G8" s="682" t="s">
        <v>178</v>
      </c>
      <c r="H8" s="1106" t="s">
        <v>145</v>
      </c>
      <c r="I8" s="1096" t="s">
        <v>2</v>
      </c>
      <c r="J8" s="683" t="s">
        <v>148</v>
      </c>
      <c r="K8" s="1106" t="s">
        <v>146</v>
      </c>
      <c r="L8" s="1098" t="s">
        <v>11</v>
      </c>
      <c r="M8" s="684"/>
      <c r="N8" s="684"/>
      <c r="O8" s="684"/>
      <c r="U8" s="655">
        <f>R43</f>
        <v>0</v>
      </c>
    </row>
    <row r="9" spans="1:24" ht="22.15" customHeight="1" thickBot="1" x14ac:dyDescent="0.55000000000000004">
      <c r="A9" s="685" t="s">
        <v>0</v>
      </c>
      <c r="B9" s="1103"/>
      <c r="C9" s="1104"/>
      <c r="D9" s="1105"/>
      <c r="E9" s="1107"/>
      <c r="F9" s="1107"/>
      <c r="G9" s="686" t="s">
        <v>406</v>
      </c>
      <c r="H9" s="1107"/>
      <c r="I9" s="1097"/>
      <c r="J9" s="687" t="s">
        <v>407</v>
      </c>
      <c r="K9" s="1107"/>
      <c r="L9" s="1099"/>
      <c r="M9" s="684"/>
      <c r="N9" s="684"/>
      <c r="O9" s="684"/>
    </row>
    <row r="10" spans="1:24" ht="22.15" customHeight="1" thickTop="1" x14ac:dyDescent="0.5">
      <c r="A10" s="688">
        <v>1</v>
      </c>
      <c r="B10" s="689" t="s">
        <v>675</v>
      </c>
      <c r="C10" s="690"/>
      <c r="D10" s="691"/>
      <c r="E10" s="692"/>
      <c r="F10" s="692"/>
      <c r="G10" s="693"/>
      <c r="H10" s="692"/>
      <c r="I10" s="694"/>
      <c r="J10" s="695"/>
      <c r="K10" s="692"/>
      <c r="L10" s="688"/>
      <c r="M10" s="684"/>
      <c r="N10" s="684"/>
      <c r="O10" s="684"/>
    </row>
    <row r="11" spans="1:24" ht="22.15" customHeight="1" x14ac:dyDescent="0.5">
      <c r="A11" s="696">
        <v>1</v>
      </c>
      <c r="B11" s="697" t="s">
        <v>431</v>
      </c>
      <c r="C11" s="698"/>
      <c r="D11" s="699"/>
      <c r="E11" s="700"/>
      <c r="F11" s="700"/>
      <c r="G11" s="700"/>
      <c r="H11" s="700"/>
      <c r="I11" s="701"/>
      <c r="J11" s="700"/>
      <c r="K11" s="700"/>
      <c r="L11" s="702"/>
      <c r="M11" s="208"/>
      <c r="N11" s="208"/>
      <c r="O11" s="208"/>
    </row>
    <row r="12" spans="1:24" ht="22.15" hidden="1" customHeight="1" x14ac:dyDescent="0.5">
      <c r="A12" s="703"/>
      <c r="B12" s="704" t="s">
        <v>221</v>
      </c>
      <c r="C12" s="698"/>
      <c r="D12" s="699"/>
      <c r="E12" s="705" t="s">
        <v>17</v>
      </c>
      <c r="F12" s="700">
        <v>0</v>
      </c>
      <c r="G12" s="700">
        <f>ROUND(IF(F12&lt;=0,0,+'S2'!BK5),2)</f>
        <v>0</v>
      </c>
      <c r="H12" s="700">
        <f t="shared" ref="H12:H24" si="0">ROUND(F12*G12,2)</f>
        <v>0</v>
      </c>
      <c r="I12" s="701">
        <f>IF(F12&gt;0,F!$D$20,0)</f>
        <v>0</v>
      </c>
      <c r="J12" s="700">
        <f>ROUND(G12*I12,2)</f>
        <v>0</v>
      </c>
      <c r="K12" s="700">
        <f>ROUND(H12*I12,2)</f>
        <v>0</v>
      </c>
      <c r="L12" s="706" t="s">
        <v>673</v>
      </c>
      <c r="M12" s="208"/>
      <c r="N12" s="707">
        <v>9987.56</v>
      </c>
      <c r="O12" s="707">
        <f>K12-N12</f>
        <v>-9987.56</v>
      </c>
    </row>
    <row r="13" spans="1:24" ht="22.15" hidden="1" customHeight="1" x14ac:dyDescent="0.5">
      <c r="A13" s="703"/>
      <c r="B13" s="704" t="s">
        <v>401</v>
      </c>
      <c r="C13" s="698"/>
      <c r="D13" s="699"/>
      <c r="E13" s="705" t="s">
        <v>17</v>
      </c>
      <c r="F13" s="700">
        <v>0</v>
      </c>
      <c r="G13" s="700">
        <f>ROUND(IF(F13&lt;=0,0,+'S2'!BK6),2)</f>
        <v>0</v>
      </c>
      <c r="H13" s="700">
        <f t="shared" si="0"/>
        <v>0</v>
      </c>
      <c r="I13" s="701">
        <f>IF(F13&gt;0,F!$D$20,0)</f>
        <v>0</v>
      </c>
      <c r="J13" s="700">
        <f t="shared" ref="J13:J84" si="1">ROUND(G13*I13,2)</f>
        <v>0</v>
      </c>
      <c r="K13" s="700">
        <f t="shared" ref="K13:K84" si="2">ROUND(H13*I13,2)</f>
        <v>0</v>
      </c>
      <c r="L13" s="706"/>
      <c r="M13" s="208"/>
      <c r="N13" s="707">
        <v>0</v>
      </c>
      <c r="O13" s="707">
        <f t="shared" ref="O13:O78" si="3">K13-N13</f>
        <v>0</v>
      </c>
    </row>
    <row r="14" spans="1:24" ht="22.15" hidden="1" customHeight="1" x14ac:dyDescent="0.5">
      <c r="A14" s="703"/>
      <c r="B14" s="704" t="s">
        <v>683</v>
      </c>
      <c r="C14" s="698"/>
      <c r="D14" s="699"/>
      <c r="E14" s="705" t="s">
        <v>18</v>
      </c>
      <c r="F14" s="700">
        <v>0</v>
      </c>
      <c r="G14" s="700">
        <f>ROUND(IF(F14&lt;=0,0,+ราคาต้นทุน!L22),2)</f>
        <v>0</v>
      </c>
      <c r="H14" s="700">
        <f t="shared" si="0"/>
        <v>0</v>
      </c>
      <c r="I14" s="701">
        <f>IF(F14&gt;0,F!$D$20,0)</f>
        <v>0</v>
      </c>
      <c r="J14" s="700">
        <f t="shared" si="1"/>
        <v>0</v>
      </c>
      <c r="K14" s="700">
        <f t="shared" si="2"/>
        <v>0</v>
      </c>
      <c r="L14" s="706"/>
      <c r="M14" s="208"/>
      <c r="N14" s="707">
        <v>0</v>
      </c>
      <c r="O14" s="707">
        <f t="shared" si="3"/>
        <v>0</v>
      </c>
      <c r="R14" s="199" t="s">
        <v>122</v>
      </c>
      <c r="S14" s="199" t="e">
        <f>+#REF!*8.2*0.1</f>
        <v>#REF!</v>
      </c>
      <c r="U14" s="199" t="e">
        <f>+#REF!*8.2*0.1</f>
        <v>#REF!</v>
      </c>
      <c r="W14" s="199" t="e">
        <f>+S14+T14+U14</f>
        <v>#REF!</v>
      </c>
      <c r="X14" s="201" t="s">
        <v>129</v>
      </c>
    </row>
    <row r="15" spans="1:24" ht="22.15" hidden="1" customHeight="1" x14ac:dyDescent="0.5">
      <c r="A15" s="703"/>
      <c r="B15" s="704" t="s">
        <v>684</v>
      </c>
      <c r="C15" s="698"/>
      <c r="D15" s="699"/>
      <c r="E15" s="705" t="s">
        <v>18</v>
      </c>
      <c r="F15" s="700">
        <v>0</v>
      </c>
      <c r="G15" s="700">
        <f>ROUND(IF(F15&lt;=0,0,+ราคาต้นทุน!L45),2)</f>
        <v>0</v>
      </c>
      <c r="H15" s="700">
        <f t="shared" si="0"/>
        <v>0</v>
      </c>
      <c r="I15" s="701">
        <f>IF(F15&gt;0,F!$D$20,0)</f>
        <v>0</v>
      </c>
      <c r="J15" s="700">
        <f t="shared" si="1"/>
        <v>0</v>
      </c>
      <c r="K15" s="700">
        <f t="shared" si="2"/>
        <v>0</v>
      </c>
      <c r="L15" s="708">
        <v>0.2</v>
      </c>
      <c r="M15" s="208"/>
      <c r="N15" s="707">
        <v>0</v>
      </c>
      <c r="O15" s="707">
        <f t="shared" si="3"/>
        <v>0</v>
      </c>
    </row>
    <row r="16" spans="1:24" ht="22.15" hidden="1" customHeight="1" x14ac:dyDescent="0.5">
      <c r="A16" s="703"/>
      <c r="B16" s="704" t="s">
        <v>419</v>
      </c>
      <c r="C16" s="698"/>
      <c r="D16" s="699"/>
      <c r="E16" s="705" t="s">
        <v>17</v>
      </c>
      <c r="F16" s="700">
        <v>0</v>
      </c>
      <c r="G16" s="700">
        <f>ROUND(IF(F16&lt;=0,0,+'S2'!BK6),2)</f>
        <v>0</v>
      </c>
      <c r="H16" s="700">
        <f>ROUND(F16*G16,2)</f>
        <v>0</v>
      </c>
      <c r="I16" s="701">
        <f>IF(F16&gt;0,F!$D$20,0)</f>
        <v>0</v>
      </c>
      <c r="J16" s="700">
        <f t="shared" si="1"/>
        <v>0</v>
      </c>
      <c r="K16" s="700">
        <f t="shared" si="2"/>
        <v>0</v>
      </c>
      <c r="L16" s="706"/>
      <c r="M16" s="208"/>
      <c r="N16" s="707">
        <v>0</v>
      </c>
      <c r="O16" s="707">
        <f t="shared" si="3"/>
        <v>0</v>
      </c>
    </row>
    <row r="17" spans="1:29" ht="22.15" hidden="1" customHeight="1" x14ac:dyDescent="0.5">
      <c r="A17" s="709"/>
      <c r="B17" s="710" t="s">
        <v>668</v>
      </c>
      <c r="C17" s="711"/>
      <c r="D17" s="712"/>
      <c r="E17" s="713" t="s">
        <v>17</v>
      </c>
      <c r="F17" s="700">
        <v>0</v>
      </c>
      <c r="G17" s="714">
        <f>ROUND(IF(F17&lt;=0,0,+'S2'!BK23),2)</f>
        <v>0</v>
      </c>
      <c r="H17" s="714">
        <f t="shared" si="0"/>
        <v>0</v>
      </c>
      <c r="I17" s="715">
        <f>IF(F17&gt;0,F!$D$20,0)</f>
        <v>0</v>
      </c>
      <c r="J17" s="714">
        <f t="shared" si="1"/>
        <v>0</v>
      </c>
      <c r="K17" s="714">
        <f t="shared" si="2"/>
        <v>0</v>
      </c>
      <c r="L17" s="716"/>
      <c r="M17" s="208"/>
      <c r="N17" s="707">
        <v>0</v>
      </c>
      <c r="O17" s="707">
        <f t="shared" si="3"/>
        <v>0</v>
      </c>
      <c r="R17" s="199" t="s">
        <v>126</v>
      </c>
      <c r="S17" s="199" t="e">
        <f>+#REF!*6</f>
        <v>#REF!</v>
      </c>
      <c r="U17" s="199" t="e">
        <f>+#REF!*6</f>
        <v>#REF!</v>
      </c>
      <c r="W17" s="199" t="e">
        <f>+S17+T17+U17</f>
        <v>#REF!</v>
      </c>
      <c r="X17" s="201" t="s">
        <v>128</v>
      </c>
    </row>
    <row r="18" spans="1:29" ht="22.15" hidden="1" customHeight="1" x14ac:dyDescent="0.5">
      <c r="A18" s="703"/>
      <c r="B18" s="704" t="s">
        <v>722</v>
      </c>
      <c r="C18" s="698"/>
      <c r="D18" s="699"/>
      <c r="E18" s="705" t="s">
        <v>17</v>
      </c>
      <c r="F18" s="700">
        <v>0</v>
      </c>
      <c r="G18" s="714">
        <f>ROUND(IF(F18&lt;=0,0,+'S2'!BK24),2)</f>
        <v>0</v>
      </c>
      <c r="H18" s="700">
        <f t="shared" si="0"/>
        <v>0</v>
      </c>
      <c r="I18" s="701">
        <f>IF(F18&gt;0,F!$D$20,0)</f>
        <v>0</v>
      </c>
      <c r="J18" s="700">
        <f t="shared" si="1"/>
        <v>0</v>
      </c>
      <c r="K18" s="700">
        <f t="shared" si="2"/>
        <v>0</v>
      </c>
      <c r="L18" s="717"/>
      <c r="M18" s="208"/>
      <c r="N18" s="707">
        <v>0</v>
      </c>
      <c r="O18" s="707">
        <f t="shared" si="3"/>
        <v>0</v>
      </c>
      <c r="P18" s="199" t="e">
        <f>+S18+T18</f>
        <v>#REF!</v>
      </c>
      <c r="R18" s="199" t="s">
        <v>126</v>
      </c>
      <c r="S18" s="199" t="e">
        <f>+#REF!*6</f>
        <v>#REF!</v>
      </c>
      <c r="U18" s="199" t="e">
        <f>+#REF!*6</f>
        <v>#REF!</v>
      </c>
      <c r="W18" s="199" t="e">
        <f>+S18+T18+U18</f>
        <v>#REF!</v>
      </c>
      <c r="X18" s="201" t="s">
        <v>128</v>
      </c>
    </row>
    <row r="19" spans="1:29" ht="22.15" customHeight="1" x14ac:dyDescent="0.5">
      <c r="A19" s="703"/>
      <c r="B19" s="704" t="s">
        <v>723</v>
      </c>
      <c r="C19" s="698"/>
      <c r="D19" s="699"/>
      <c r="E19" s="705" t="s">
        <v>17</v>
      </c>
      <c r="F19" s="700">
        <f>M4</f>
        <v>1352</v>
      </c>
      <c r="G19" s="714">
        <f>ROUND(IF(F19&lt;=0,0,+'S2'!BK25),2)</f>
        <v>12</v>
      </c>
      <c r="H19" s="700">
        <f t="shared" ref="H19" si="4">ROUND(F19*G19,2)</f>
        <v>16224</v>
      </c>
      <c r="I19" s="701">
        <f>IF(F19&gt;0,F!$D$20,0)</f>
        <v>1.3848</v>
      </c>
      <c r="J19" s="700">
        <f t="shared" ref="J19" si="5">ROUND(G19*I19,2)</f>
        <v>16.62</v>
      </c>
      <c r="K19" s="700">
        <f t="shared" ref="K19" si="6">ROUND(H19*I19,2)</f>
        <v>22467</v>
      </c>
      <c r="L19" s="717"/>
      <c r="M19" s="208"/>
      <c r="N19" s="707">
        <v>0</v>
      </c>
      <c r="O19" s="707">
        <f t="shared" ref="O19" si="7">K19-N19</f>
        <v>22467</v>
      </c>
      <c r="P19" s="199" t="e">
        <f>+S19+T19</f>
        <v>#REF!</v>
      </c>
      <c r="R19" s="199" t="s">
        <v>126</v>
      </c>
      <c r="S19" s="199" t="e">
        <f>+#REF!*6</f>
        <v>#REF!</v>
      </c>
      <c r="U19" s="199" t="e">
        <f>+#REF!*6</f>
        <v>#REF!</v>
      </c>
      <c r="W19" s="199" t="e">
        <f>+S19+T19+U19</f>
        <v>#REF!</v>
      </c>
      <c r="X19" s="201" t="s">
        <v>128</v>
      </c>
    </row>
    <row r="20" spans="1:29" ht="22.15" hidden="1" customHeight="1" x14ac:dyDescent="0.5">
      <c r="A20" s="703"/>
      <c r="B20" s="704" t="s">
        <v>402</v>
      </c>
      <c r="C20" s="698"/>
      <c r="D20" s="699"/>
      <c r="E20" s="705" t="s">
        <v>18</v>
      </c>
      <c r="F20" s="700">
        <v>0</v>
      </c>
      <c r="G20" s="700">
        <f>ROUND(IF(F20&lt;=0,0,+ราคาต้นทุน!L54),2)</f>
        <v>0</v>
      </c>
      <c r="H20" s="700">
        <f t="shared" si="0"/>
        <v>0</v>
      </c>
      <c r="I20" s="701">
        <f>IF(F20&gt;0,F!$D$20,0)</f>
        <v>0</v>
      </c>
      <c r="J20" s="700">
        <f t="shared" si="1"/>
        <v>0</v>
      </c>
      <c r="K20" s="700">
        <f t="shared" si="2"/>
        <v>0</v>
      </c>
      <c r="L20" s="708">
        <v>0.15</v>
      </c>
      <c r="M20" s="718"/>
      <c r="N20" s="719">
        <v>0</v>
      </c>
      <c r="O20" s="707">
        <f t="shared" si="3"/>
        <v>0</v>
      </c>
      <c r="R20" s="199" t="s">
        <v>130</v>
      </c>
    </row>
    <row r="21" spans="1:29" ht="22.15" customHeight="1" x14ac:dyDescent="0.5">
      <c r="A21" s="703"/>
      <c r="B21" s="704" t="s">
        <v>258</v>
      </c>
      <c r="C21" s="698"/>
      <c r="D21" s="699"/>
      <c r="E21" s="705" t="s">
        <v>18</v>
      </c>
      <c r="F21" s="700">
        <f>F19*L21</f>
        <v>67.600000000000009</v>
      </c>
      <c r="G21" s="700">
        <f>ROUND(IF(F21&lt;=0,0,+ราคาต้นทุน!L62),2)</f>
        <v>492.11</v>
      </c>
      <c r="H21" s="700">
        <f t="shared" si="0"/>
        <v>33266.639999999999</v>
      </c>
      <c r="I21" s="701">
        <f>IF(F21&gt;0,F!$D$20,0)</f>
        <v>1.3848</v>
      </c>
      <c r="J21" s="700">
        <f t="shared" si="1"/>
        <v>681.47</v>
      </c>
      <c r="K21" s="700">
        <f t="shared" si="2"/>
        <v>46067.64</v>
      </c>
      <c r="L21" s="717">
        <v>0.05</v>
      </c>
      <c r="M21" s="720">
        <v>0</v>
      </c>
      <c r="N21" s="721">
        <v>573936.13</v>
      </c>
      <c r="O21" s="707">
        <f t="shared" si="3"/>
        <v>-527868.49</v>
      </c>
    </row>
    <row r="22" spans="1:29" ht="22.15" customHeight="1" x14ac:dyDescent="0.5">
      <c r="A22" s="703"/>
      <c r="B22" s="704" t="str">
        <f>" - งาน Pavement In Place Recycling ขุดลึกเฉลี่ย "&amp;FIXED(ราคาต้นทุน!L65,2)&amp;" ม."</f>
        <v xml:space="preserve"> - งาน Pavement In Place Recycling ขุดลึกเฉลี่ย 0.15 ม.</v>
      </c>
      <c r="C22" s="698"/>
      <c r="D22" s="699"/>
      <c r="E22" s="705" t="s">
        <v>17</v>
      </c>
      <c r="F22" s="700">
        <f>กรอกข้อมูล!D9*กรอกข้อมูล!D10</f>
        <v>1352</v>
      </c>
      <c r="G22" s="700">
        <f>ROUND(IF(F22&lt;=0,0,+ราคาต้นทุน!L73),2)</f>
        <v>85.07</v>
      </c>
      <c r="H22" s="700">
        <f t="shared" si="0"/>
        <v>115014.64</v>
      </c>
      <c r="I22" s="701">
        <f>IF(F22&gt;0,F!$D$20,0)</f>
        <v>1.3848</v>
      </c>
      <c r="J22" s="700">
        <f t="shared" si="1"/>
        <v>117.8</v>
      </c>
      <c r="K22" s="700">
        <f t="shared" si="2"/>
        <v>159272.26999999999</v>
      </c>
      <c r="L22" s="706"/>
      <c r="M22" s="208"/>
      <c r="N22" s="707">
        <v>1267471.93</v>
      </c>
      <c r="O22" s="707">
        <f t="shared" si="3"/>
        <v>-1108199.6599999999</v>
      </c>
      <c r="AA22" s="199">
        <v>67</v>
      </c>
      <c r="AC22" s="199" t="s">
        <v>719</v>
      </c>
    </row>
    <row r="23" spans="1:29" ht="22.15" hidden="1" customHeight="1" x14ac:dyDescent="0.5">
      <c r="A23" s="703"/>
      <c r="B23" s="704" t="s">
        <v>259</v>
      </c>
      <c r="C23" s="698"/>
      <c r="D23" s="699"/>
      <c r="E23" s="705" t="s">
        <v>17</v>
      </c>
      <c r="F23" s="700"/>
      <c r="G23" s="700">
        <v>0</v>
      </c>
      <c r="H23" s="700">
        <f t="shared" si="0"/>
        <v>0</v>
      </c>
      <c r="I23" s="701">
        <f>IF(F23&gt;0,F!$D$20,0)</f>
        <v>0</v>
      </c>
      <c r="J23" s="700">
        <f t="shared" si="1"/>
        <v>0</v>
      </c>
      <c r="K23" s="700">
        <f t="shared" si="2"/>
        <v>0</v>
      </c>
      <c r="L23" s="706"/>
      <c r="M23" s="208"/>
      <c r="N23" s="707">
        <v>0</v>
      </c>
      <c r="O23" s="707">
        <f t="shared" si="3"/>
        <v>0</v>
      </c>
      <c r="R23" s="722"/>
    </row>
    <row r="24" spans="1:29" ht="22.15" hidden="1" customHeight="1" x14ac:dyDescent="0.5">
      <c r="A24" s="703"/>
      <c r="B24" s="704" t="s">
        <v>457</v>
      </c>
      <c r="C24" s="698"/>
      <c r="D24" s="699"/>
      <c r="E24" s="705" t="s">
        <v>17</v>
      </c>
      <c r="F24" s="700">
        <f>P31*D5</f>
        <v>0</v>
      </c>
      <c r="G24" s="700">
        <f>G18+G20*L20</f>
        <v>0</v>
      </c>
      <c r="H24" s="700">
        <f t="shared" si="0"/>
        <v>0</v>
      </c>
      <c r="I24" s="701">
        <f>IF(F24&gt;0,F!$D$20,0)</f>
        <v>0</v>
      </c>
      <c r="J24" s="700">
        <f t="shared" si="1"/>
        <v>0</v>
      </c>
      <c r="K24" s="700">
        <f t="shared" si="2"/>
        <v>0</v>
      </c>
      <c r="L24" s="723">
        <v>0.05</v>
      </c>
      <c r="M24" s="724"/>
      <c r="N24" s="719">
        <v>0</v>
      </c>
      <c r="O24" s="707">
        <f t="shared" si="3"/>
        <v>0</v>
      </c>
      <c r="R24" s="725" t="s">
        <v>131</v>
      </c>
      <c r="S24" s="725">
        <v>880</v>
      </c>
      <c r="T24" s="725"/>
      <c r="U24" s="725">
        <v>8125</v>
      </c>
      <c r="W24" s="199" t="e">
        <f>+#REF!*8</f>
        <v>#REF!</v>
      </c>
      <c r="X24" s="199" t="e">
        <f>+#REF!+#REF!</f>
        <v>#REF!</v>
      </c>
    </row>
    <row r="25" spans="1:29" ht="22.15" customHeight="1" x14ac:dyDescent="0.5">
      <c r="A25" s="726">
        <v>2</v>
      </c>
      <c r="B25" s="697" t="s">
        <v>400</v>
      </c>
      <c r="C25" s="727"/>
      <c r="D25" s="728"/>
      <c r="E25" s="700"/>
      <c r="F25" s="700"/>
      <c r="G25" s="700"/>
      <c r="H25" s="700"/>
      <c r="I25" s="701"/>
      <c r="J25" s="700"/>
      <c r="K25" s="700"/>
      <c r="L25" s="706"/>
      <c r="M25" s="208"/>
      <c r="N25" s="707"/>
      <c r="O25" s="707">
        <f t="shared" si="3"/>
        <v>0</v>
      </c>
    </row>
    <row r="26" spans="1:29" ht="22.15" hidden="1" customHeight="1" x14ac:dyDescent="0.5">
      <c r="A26" s="729"/>
      <c r="B26" s="704" t="s">
        <v>447</v>
      </c>
      <c r="C26" s="698"/>
      <c r="D26" s="699"/>
      <c r="E26" s="705" t="s">
        <v>17</v>
      </c>
      <c r="F26" s="700">
        <v>0</v>
      </c>
      <c r="G26" s="700">
        <f>ROUND(IF(F26&lt;=0,0,ราคาต้นทุน!L79),2)</f>
        <v>0</v>
      </c>
      <c r="H26" s="700">
        <f>F26*G26</f>
        <v>0</v>
      </c>
      <c r="I26" s="701">
        <f>IF(F26&gt;0,F!$D$20,0)</f>
        <v>0</v>
      </c>
      <c r="J26" s="700">
        <f t="shared" si="1"/>
        <v>0</v>
      </c>
      <c r="K26" s="700">
        <f t="shared" si="2"/>
        <v>0</v>
      </c>
      <c r="L26" s="706"/>
      <c r="M26" s="730">
        <f>SUM(F26:F28)</f>
        <v>1352</v>
      </c>
      <c r="N26" s="707">
        <v>0</v>
      </c>
      <c r="O26" s="707">
        <f t="shared" si="3"/>
        <v>0</v>
      </c>
    </row>
    <row r="27" spans="1:29" ht="22.15" customHeight="1" x14ac:dyDescent="0.5">
      <c r="A27" s="729"/>
      <c r="B27" s="704" t="s">
        <v>430</v>
      </c>
      <c r="C27" s="698"/>
      <c r="D27" s="699"/>
      <c r="E27" s="705" t="s">
        <v>17</v>
      </c>
      <c r="F27" s="700">
        <f>F19</f>
        <v>1352</v>
      </c>
      <c r="G27" s="700">
        <f>ROUND(IF(F27&lt;=0,0,ราคาต้นทุน!L84),2)</f>
        <v>33.590000000000003</v>
      </c>
      <c r="H27" s="700">
        <f>F27*G27</f>
        <v>45413.680000000008</v>
      </c>
      <c r="I27" s="701">
        <f>IF(F27&gt;0,F!$D$20,0)</f>
        <v>1.3848</v>
      </c>
      <c r="J27" s="700">
        <f t="shared" si="1"/>
        <v>46.52</v>
      </c>
      <c r="K27" s="700">
        <f t="shared" si="2"/>
        <v>62888.86</v>
      </c>
      <c r="L27" s="706"/>
      <c r="M27" s="208"/>
      <c r="N27" s="707">
        <v>563265.06000000006</v>
      </c>
      <c r="O27" s="707">
        <f t="shared" si="3"/>
        <v>-500376.20000000007</v>
      </c>
    </row>
    <row r="28" spans="1:29" ht="22.15" hidden="1" customHeight="1" x14ac:dyDescent="0.5">
      <c r="A28" s="729"/>
      <c r="B28" s="704" t="s">
        <v>429</v>
      </c>
      <c r="C28" s="698"/>
      <c r="D28" s="699"/>
      <c r="E28" s="705" t="s">
        <v>17</v>
      </c>
      <c r="F28" s="700"/>
      <c r="G28" s="700">
        <f>ROUND(IF(F28&lt;=0,0,ราคาต้นทุน!L89),2)</f>
        <v>0</v>
      </c>
      <c r="H28" s="700">
        <f>F28*G28</f>
        <v>0</v>
      </c>
      <c r="I28" s="701">
        <f>IF(F28&gt;0,F!$D$20,0)</f>
        <v>0</v>
      </c>
      <c r="J28" s="700">
        <f t="shared" si="1"/>
        <v>0</v>
      </c>
      <c r="K28" s="700">
        <f t="shared" si="2"/>
        <v>0</v>
      </c>
      <c r="L28" s="706"/>
      <c r="M28" s="208"/>
      <c r="N28" s="707">
        <v>0</v>
      </c>
      <c r="O28" s="707">
        <f t="shared" si="3"/>
        <v>0</v>
      </c>
      <c r="S28" s="731">
        <f>+S25+T25</f>
        <v>0</v>
      </c>
      <c r="T28" s="732"/>
    </row>
    <row r="29" spans="1:29" ht="22.15" customHeight="1" x14ac:dyDescent="0.5">
      <c r="A29" s="733"/>
      <c r="B29" s="734" t="str">
        <f>"  - งานผิวทาง Asphalt Concrete หนา "&amp;ราคาต้นทุน!E115&amp;" ซม. (ปูบน Prime Coat)"</f>
        <v xml:space="preserve">  - งานผิวทาง Asphalt Concrete หนา 5 ซม. (ปูบน Prime Coat)</v>
      </c>
      <c r="C29" s="698"/>
      <c r="D29" s="699"/>
      <c r="E29" s="705" t="s">
        <v>17</v>
      </c>
      <c r="F29" s="700">
        <f>F27</f>
        <v>1352</v>
      </c>
      <c r="G29" s="700">
        <f>ROUND(IF(F29&lt;=0,0,ราคาต้นทุน!L134),2)</f>
        <v>290.19</v>
      </c>
      <c r="H29" s="700">
        <f t="shared" ref="H29:H35" si="8">F29*G29</f>
        <v>392336.88</v>
      </c>
      <c r="I29" s="701">
        <f>IF(F29&gt;0,F!$D$20,0)</f>
        <v>1.3848</v>
      </c>
      <c r="J29" s="700">
        <f t="shared" si="1"/>
        <v>401.86</v>
      </c>
      <c r="K29" s="700">
        <f t="shared" si="2"/>
        <v>543308.11</v>
      </c>
      <c r="L29" s="706"/>
      <c r="M29" s="213">
        <f>SUM(K12:K39)</f>
        <v>853723.42999999982</v>
      </c>
      <c r="N29" s="719">
        <v>4672672.87</v>
      </c>
      <c r="O29" s="707">
        <f t="shared" si="3"/>
        <v>-4129364.7600000002</v>
      </c>
    </row>
    <row r="30" spans="1:29" ht="22.15" hidden="1" customHeight="1" x14ac:dyDescent="0.5">
      <c r="A30" s="733"/>
      <c r="B30" s="704" t="str">
        <f>"  - งานผิวทาง Asphalt Concrete หนา "&amp;ราคาต้นทุน!E115&amp;" ซม. (ปูบน Tack Coat)"</f>
        <v xml:space="preserve">  - งานผิวทาง Asphalt Concrete หนา 5 ซม. (ปูบน Tack Coat)</v>
      </c>
      <c r="C30" s="698"/>
      <c r="D30" s="699"/>
      <c r="E30" s="705" t="s">
        <v>17</v>
      </c>
      <c r="F30" s="700">
        <f>F28</f>
        <v>0</v>
      </c>
      <c r="G30" s="700">
        <f>ROUND(IF(F30&lt;=0,0,ราคาต้นทุน!L139),2)</f>
        <v>0</v>
      </c>
      <c r="H30" s="700">
        <f t="shared" si="8"/>
        <v>0</v>
      </c>
      <c r="I30" s="701">
        <f>IF(F30&gt;0,F!$D$20,0)</f>
        <v>0</v>
      </c>
      <c r="J30" s="700">
        <f t="shared" si="1"/>
        <v>0</v>
      </c>
      <c r="K30" s="700">
        <f t="shared" si="2"/>
        <v>0</v>
      </c>
      <c r="L30" s="706"/>
      <c r="M30" s="735"/>
      <c r="N30" s="719">
        <v>0</v>
      </c>
      <c r="O30" s="707">
        <f t="shared" si="3"/>
        <v>0</v>
      </c>
      <c r="R30" s="736">
        <v>180.53</v>
      </c>
      <c r="S30" s="736">
        <v>13.266</v>
      </c>
    </row>
    <row r="31" spans="1:29" ht="22.15" hidden="1" customHeight="1" x14ac:dyDescent="0.5">
      <c r="A31" s="703"/>
      <c r="B31" s="704" t="s">
        <v>458</v>
      </c>
      <c r="C31" s="698"/>
      <c r="D31" s="699"/>
      <c r="E31" s="705" t="s">
        <v>17</v>
      </c>
      <c r="F31" s="700">
        <v>0</v>
      </c>
      <c r="G31" s="700">
        <f>ROUND(IF(F31&lt;=0,0,+ราคาต้นทุน!L150),2)</f>
        <v>0</v>
      </c>
      <c r="H31" s="700">
        <f t="shared" si="8"/>
        <v>0</v>
      </c>
      <c r="I31" s="701">
        <f>IF(F31&gt;0,F!$D$20,0)</f>
        <v>0</v>
      </c>
      <c r="J31" s="700">
        <f t="shared" si="1"/>
        <v>0</v>
      </c>
      <c r="K31" s="700">
        <f t="shared" si="2"/>
        <v>0</v>
      </c>
      <c r="L31" s="737">
        <f>ราคาต้นทุน!E147</f>
        <v>5</v>
      </c>
      <c r="M31" s="738"/>
      <c r="N31" s="739">
        <v>0</v>
      </c>
      <c r="O31" s="707">
        <f t="shared" si="3"/>
        <v>0</v>
      </c>
      <c r="P31" s="740">
        <v>0</v>
      </c>
      <c r="Q31" s="741"/>
    </row>
    <row r="32" spans="1:29" ht="22.15" hidden="1" customHeight="1" x14ac:dyDescent="0.5">
      <c r="A32" s="742"/>
      <c r="B32" s="743" t="s">
        <v>425</v>
      </c>
      <c r="C32" s="698"/>
      <c r="D32" s="699"/>
      <c r="E32" s="705" t="s">
        <v>17</v>
      </c>
      <c r="F32" s="700">
        <v>0</v>
      </c>
      <c r="G32" s="700">
        <f>ROUND(IF(F32&lt;=0,0,+ราคาต้นทุน!L95),2)</f>
        <v>0</v>
      </c>
      <c r="H32" s="700">
        <f t="shared" si="8"/>
        <v>0</v>
      </c>
      <c r="I32" s="701">
        <f>IF(F32&gt;0,F!$D$20,0)</f>
        <v>0</v>
      </c>
      <c r="J32" s="700">
        <f t="shared" si="1"/>
        <v>0</v>
      </c>
      <c r="K32" s="700">
        <f t="shared" si="2"/>
        <v>0</v>
      </c>
      <c r="L32" s="706"/>
      <c r="M32" s="735"/>
      <c r="N32" s="719">
        <v>0</v>
      </c>
      <c r="O32" s="707">
        <f t="shared" si="3"/>
        <v>0</v>
      </c>
    </row>
    <row r="33" spans="1:21" ht="22.15" hidden="1" customHeight="1" x14ac:dyDescent="0.5">
      <c r="A33" s="742"/>
      <c r="B33" s="743" t="s">
        <v>426</v>
      </c>
      <c r="C33" s="698"/>
      <c r="D33" s="699"/>
      <c r="E33" s="705" t="s">
        <v>17</v>
      </c>
      <c r="F33" s="700">
        <v>0</v>
      </c>
      <c r="G33" s="700">
        <f>ROUND(IF(F33&lt;=0,0,+ราคาต้นทุน!L101),2)</f>
        <v>0</v>
      </c>
      <c r="H33" s="700">
        <f>F33*G33</f>
        <v>0</v>
      </c>
      <c r="I33" s="701">
        <f>IF(F33&gt;0,F!$D$20,0)</f>
        <v>0</v>
      </c>
      <c r="J33" s="700">
        <f t="shared" si="1"/>
        <v>0</v>
      </c>
      <c r="K33" s="700">
        <f t="shared" si="2"/>
        <v>0</v>
      </c>
      <c r="L33" s="706"/>
      <c r="M33" s="735"/>
      <c r="N33" s="719">
        <v>0</v>
      </c>
      <c r="O33" s="707">
        <f t="shared" si="3"/>
        <v>0</v>
      </c>
    </row>
    <row r="34" spans="1:21" ht="22.15" hidden="1" customHeight="1" x14ac:dyDescent="0.5">
      <c r="A34" s="742"/>
      <c r="B34" s="744" t="s">
        <v>428</v>
      </c>
      <c r="C34" s="698"/>
      <c r="D34" s="699"/>
      <c r="E34" s="705" t="s">
        <v>17</v>
      </c>
      <c r="F34" s="700">
        <f>F32+F33</f>
        <v>0</v>
      </c>
      <c r="G34" s="700">
        <f>ROUND(IF(F34&lt;=0,0,+ราคาต้นทุน!L105),2)</f>
        <v>0</v>
      </c>
      <c r="H34" s="700">
        <f t="shared" si="8"/>
        <v>0</v>
      </c>
      <c r="I34" s="701">
        <f>IF(F34&gt;0,F!$D$20,0)</f>
        <v>0</v>
      </c>
      <c r="J34" s="700">
        <f t="shared" si="1"/>
        <v>0</v>
      </c>
      <c r="K34" s="700">
        <f t="shared" si="2"/>
        <v>0</v>
      </c>
      <c r="L34" s="706"/>
      <c r="M34" s="735"/>
      <c r="N34" s="719">
        <v>0</v>
      </c>
      <c r="O34" s="707">
        <f t="shared" si="3"/>
        <v>0</v>
      </c>
    </row>
    <row r="35" spans="1:21" ht="22.15" hidden="1" customHeight="1" thickBot="1" x14ac:dyDescent="0.55000000000000004">
      <c r="A35" s="742"/>
      <c r="B35" s="745" t="s">
        <v>427</v>
      </c>
      <c r="C35" s="698"/>
      <c r="D35" s="699"/>
      <c r="E35" s="705" t="s">
        <v>17</v>
      </c>
      <c r="F35" s="700">
        <f>F34</f>
        <v>0</v>
      </c>
      <c r="G35" s="700">
        <f>ROUND(IF(F35&lt;=0,0,+ราคาต้นทุน!L114),2)</f>
        <v>0</v>
      </c>
      <c r="H35" s="700">
        <f t="shared" si="8"/>
        <v>0</v>
      </c>
      <c r="I35" s="701">
        <f>IF(F35&gt;0,F!$D$20,0)</f>
        <v>0</v>
      </c>
      <c r="J35" s="700">
        <f t="shared" si="1"/>
        <v>0</v>
      </c>
      <c r="K35" s="700">
        <f t="shared" si="2"/>
        <v>0</v>
      </c>
      <c r="L35" s="706"/>
      <c r="M35" s="735"/>
      <c r="N35" s="719">
        <v>0</v>
      </c>
      <c r="O35" s="707">
        <f t="shared" si="3"/>
        <v>0</v>
      </c>
    </row>
    <row r="36" spans="1:21" ht="22.15" customHeight="1" x14ac:dyDescent="0.5">
      <c r="A36" s="726">
        <v>3</v>
      </c>
      <c r="B36" s="697" t="s">
        <v>729</v>
      </c>
      <c r="C36" s="945"/>
      <c r="D36" s="699"/>
      <c r="E36" s="705"/>
      <c r="F36" s="700"/>
      <c r="G36" s="700"/>
      <c r="H36" s="700"/>
      <c r="I36" s="701"/>
      <c r="J36" s="700"/>
      <c r="K36" s="700"/>
      <c r="L36" s="706"/>
      <c r="M36" s="735"/>
      <c r="N36" s="719"/>
      <c r="O36" s="707"/>
    </row>
    <row r="37" spans="1:21" ht="22.15" customHeight="1" thickBot="1" x14ac:dyDescent="0.55000000000000004">
      <c r="A37" s="742"/>
      <c r="B37" s="704" t="s">
        <v>730</v>
      </c>
      <c r="C37" s="698"/>
      <c r="D37" s="699"/>
      <c r="E37" s="705" t="s">
        <v>19</v>
      </c>
      <c r="F37" s="700">
        <v>1</v>
      </c>
      <c r="G37" s="700">
        <v>900</v>
      </c>
      <c r="H37" s="700">
        <f>F37*G37</f>
        <v>900</v>
      </c>
      <c r="I37" s="701">
        <f>IF(F37&gt;0,F!$D$20,0)</f>
        <v>1.3848</v>
      </c>
      <c r="J37" s="700">
        <f t="shared" ref="J37" si="9">ROUND(G37*I37,2)</f>
        <v>1246.32</v>
      </c>
      <c r="K37" s="700">
        <f t="shared" ref="K37" si="10">ROUND(H37*I37,2)</f>
        <v>1246.32</v>
      </c>
      <c r="L37" s="706" t="s">
        <v>727</v>
      </c>
      <c r="M37" s="735"/>
      <c r="N37" s="719"/>
      <c r="O37" s="707"/>
    </row>
    <row r="38" spans="1:21" ht="22.15" customHeight="1" thickBot="1" x14ac:dyDescent="0.55000000000000004">
      <c r="A38" s="726">
        <v>4</v>
      </c>
      <c r="B38" s="697" t="s">
        <v>432</v>
      </c>
      <c r="C38" s="698"/>
      <c r="D38" s="728"/>
      <c r="E38" s="700"/>
      <c r="F38" s="700"/>
      <c r="G38" s="700"/>
      <c r="H38" s="700"/>
      <c r="I38" s="701"/>
      <c r="J38" s="700"/>
      <c r="K38" s="700"/>
      <c r="L38" s="706"/>
      <c r="M38" s="746">
        <v>1</v>
      </c>
      <c r="N38" s="747" t="s">
        <v>124</v>
      </c>
      <c r="O38" s="748" t="str">
        <f>"= ("&amp;FIXED(G5,2)&amp;"x2x0.10)x"&amp;FIXED(M38,2)&amp;""</f>
        <v>= (0.00x2x0.10)x1.00</v>
      </c>
      <c r="P38" s="747"/>
      <c r="Q38" s="749">
        <f>G5*2*0.1*M38</f>
        <v>0</v>
      </c>
      <c r="R38" s="747" t="s">
        <v>123</v>
      </c>
      <c r="S38" s="750"/>
    </row>
    <row r="39" spans="1:21" ht="22.15" customHeight="1" thickBot="1" x14ac:dyDescent="0.55000000000000004">
      <c r="A39" s="703"/>
      <c r="B39" s="704" t="s">
        <v>455</v>
      </c>
      <c r="C39" s="698"/>
      <c r="D39" s="699"/>
      <c r="E39" s="705" t="s">
        <v>17</v>
      </c>
      <c r="F39" s="751">
        <f>ROUND(กรอกข้อมูล!D10*(0.1*2+0.1*1*M39),0)</f>
        <v>46</v>
      </c>
      <c r="G39" s="700">
        <f>ROUND(IF(F39&lt;=0,0,290),2)</f>
        <v>290</v>
      </c>
      <c r="H39" s="700">
        <f>F39*G39</f>
        <v>13340</v>
      </c>
      <c r="I39" s="701">
        <f>IF(F39&gt;0,F!$D$20,0)</f>
        <v>1.3848</v>
      </c>
      <c r="J39" s="700">
        <f t="shared" si="1"/>
        <v>401.59</v>
      </c>
      <c r="K39" s="700">
        <f t="shared" si="2"/>
        <v>18473.23</v>
      </c>
      <c r="L39" s="706"/>
      <c r="M39" s="752">
        <v>0.7</v>
      </c>
      <c r="N39" s="753" t="s">
        <v>125</v>
      </c>
      <c r="O39" s="748" t="str">
        <f>"= ("&amp;FIXED(G5,2)&amp;"x1x0.10)x"&amp;FIXED(M39,2)&amp;""</f>
        <v>= (0.00x1x0.10)x0.70</v>
      </c>
      <c r="P39" s="747"/>
      <c r="Q39" s="749">
        <f>G5*1*0.1*M39</f>
        <v>0</v>
      </c>
      <c r="R39" s="753" t="s">
        <v>123</v>
      </c>
      <c r="S39" s="754">
        <f>Q38+Q39</f>
        <v>0</v>
      </c>
    </row>
    <row r="40" spans="1:21" ht="22.15" hidden="1" customHeight="1" x14ac:dyDescent="0.5">
      <c r="A40" s="703"/>
      <c r="B40" s="755" t="s">
        <v>454</v>
      </c>
      <c r="C40" s="698"/>
      <c r="D40" s="699"/>
      <c r="E40" s="705" t="s">
        <v>17</v>
      </c>
      <c r="F40" s="756">
        <f>2.6*0.1*10*L40</f>
        <v>0</v>
      </c>
      <c r="G40" s="700">
        <v>460</v>
      </c>
      <c r="H40" s="700">
        <f>F40*G40</f>
        <v>0</v>
      </c>
      <c r="I40" s="701">
        <f>IF(F40&gt;0,F!$D$20,0)</f>
        <v>0</v>
      </c>
      <c r="J40" s="700">
        <f t="shared" si="1"/>
        <v>0</v>
      </c>
      <c r="K40" s="700">
        <f t="shared" si="2"/>
        <v>0</v>
      </c>
      <c r="L40" s="757">
        <v>0</v>
      </c>
      <c r="M40" s="758"/>
      <c r="N40" s="759">
        <v>0</v>
      </c>
      <c r="O40" s="707">
        <f t="shared" si="3"/>
        <v>0</v>
      </c>
      <c r="P40" s="760" t="e">
        <f>G5*#REF!/100</f>
        <v>#REF!</v>
      </c>
      <c r="Q40" s="761" t="e">
        <f>G5-P40</f>
        <v>#REF!</v>
      </c>
    </row>
    <row r="41" spans="1:21" ht="22.15" hidden="1" customHeight="1" x14ac:dyDescent="0.5">
      <c r="A41" s="703"/>
      <c r="B41" s="755" t="s">
        <v>267</v>
      </c>
      <c r="C41" s="698"/>
      <c r="D41" s="699"/>
      <c r="E41" s="705" t="s">
        <v>17</v>
      </c>
      <c r="F41" s="762"/>
      <c r="G41" s="700">
        <f>ROUND(IF(F41&lt;=0,0,410),2)</f>
        <v>0</v>
      </c>
      <c r="H41" s="700">
        <f>F41*G41</f>
        <v>0</v>
      </c>
      <c r="I41" s="701">
        <f>IF(F41&gt;0,F!$D$20,0)</f>
        <v>0</v>
      </c>
      <c r="J41" s="700">
        <f t="shared" si="1"/>
        <v>0</v>
      </c>
      <c r="K41" s="700">
        <f t="shared" si="2"/>
        <v>0</v>
      </c>
      <c r="L41" s="763"/>
      <c r="M41" s="764"/>
      <c r="N41" s="759">
        <v>0</v>
      </c>
      <c r="O41" s="707">
        <f t="shared" si="3"/>
        <v>0</v>
      </c>
    </row>
    <row r="42" spans="1:21" ht="22.15" hidden="1" customHeight="1" x14ac:dyDescent="0.5">
      <c r="A42" s="703"/>
      <c r="B42" s="755" t="s">
        <v>220</v>
      </c>
      <c r="C42" s="698"/>
      <c r="D42" s="699"/>
      <c r="E42" s="705" t="s">
        <v>78</v>
      </c>
      <c r="F42" s="700"/>
      <c r="G42" s="700">
        <f>ROUND(IF(F42&lt;=0,0,410),2)</f>
        <v>0</v>
      </c>
      <c r="H42" s="700">
        <f>F42*G42</f>
        <v>0</v>
      </c>
      <c r="I42" s="701">
        <f>IF(F42&gt;0,F!$D$20,0)</f>
        <v>0</v>
      </c>
      <c r="J42" s="700">
        <f t="shared" si="1"/>
        <v>0</v>
      </c>
      <c r="K42" s="700">
        <f t="shared" si="2"/>
        <v>0</v>
      </c>
      <c r="L42" s="702"/>
      <c r="M42" s="208"/>
      <c r="N42" s="707">
        <v>0</v>
      </c>
      <c r="O42" s="707">
        <f t="shared" si="3"/>
        <v>0</v>
      </c>
      <c r="S42" s="199">
        <f>200*0.1</f>
        <v>20</v>
      </c>
      <c r="U42" s="199">
        <f>+(U40/100)*25*1*0.1</f>
        <v>0</v>
      </c>
    </row>
    <row r="43" spans="1:21" ht="22.15" hidden="1" customHeight="1" x14ac:dyDescent="0.5">
      <c r="A43" s="765" t="s">
        <v>676</v>
      </c>
      <c r="B43" s="697" t="s">
        <v>149</v>
      </c>
      <c r="C43" s="698"/>
      <c r="D43" s="699"/>
      <c r="E43" s="705"/>
      <c r="F43" s="700"/>
      <c r="G43" s="700"/>
      <c r="H43" s="700"/>
      <c r="I43" s="701">
        <f>IF(F43&gt;0,F!$D$20,0)</f>
        <v>0</v>
      </c>
      <c r="J43" s="700">
        <f t="shared" si="1"/>
        <v>0</v>
      </c>
      <c r="K43" s="700">
        <f t="shared" si="2"/>
        <v>0</v>
      </c>
      <c r="L43" s="702"/>
      <c r="M43" s="208"/>
      <c r="N43" s="707">
        <v>0</v>
      </c>
      <c r="O43" s="707">
        <f t="shared" si="3"/>
        <v>0</v>
      </c>
    </row>
    <row r="44" spans="1:21" ht="22.15" hidden="1" customHeight="1" x14ac:dyDescent="0.5">
      <c r="A44" s="766"/>
      <c r="B44" s="767" t="s">
        <v>459</v>
      </c>
      <c r="C44" s="698"/>
      <c r="D44" s="699"/>
      <c r="E44" s="705" t="s">
        <v>20</v>
      </c>
      <c r="F44" s="700">
        <v>0</v>
      </c>
      <c r="G44" s="700">
        <v>100</v>
      </c>
      <c r="H44" s="700">
        <f>F44*G44</f>
        <v>0</v>
      </c>
      <c r="I44" s="701">
        <f>IF(F44&gt;0,F!$D$20,0)</f>
        <v>0</v>
      </c>
      <c r="J44" s="700">
        <f t="shared" si="1"/>
        <v>0</v>
      </c>
      <c r="K44" s="700">
        <f t="shared" si="2"/>
        <v>0</v>
      </c>
      <c r="L44" s="702"/>
      <c r="M44" s="208"/>
      <c r="N44" s="707">
        <v>0</v>
      </c>
      <c r="O44" s="707">
        <f t="shared" si="3"/>
        <v>0</v>
      </c>
    </row>
    <row r="45" spans="1:21" ht="22.15" hidden="1" customHeight="1" x14ac:dyDescent="0.5">
      <c r="A45" s="766"/>
      <c r="B45" s="767" t="s">
        <v>461</v>
      </c>
      <c r="C45" s="698"/>
      <c r="D45" s="699"/>
      <c r="E45" s="705" t="s">
        <v>20</v>
      </c>
      <c r="F45" s="700"/>
      <c r="G45" s="700"/>
      <c r="H45" s="700">
        <f>F45*G45</f>
        <v>0</v>
      </c>
      <c r="I45" s="701">
        <f>IF(F45&gt;0,F!$D$20,0)</f>
        <v>0</v>
      </c>
      <c r="J45" s="700">
        <f t="shared" si="1"/>
        <v>0</v>
      </c>
      <c r="K45" s="700">
        <f t="shared" si="2"/>
        <v>0</v>
      </c>
      <c r="L45" s="702"/>
      <c r="M45" s="208"/>
      <c r="N45" s="707">
        <v>0</v>
      </c>
      <c r="O45" s="707">
        <f t="shared" si="3"/>
        <v>0</v>
      </c>
    </row>
    <row r="46" spans="1:21" ht="22.15" hidden="1" customHeight="1" x14ac:dyDescent="0.5">
      <c r="A46" s="766"/>
      <c r="B46" s="767" t="s">
        <v>460</v>
      </c>
      <c r="C46" s="698"/>
      <c r="D46" s="699"/>
      <c r="E46" s="705" t="s">
        <v>19</v>
      </c>
      <c r="F46" s="700"/>
      <c r="G46" s="700">
        <f>ROUND(0.15*4*2.5*(30+34),0)</f>
        <v>96</v>
      </c>
      <c r="H46" s="700">
        <f>F46*G46</f>
        <v>0</v>
      </c>
      <c r="I46" s="701">
        <f>IF(F46&gt;0,F!$D$20,0)</f>
        <v>0</v>
      </c>
      <c r="J46" s="700">
        <f t="shared" si="1"/>
        <v>0</v>
      </c>
      <c r="K46" s="700">
        <f t="shared" si="2"/>
        <v>0</v>
      </c>
      <c r="L46" s="702"/>
      <c r="M46" s="208"/>
      <c r="N46" s="707">
        <v>0</v>
      </c>
      <c r="O46" s="707">
        <f t="shared" si="3"/>
        <v>0</v>
      </c>
      <c r="Q46" s="655">
        <f>SUM(K11:K46)</f>
        <v>853723.42999999982</v>
      </c>
    </row>
    <row r="47" spans="1:21" ht="22.15" hidden="1" customHeight="1" x14ac:dyDescent="0.5">
      <c r="A47" s="766"/>
      <c r="B47" s="767" t="s">
        <v>151</v>
      </c>
      <c r="C47" s="698"/>
      <c r="D47" s="699"/>
      <c r="E47" s="705" t="s">
        <v>23</v>
      </c>
      <c r="F47" s="700"/>
      <c r="G47" s="700">
        <f>ROUND(IF(F47&lt;=0,0,100),2)</f>
        <v>0</v>
      </c>
      <c r="H47" s="700">
        <f>F47*G47</f>
        <v>0</v>
      </c>
      <c r="I47" s="701">
        <f>IF(F47&gt;0,F!$D$20,0)</f>
        <v>0</v>
      </c>
      <c r="J47" s="700">
        <f t="shared" si="1"/>
        <v>0</v>
      </c>
      <c r="K47" s="700">
        <f t="shared" si="2"/>
        <v>0</v>
      </c>
      <c r="L47" s="702"/>
      <c r="M47" s="208"/>
      <c r="N47" s="707">
        <v>0</v>
      </c>
      <c r="O47" s="707">
        <f t="shared" si="3"/>
        <v>0</v>
      </c>
    </row>
    <row r="48" spans="1:21" ht="22.15" hidden="1" customHeight="1" x14ac:dyDescent="0.5">
      <c r="A48" s="765" t="s">
        <v>677</v>
      </c>
      <c r="B48" s="768" t="s">
        <v>152</v>
      </c>
      <c r="C48" s="698"/>
      <c r="D48" s="699"/>
      <c r="E48" s="705"/>
      <c r="F48" s="769"/>
      <c r="G48" s="700"/>
      <c r="H48" s="700"/>
      <c r="I48" s="701">
        <f>IF(F48&gt;0,F!$D$20,0)</f>
        <v>0</v>
      </c>
      <c r="J48" s="700">
        <f t="shared" si="1"/>
        <v>0</v>
      </c>
      <c r="K48" s="700">
        <f t="shared" si="2"/>
        <v>0</v>
      </c>
      <c r="L48" s="702"/>
      <c r="M48" s="208"/>
      <c r="N48" s="707">
        <v>0</v>
      </c>
      <c r="O48" s="707">
        <f t="shared" si="3"/>
        <v>0</v>
      </c>
    </row>
    <row r="49" spans="1:18" ht="22.15" hidden="1" customHeight="1" x14ac:dyDescent="0.5">
      <c r="A49" s="765"/>
      <c r="B49" s="770" t="s">
        <v>448</v>
      </c>
      <c r="C49" s="698"/>
      <c r="D49" s="699"/>
      <c r="E49" s="705" t="s">
        <v>19</v>
      </c>
      <c r="F49" s="769">
        <v>0</v>
      </c>
      <c r="G49" s="700">
        <f>ROUND(IF(F49&lt;=0,0,R49),2)</f>
        <v>0</v>
      </c>
      <c r="H49" s="700">
        <f t="shared" ref="H49:H52" si="11">F49*G49</f>
        <v>0</v>
      </c>
      <c r="I49" s="701">
        <f>IF(F49&gt;0,F!$D$20,0)</f>
        <v>0</v>
      </c>
      <c r="J49" s="700">
        <f t="shared" ref="J49:J52" si="12">ROUND(G49*I49,2)</f>
        <v>0</v>
      </c>
      <c r="K49" s="700">
        <f t="shared" ref="K49:K52" si="13">ROUND(H49*I49,2)</f>
        <v>0</v>
      </c>
      <c r="L49" s="706" t="str">
        <f t="shared" ref="L49:L52" si="14">IF(F49&lt;=0," ","(1 ป้าย,1 เสาคอนกรีต)")</f>
        <v xml:space="preserve"> </v>
      </c>
      <c r="M49" s="735"/>
      <c r="N49" s="719">
        <v>11159.29</v>
      </c>
      <c r="O49" s="707">
        <f t="shared" si="3"/>
        <v>-11159.29</v>
      </c>
      <c r="R49" s="771">
        <v>4040</v>
      </c>
    </row>
    <row r="50" spans="1:18" ht="22.15" hidden="1" customHeight="1" x14ac:dyDescent="0.5">
      <c r="A50" s="765"/>
      <c r="B50" s="772" t="s">
        <v>449</v>
      </c>
      <c r="C50" s="698"/>
      <c r="D50" s="699"/>
      <c r="E50" s="705" t="s">
        <v>19</v>
      </c>
      <c r="F50" s="769"/>
      <c r="G50" s="700">
        <f>ROUND(IF(F50&lt;=0,0,R50),2)</f>
        <v>0</v>
      </c>
      <c r="H50" s="700">
        <f t="shared" si="11"/>
        <v>0</v>
      </c>
      <c r="I50" s="701">
        <f>IF(F50&gt;0,F!$D$20,0)</f>
        <v>0</v>
      </c>
      <c r="J50" s="700">
        <f t="shared" si="12"/>
        <v>0</v>
      </c>
      <c r="K50" s="700">
        <f t="shared" si="13"/>
        <v>0</v>
      </c>
      <c r="L50" s="706" t="str">
        <f t="shared" si="14"/>
        <v xml:space="preserve"> </v>
      </c>
      <c r="M50" s="735"/>
      <c r="N50" s="719">
        <v>0</v>
      </c>
      <c r="O50" s="707">
        <f t="shared" si="3"/>
        <v>0</v>
      </c>
      <c r="R50" s="771">
        <v>5170</v>
      </c>
    </row>
    <row r="51" spans="1:18" ht="22.15" hidden="1" customHeight="1" x14ac:dyDescent="0.5">
      <c r="A51" s="765"/>
      <c r="B51" s="772" t="s">
        <v>450</v>
      </c>
      <c r="C51" s="698"/>
      <c r="D51" s="699"/>
      <c r="E51" s="705" t="s">
        <v>19</v>
      </c>
      <c r="F51" s="769"/>
      <c r="G51" s="700">
        <f>ROUND(IF(F51&lt;=0,0,R51),2)</f>
        <v>0</v>
      </c>
      <c r="H51" s="700">
        <f t="shared" si="11"/>
        <v>0</v>
      </c>
      <c r="I51" s="701">
        <f>IF(F51&gt;0,F!$D$20,0)</f>
        <v>0</v>
      </c>
      <c r="J51" s="700">
        <f t="shared" si="12"/>
        <v>0</v>
      </c>
      <c r="K51" s="700">
        <f t="shared" si="13"/>
        <v>0</v>
      </c>
      <c r="L51" s="706" t="str">
        <f t="shared" si="14"/>
        <v xml:space="preserve"> </v>
      </c>
      <c r="M51" s="735"/>
      <c r="N51" s="719">
        <v>0</v>
      </c>
      <c r="O51" s="707">
        <f t="shared" si="3"/>
        <v>0</v>
      </c>
      <c r="R51" s="771">
        <v>2380</v>
      </c>
    </row>
    <row r="52" spans="1:18" ht="22.15" hidden="1" customHeight="1" x14ac:dyDescent="0.5">
      <c r="A52" s="765"/>
      <c r="B52" s="772" t="s">
        <v>451</v>
      </c>
      <c r="C52" s="698"/>
      <c r="D52" s="699"/>
      <c r="E52" s="705" t="s">
        <v>19</v>
      </c>
      <c r="F52" s="769"/>
      <c r="G52" s="700">
        <f>ROUND(IF(F52&lt;=0,0,R52),2)</f>
        <v>0</v>
      </c>
      <c r="H52" s="700">
        <f t="shared" si="11"/>
        <v>0</v>
      </c>
      <c r="I52" s="701">
        <f>IF(F52&gt;0,F!$D$20,0)</f>
        <v>0</v>
      </c>
      <c r="J52" s="700">
        <f t="shared" si="12"/>
        <v>0</v>
      </c>
      <c r="K52" s="700">
        <f t="shared" si="13"/>
        <v>0</v>
      </c>
      <c r="L52" s="706" t="str">
        <f t="shared" si="14"/>
        <v xml:space="preserve"> </v>
      </c>
      <c r="M52" s="735"/>
      <c r="N52" s="719">
        <v>0</v>
      </c>
      <c r="O52" s="707">
        <f t="shared" si="3"/>
        <v>0</v>
      </c>
      <c r="R52" s="771">
        <v>2660</v>
      </c>
    </row>
    <row r="53" spans="1:18" ht="22.15" hidden="1" customHeight="1" x14ac:dyDescent="0.5">
      <c r="A53" s="766"/>
      <c r="B53" s="767" t="s">
        <v>237</v>
      </c>
      <c r="C53" s="698"/>
      <c r="D53" s="699"/>
      <c r="E53" s="705" t="s">
        <v>19</v>
      </c>
      <c r="F53" s="700">
        <v>0</v>
      </c>
      <c r="G53" s="700">
        <v>2980</v>
      </c>
      <c r="H53" s="700">
        <f t="shared" ref="H53:H72" si="15">F53*G53</f>
        <v>0</v>
      </c>
      <c r="I53" s="701">
        <f>IF(F53&gt;0,F!$D$20,0)</f>
        <v>0</v>
      </c>
      <c r="J53" s="700">
        <f t="shared" si="1"/>
        <v>0</v>
      </c>
      <c r="K53" s="700">
        <f t="shared" si="2"/>
        <v>0</v>
      </c>
      <c r="L53" s="706" t="str">
        <f t="shared" ref="L53:L64" si="16">IF(F53&lt;=0," ","(1 ป้าย,1 เสาคอนกรีต)")</f>
        <v xml:space="preserve"> </v>
      </c>
      <c r="M53" s="735"/>
      <c r="N53" s="719">
        <v>28809.75</v>
      </c>
      <c r="O53" s="707">
        <f t="shared" si="3"/>
        <v>-28809.75</v>
      </c>
      <c r="R53" s="771">
        <v>2840</v>
      </c>
    </row>
    <row r="54" spans="1:18" ht="22.15" hidden="1" customHeight="1" x14ac:dyDescent="0.5">
      <c r="A54" s="766"/>
      <c r="B54" s="767" t="s">
        <v>238</v>
      </c>
      <c r="C54" s="698"/>
      <c r="D54" s="699"/>
      <c r="E54" s="705" t="s">
        <v>19</v>
      </c>
      <c r="F54" s="700"/>
      <c r="G54" s="700">
        <f t="shared" ref="G54:G68" si="17">ROUND(IF(F54&lt;=0,0,R54),2)</f>
        <v>0</v>
      </c>
      <c r="H54" s="700">
        <f t="shared" si="15"/>
        <v>0</v>
      </c>
      <c r="I54" s="701">
        <f>IF(F54&gt;0,F!$D$20,0)</f>
        <v>0</v>
      </c>
      <c r="J54" s="700">
        <f t="shared" si="1"/>
        <v>0</v>
      </c>
      <c r="K54" s="700">
        <f t="shared" si="2"/>
        <v>0</v>
      </c>
      <c r="L54" s="706" t="str">
        <f t="shared" si="16"/>
        <v xml:space="preserve"> </v>
      </c>
      <c r="M54" s="735"/>
      <c r="N54" s="719">
        <v>0</v>
      </c>
      <c r="O54" s="707">
        <f t="shared" si="3"/>
        <v>0</v>
      </c>
      <c r="R54" s="771">
        <v>4040</v>
      </c>
    </row>
    <row r="55" spans="1:18" ht="22.15" hidden="1" customHeight="1" x14ac:dyDescent="0.5">
      <c r="A55" s="766"/>
      <c r="B55" s="767" t="s">
        <v>153</v>
      </c>
      <c r="C55" s="698"/>
      <c r="D55" s="699"/>
      <c r="E55" s="705" t="s">
        <v>19</v>
      </c>
      <c r="F55" s="700"/>
      <c r="G55" s="700">
        <f t="shared" si="17"/>
        <v>0</v>
      </c>
      <c r="H55" s="700">
        <f t="shared" si="15"/>
        <v>0</v>
      </c>
      <c r="I55" s="701">
        <f>IF(F55&gt;0,F!$D$20,0)</f>
        <v>0</v>
      </c>
      <c r="J55" s="700">
        <f t="shared" si="1"/>
        <v>0</v>
      </c>
      <c r="K55" s="700">
        <f t="shared" si="2"/>
        <v>0</v>
      </c>
      <c r="L55" s="706" t="str">
        <f t="shared" si="16"/>
        <v xml:space="preserve"> </v>
      </c>
      <c r="M55" s="735"/>
      <c r="N55" s="719">
        <v>0</v>
      </c>
      <c r="O55" s="707">
        <f t="shared" si="3"/>
        <v>0</v>
      </c>
      <c r="R55" s="771">
        <v>4830</v>
      </c>
    </row>
    <row r="56" spans="1:18" ht="22.15" hidden="1" customHeight="1" x14ac:dyDescent="0.5">
      <c r="A56" s="766"/>
      <c r="B56" s="767" t="s">
        <v>236</v>
      </c>
      <c r="C56" s="698"/>
      <c r="D56" s="699"/>
      <c r="E56" s="705" t="s">
        <v>19</v>
      </c>
      <c r="F56" s="700"/>
      <c r="G56" s="700">
        <f t="shared" si="17"/>
        <v>0</v>
      </c>
      <c r="H56" s="700">
        <f t="shared" si="15"/>
        <v>0</v>
      </c>
      <c r="I56" s="701">
        <f>IF(F56&gt;0,F!$D$20,0)</f>
        <v>0</v>
      </c>
      <c r="J56" s="700">
        <f t="shared" si="1"/>
        <v>0</v>
      </c>
      <c r="K56" s="700">
        <f t="shared" si="2"/>
        <v>0</v>
      </c>
      <c r="L56" s="706" t="str">
        <f t="shared" si="16"/>
        <v xml:space="preserve"> </v>
      </c>
      <c r="M56" s="735"/>
      <c r="N56" s="719">
        <v>0</v>
      </c>
      <c r="O56" s="707">
        <f t="shared" si="3"/>
        <v>0</v>
      </c>
      <c r="R56" s="771">
        <f>2540*1+2010</f>
        <v>4550</v>
      </c>
    </row>
    <row r="57" spans="1:18" ht="22.15" hidden="1" customHeight="1" x14ac:dyDescent="0.5">
      <c r="A57" s="766"/>
      <c r="B57" s="767" t="s">
        <v>154</v>
      </c>
      <c r="C57" s="698"/>
      <c r="D57" s="699"/>
      <c r="E57" s="705" t="s">
        <v>19</v>
      </c>
      <c r="F57" s="700"/>
      <c r="G57" s="700">
        <f t="shared" si="17"/>
        <v>0</v>
      </c>
      <c r="H57" s="700">
        <f t="shared" si="15"/>
        <v>0</v>
      </c>
      <c r="I57" s="701">
        <f>IF(F57&gt;0,F!$D$20,0)</f>
        <v>0</v>
      </c>
      <c r="J57" s="700">
        <f t="shared" si="1"/>
        <v>0</v>
      </c>
      <c r="K57" s="700">
        <f t="shared" si="2"/>
        <v>0</v>
      </c>
      <c r="L57" s="706" t="str">
        <f t="shared" si="16"/>
        <v xml:space="preserve"> </v>
      </c>
      <c r="M57" s="735"/>
      <c r="N57" s="719">
        <v>0</v>
      </c>
      <c r="O57" s="707">
        <f t="shared" si="3"/>
        <v>0</v>
      </c>
      <c r="R57" s="771">
        <v>3920</v>
      </c>
    </row>
    <row r="58" spans="1:18" ht="22.15" hidden="1" customHeight="1" x14ac:dyDescent="0.5">
      <c r="A58" s="766"/>
      <c r="B58" s="767" t="s">
        <v>239</v>
      </c>
      <c r="C58" s="698"/>
      <c r="D58" s="699"/>
      <c r="E58" s="705" t="s">
        <v>19</v>
      </c>
      <c r="F58" s="700"/>
      <c r="G58" s="700">
        <f t="shared" si="17"/>
        <v>0</v>
      </c>
      <c r="H58" s="700">
        <f t="shared" si="15"/>
        <v>0</v>
      </c>
      <c r="I58" s="701">
        <f>IF(F58&gt;0,F!$D$20,0)</f>
        <v>0</v>
      </c>
      <c r="J58" s="700">
        <f t="shared" si="1"/>
        <v>0</v>
      </c>
      <c r="K58" s="700">
        <f t="shared" si="2"/>
        <v>0</v>
      </c>
      <c r="L58" s="706" t="str">
        <f t="shared" si="16"/>
        <v xml:space="preserve"> </v>
      </c>
      <c r="M58" s="735"/>
      <c r="N58" s="719">
        <v>0</v>
      </c>
      <c r="O58" s="707">
        <f t="shared" si="3"/>
        <v>0</v>
      </c>
      <c r="R58" s="771">
        <v>6070</v>
      </c>
    </row>
    <row r="59" spans="1:18" ht="22.15" hidden="1" customHeight="1" x14ac:dyDescent="0.5">
      <c r="A59" s="766"/>
      <c r="B59" s="767" t="s">
        <v>155</v>
      </c>
      <c r="C59" s="698"/>
      <c r="D59" s="699"/>
      <c r="E59" s="705" t="s">
        <v>19</v>
      </c>
      <c r="F59" s="700"/>
      <c r="G59" s="700">
        <f t="shared" si="17"/>
        <v>0</v>
      </c>
      <c r="H59" s="700">
        <f t="shared" si="15"/>
        <v>0</v>
      </c>
      <c r="I59" s="701">
        <f>IF(F59&gt;0,F!$D$20,0)</f>
        <v>0</v>
      </c>
      <c r="J59" s="700">
        <f t="shared" si="1"/>
        <v>0</v>
      </c>
      <c r="K59" s="700">
        <f t="shared" si="2"/>
        <v>0</v>
      </c>
      <c r="L59" s="706" t="str">
        <f t="shared" si="16"/>
        <v xml:space="preserve"> </v>
      </c>
      <c r="M59" s="735"/>
      <c r="N59" s="719">
        <v>0</v>
      </c>
      <c r="O59" s="707">
        <f t="shared" si="3"/>
        <v>0</v>
      </c>
      <c r="R59" s="771">
        <v>4940</v>
      </c>
    </row>
    <row r="60" spans="1:18" ht="22.15" hidden="1" customHeight="1" x14ac:dyDescent="0.5">
      <c r="A60" s="766"/>
      <c r="B60" s="767" t="s">
        <v>156</v>
      </c>
      <c r="C60" s="698"/>
      <c r="D60" s="699"/>
      <c r="E60" s="705" t="s">
        <v>19</v>
      </c>
      <c r="F60" s="700"/>
      <c r="G60" s="700">
        <f t="shared" si="17"/>
        <v>0</v>
      </c>
      <c r="H60" s="700">
        <f t="shared" si="15"/>
        <v>0</v>
      </c>
      <c r="I60" s="701">
        <f>IF(F60&gt;0,F!$D$20,0)</f>
        <v>0</v>
      </c>
      <c r="J60" s="700">
        <f t="shared" si="1"/>
        <v>0</v>
      </c>
      <c r="K60" s="700">
        <f t="shared" si="2"/>
        <v>0</v>
      </c>
      <c r="L60" s="706" t="str">
        <f t="shared" si="16"/>
        <v xml:space="preserve"> </v>
      </c>
      <c r="M60" s="735"/>
      <c r="N60" s="719">
        <v>0</v>
      </c>
      <c r="O60" s="707">
        <f t="shared" si="3"/>
        <v>0</v>
      </c>
      <c r="R60" s="771">
        <v>3920</v>
      </c>
    </row>
    <row r="61" spans="1:18" ht="22.15" hidden="1" customHeight="1" x14ac:dyDescent="0.5">
      <c r="A61" s="766"/>
      <c r="B61" s="767" t="s">
        <v>157</v>
      </c>
      <c r="C61" s="698"/>
      <c r="D61" s="699"/>
      <c r="E61" s="705" t="s">
        <v>19</v>
      </c>
      <c r="F61" s="700"/>
      <c r="G61" s="700">
        <f t="shared" si="17"/>
        <v>0</v>
      </c>
      <c r="H61" s="700">
        <f t="shared" si="15"/>
        <v>0</v>
      </c>
      <c r="I61" s="701">
        <f>IF(F61&gt;0,F!$D$20,0)</f>
        <v>0</v>
      </c>
      <c r="J61" s="700">
        <f t="shared" si="1"/>
        <v>0</v>
      </c>
      <c r="K61" s="700">
        <f t="shared" si="2"/>
        <v>0</v>
      </c>
      <c r="L61" s="706" t="str">
        <f t="shared" si="16"/>
        <v xml:space="preserve"> </v>
      </c>
      <c r="M61" s="735"/>
      <c r="N61" s="719">
        <v>0</v>
      </c>
      <c r="O61" s="707">
        <f t="shared" si="3"/>
        <v>0</v>
      </c>
      <c r="R61" s="771">
        <v>4310</v>
      </c>
    </row>
    <row r="62" spans="1:18" ht="22.15" hidden="1" customHeight="1" x14ac:dyDescent="0.5">
      <c r="A62" s="766"/>
      <c r="B62" s="767" t="s">
        <v>158</v>
      </c>
      <c r="C62" s="698"/>
      <c r="D62" s="699"/>
      <c r="E62" s="705" t="s">
        <v>19</v>
      </c>
      <c r="F62" s="700"/>
      <c r="G62" s="700">
        <f t="shared" si="17"/>
        <v>0</v>
      </c>
      <c r="H62" s="700">
        <f t="shared" si="15"/>
        <v>0</v>
      </c>
      <c r="I62" s="701">
        <f>IF(F62&gt;0,F!$D$20,0)</f>
        <v>0</v>
      </c>
      <c r="J62" s="700">
        <f t="shared" si="1"/>
        <v>0</v>
      </c>
      <c r="K62" s="700">
        <f t="shared" si="2"/>
        <v>0</v>
      </c>
      <c r="L62" s="706" t="str">
        <f t="shared" si="16"/>
        <v xml:space="preserve"> </v>
      </c>
      <c r="M62" s="735"/>
      <c r="N62" s="719">
        <v>0</v>
      </c>
      <c r="O62" s="707">
        <f t="shared" si="3"/>
        <v>0</v>
      </c>
      <c r="R62" s="771">
        <v>2470</v>
      </c>
    </row>
    <row r="63" spans="1:18" ht="22.15" hidden="1" customHeight="1" x14ac:dyDescent="0.5">
      <c r="A63" s="766"/>
      <c r="B63" s="767" t="s">
        <v>159</v>
      </c>
      <c r="C63" s="698"/>
      <c r="D63" s="699"/>
      <c r="E63" s="705" t="s">
        <v>19</v>
      </c>
      <c r="F63" s="700"/>
      <c r="G63" s="700">
        <f t="shared" si="17"/>
        <v>0</v>
      </c>
      <c r="H63" s="700">
        <f t="shared" si="15"/>
        <v>0</v>
      </c>
      <c r="I63" s="701">
        <f>IF(F63&gt;0,F!$D$20,0)</f>
        <v>0</v>
      </c>
      <c r="J63" s="700">
        <f t="shared" si="1"/>
        <v>0</v>
      </c>
      <c r="K63" s="700">
        <f t="shared" si="2"/>
        <v>0</v>
      </c>
      <c r="L63" s="706" t="str">
        <f t="shared" si="16"/>
        <v xml:space="preserve"> </v>
      </c>
      <c r="M63" s="735"/>
      <c r="N63" s="719">
        <v>0</v>
      </c>
      <c r="O63" s="707">
        <f t="shared" si="3"/>
        <v>0</v>
      </c>
      <c r="R63" s="771">
        <v>4240</v>
      </c>
    </row>
    <row r="64" spans="1:18" ht="22.15" hidden="1" customHeight="1" x14ac:dyDescent="0.5">
      <c r="A64" s="766"/>
      <c r="B64" s="767" t="s">
        <v>160</v>
      </c>
      <c r="C64" s="698"/>
      <c r="D64" s="699"/>
      <c r="E64" s="705" t="s">
        <v>19</v>
      </c>
      <c r="F64" s="700"/>
      <c r="G64" s="700">
        <f t="shared" si="17"/>
        <v>0</v>
      </c>
      <c r="H64" s="700">
        <f t="shared" si="15"/>
        <v>0</v>
      </c>
      <c r="I64" s="701">
        <f>IF(F64&gt;0,F!$D$20,0)</f>
        <v>0</v>
      </c>
      <c r="J64" s="700">
        <f t="shared" si="1"/>
        <v>0</v>
      </c>
      <c r="K64" s="700">
        <f t="shared" si="2"/>
        <v>0</v>
      </c>
      <c r="L64" s="706" t="str">
        <f t="shared" si="16"/>
        <v xml:space="preserve"> </v>
      </c>
      <c r="M64" s="735"/>
      <c r="N64" s="719">
        <v>0</v>
      </c>
      <c r="O64" s="707">
        <f t="shared" si="3"/>
        <v>0</v>
      </c>
      <c r="R64" s="771">
        <v>2960</v>
      </c>
    </row>
    <row r="65" spans="1:20" ht="22.15" hidden="1" customHeight="1" x14ac:dyDescent="0.5">
      <c r="A65" s="766"/>
      <c r="B65" s="767" t="s">
        <v>236</v>
      </c>
      <c r="C65" s="698"/>
      <c r="D65" s="699"/>
      <c r="E65" s="705" t="s">
        <v>19</v>
      </c>
      <c r="F65" s="700"/>
      <c r="G65" s="700">
        <f t="shared" si="17"/>
        <v>0</v>
      </c>
      <c r="H65" s="700">
        <f t="shared" si="15"/>
        <v>0</v>
      </c>
      <c r="I65" s="701">
        <f>IF(F65&gt;0,F!$D$20,0)</f>
        <v>0</v>
      </c>
      <c r="J65" s="700">
        <f t="shared" si="1"/>
        <v>0</v>
      </c>
      <c r="K65" s="700">
        <f t="shared" si="2"/>
        <v>0</v>
      </c>
      <c r="L65" s="706" t="str">
        <f>IF(F65&lt;=0," ","(2 ป้าย,1 เสาคอนกรีต)")</f>
        <v xml:space="preserve"> </v>
      </c>
      <c r="M65" s="735"/>
      <c r="N65" s="719">
        <v>0</v>
      </c>
      <c r="O65" s="707">
        <f t="shared" si="3"/>
        <v>0</v>
      </c>
      <c r="R65" s="771">
        <f>2540*2+2010-500</f>
        <v>6590</v>
      </c>
    </row>
    <row r="66" spans="1:20" ht="22.15" hidden="1" customHeight="1" x14ac:dyDescent="0.5">
      <c r="A66" s="766"/>
      <c r="B66" s="767" t="s">
        <v>150</v>
      </c>
      <c r="C66" s="698"/>
      <c r="D66" s="699"/>
      <c r="E66" s="705" t="s">
        <v>20</v>
      </c>
      <c r="F66" s="700">
        <v>0</v>
      </c>
      <c r="G66" s="700">
        <f t="shared" si="17"/>
        <v>0</v>
      </c>
      <c r="H66" s="700">
        <f t="shared" si="15"/>
        <v>0</v>
      </c>
      <c r="I66" s="701">
        <f>IF(F66&gt;0,F!$D$20,0)</f>
        <v>0</v>
      </c>
      <c r="J66" s="700">
        <f t="shared" si="1"/>
        <v>0</v>
      </c>
      <c r="K66" s="700">
        <f t="shared" si="2"/>
        <v>0</v>
      </c>
      <c r="L66" s="702"/>
      <c r="M66" s="208"/>
      <c r="N66" s="707">
        <v>0</v>
      </c>
      <c r="O66" s="707">
        <f t="shared" si="3"/>
        <v>0</v>
      </c>
      <c r="R66" s="771">
        <v>2260</v>
      </c>
    </row>
    <row r="67" spans="1:20" ht="22.15" hidden="1" customHeight="1" x14ac:dyDescent="0.5">
      <c r="A67" s="766"/>
      <c r="B67" s="767" t="s">
        <v>161</v>
      </c>
      <c r="C67" s="698"/>
      <c r="D67" s="699"/>
      <c r="E67" s="705" t="s">
        <v>20</v>
      </c>
      <c r="F67" s="700"/>
      <c r="G67" s="700">
        <f t="shared" si="17"/>
        <v>0</v>
      </c>
      <c r="H67" s="700">
        <f t="shared" si="15"/>
        <v>0</v>
      </c>
      <c r="I67" s="701">
        <f>IF(F67&gt;0,F!$D$20,0)</f>
        <v>0</v>
      </c>
      <c r="J67" s="700">
        <f t="shared" si="1"/>
        <v>0</v>
      </c>
      <c r="K67" s="700">
        <f t="shared" si="2"/>
        <v>0</v>
      </c>
      <c r="L67" s="702"/>
      <c r="M67" s="208"/>
      <c r="N67" s="707">
        <v>0</v>
      </c>
      <c r="O67" s="707">
        <f t="shared" si="3"/>
        <v>0</v>
      </c>
      <c r="R67" s="771">
        <v>340</v>
      </c>
    </row>
    <row r="68" spans="1:20" ht="22.15" hidden="1" customHeight="1" x14ac:dyDescent="0.5">
      <c r="A68" s="766"/>
      <c r="B68" s="767" t="s">
        <v>240</v>
      </c>
      <c r="C68" s="698"/>
      <c r="D68" s="699"/>
      <c r="E68" s="705" t="s">
        <v>20</v>
      </c>
      <c r="F68" s="700"/>
      <c r="G68" s="700">
        <f t="shared" si="17"/>
        <v>0</v>
      </c>
      <c r="H68" s="700">
        <f t="shared" si="15"/>
        <v>0</v>
      </c>
      <c r="I68" s="701">
        <f>IF(F68&gt;0,F!$D$20,0)</f>
        <v>0</v>
      </c>
      <c r="J68" s="700">
        <f t="shared" si="1"/>
        <v>0</v>
      </c>
      <c r="K68" s="700">
        <f t="shared" si="2"/>
        <v>0</v>
      </c>
      <c r="L68" s="702"/>
      <c r="M68" s="208"/>
      <c r="N68" s="707">
        <v>0</v>
      </c>
      <c r="O68" s="707">
        <f t="shared" si="3"/>
        <v>0</v>
      </c>
      <c r="R68" s="771">
        <v>570</v>
      </c>
    </row>
    <row r="69" spans="1:20" ht="22.15" hidden="1" customHeight="1" x14ac:dyDescent="0.5">
      <c r="A69" s="766"/>
      <c r="B69" s="767" t="s">
        <v>241</v>
      </c>
      <c r="C69" s="698"/>
      <c r="D69" s="699"/>
      <c r="E69" s="705" t="s">
        <v>20</v>
      </c>
      <c r="F69" s="700">
        <v>0</v>
      </c>
      <c r="G69" s="700">
        <v>590</v>
      </c>
      <c r="H69" s="700">
        <f t="shared" si="15"/>
        <v>0</v>
      </c>
      <c r="I69" s="701">
        <f>IF(F69&gt;0,F!$D$20,0)</f>
        <v>0</v>
      </c>
      <c r="J69" s="700">
        <f t="shared" si="1"/>
        <v>0</v>
      </c>
      <c r="K69" s="700">
        <f t="shared" si="2"/>
        <v>0</v>
      </c>
      <c r="L69" s="702"/>
      <c r="M69" s="208"/>
      <c r="N69" s="707">
        <v>27704.87</v>
      </c>
      <c r="O69" s="707">
        <f t="shared" si="3"/>
        <v>-27704.87</v>
      </c>
      <c r="R69" s="771">
        <v>620</v>
      </c>
    </row>
    <row r="70" spans="1:20" ht="22.15" hidden="1" customHeight="1" x14ac:dyDescent="0.5">
      <c r="A70" s="766"/>
      <c r="B70" s="767" t="s">
        <v>669</v>
      </c>
      <c r="C70" s="698"/>
      <c r="D70" s="699"/>
      <c r="E70" s="705" t="s">
        <v>23</v>
      </c>
      <c r="F70" s="700"/>
      <c r="G70" s="700">
        <v>1660</v>
      </c>
      <c r="H70" s="700">
        <f t="shared" si="15"/>
        <v>0</v>
      </c>
      <c r="I70" s="701">
        <f>IF(F70&gt;0,F!$D$20,0)</f>
        <v>0</v>
      </c>
      <c r="J70" s="700">
        <f t="shared" si="1"/>
        <v>0</v>
      </c>
      <c r="K70" s="700">
        <f t="shared" si="2"/>
        <v>0</v>
      </c>
      <c r="L70" s="702"/>
      <c r="M70" s="773">
        <f>ปร.5!K24</f>
        <v>9046276.5700000003</v>
      </c>
      <c r="N70" s="774">
        <v>0</v>
      </c>
      <c r="O70" s="707">
        <f t="shared" si="3"/>
        <v>0</v>
      </c>
      <c r="R70" s="771">
        <v>1730</v>
      </c>
    </row>
    <row r="71" spans="1:20" ht="22.15" hidden="1" customHeight="1" x14ac:dyDescent="0.5">
      <c r="A71" s="766"/>
      <c r="B71" s="767" t="s">
        <v>452</v>
      </c>
      <c r="C71" s="698"/>
      <c r="D71" s="699"/>
      <c r="E71" s="705" t="s">
        <v>23</v>
      </c>
      <c r="F71" s="700"/>
      <c r="G71" s="700">
        <v>1300</v>
      </c>
      <c r="H71" s="700">
        <f t="shared" si="15"/>
        <v>0</v>
      </c>
      <c r="I71" s="701">
        <f>IF(F71&gt;0,F!$D$20,0)</f>
        <v>0</v>
      </c>
      <c r="J71" s="700">
        <f t="shared" si="1"/>
        <v>0</v>
      </c>
      <c r="K71" s="700">
        <f t="shared" si="2"/>
        <v>0</v>
      </c>
      <c r="L71" s="702"/>
      <c r="M71" s="208"/>
      <c r="N71" s="707">
        <v>0</v>
      </c>
      <c r="O71" s="707">
        <f t="shared" si="3"/>
        <v>0</v>
      </c>
      <c r="R71" s="771">
        <v>1330</v>
      </c>
    </row>
    <row r="72" spans="1:20" ht="22.15" hidden="1" customHeight="1" x14ac:dyDescent="0.5">
      <c r="A72" s="766"/>
      <c r="B72" s="767" t="s">
        <v>266</v>
      </c>
      <c r="C72" s="775"/>
      <c r="D72" s="776"/>
      <c r="E72" s="705" t="s">
        <v>19</v>
      </c>
      <c r="F72" s="700"/>
      <c r="G72" s="700">
        <v>350</v>
      </c>
      <c r="H72" s="700">
        <f t="shared" si="15"/>
        <v>0</v>
      </c>
      <c r="I72" s="701">
        <f>IF(F72&gt;0,F!$D$20,0)</f>
        <v>0</v>
      </c>
      <c r="J72" s="700">
        <f t="shared" si="1"/>
        <v>0</v>
      </c>
      <c r="K72" s="700">
        <f t="shared" si="2"/>
        <v>0</v>
      </c>
      <c r="L72" s="702"/>
      <c r="M72" s="208"/>
      <c r="N72" s="707">
        <v>0</v>
      </c>
      <c r="O72" s="707">
        <f t="shared" si="3"/>
        <v>0</v>
      </c>
      <c r="R72" s="771">
        <v>870</v>
      </c>
    </row>
    <row r="73" spans="1:20" ht="22.15" hidden="1" customHeight="1" x14ac:dyDescent="0.5">
      <c r="A73" s="726" t="s">
        <v>678</v>
      </c>
      <c r="B73" s="768" t="s">
        <v>465</v>
      </c>
      <c r="C73" s="775"/>
      <c r="D73" s="776"/>
      <c r="E73" s="705"/>
      <c r="F73" s="700"/>
      <c r="G73" s="700"/>
      <c r="H73" s="700"/>
      <c r="I73" s="701">
        <f>IF(F73&gt;0,F!$D$20,0)</f>
        <v>0</v>
      </c>
      <c r="J73" s="700"/>
      <c r="K73" s="700"/>
      <c r="L73" s="702"/>
      <c r="M73" s="208"/>
      <c r="N73" s="707"/>
      <c r="O73" s="707">
        <f t="shared" si="3"/>
        <v>0</v>
      </c>
      <c r="R73" s="656"/>
    </row>
    <row r="74" spans="1:20" ht="22.15" hidden="1" customHeight="1" x14ac:dyDescent="0.5">
      <c r="A74" s="733"/>
      <c r="B74" s="767" t="s">
        <v>464</v>
      </c>
      <c r="C74" s="775"/>
      <c r="D74" s="776"/>
      <c r="E74" s="705" t="s">
        <v>19</v>
      </c>
      <c r="F74" s="700"/>
      <c r="G74" s="700">
        <v>19000</v>
      </c>
      <c r="H74" s="700">
        <f t="shared" ref="H74" si="18">F74*G74</f>
        <v>0</v>
      </c>
      <c r="I74" s="701">
        <f>IF(F74&gt;0,F!$D$20,0)</f>
        <v>0</v>
      </c>
      <c r="J74" s="700">
        <f>ROUND(G74*I74,2)</f>
        <v>0</v>
      </c>
      <c r="K74" s="700">
        <f t="shared" ref="K74" si="19">ROUND(H74*I74,2)</f>
        <v>0</v>
      </c>
      <c r="L74" s="702"/>
      <c r="M74" s="208"/>
      <c r="N74" s="707">
        <v>0</v>
      </c>
      <c r="O74" s="707">
        <f t="shared" si="3"/>
        <v>0</v>
      </c>
      <c r="R74" s="656"/>
    </row>
    <row r="75" spans="1:20" ht="22.15" hidden="1" customHeight="1" x14ac:dyDescent="0.5">
      <c r="A75" s="733"/>
      <c r="B75" s="767" t="s">
        <v>466</v>
      </c>
      <c r="C75" s="775"/>
      <c r="D75" s="776"/>
      <c r="E75" s="705" t="s">
        <v>19</v>
      </c>
      <c r="F75" s="700"/>
      <c r="G75" s="700">
        <v>70000</v>
      </c>
      <c r="H75" s="700">
        <f t="shared" ref="H75" si="20">F75*G75</f>
        <v>0</v>
      </c>
      <c r="I75" s="701">
        <f>IF(F75&gt;0,F!$D$20,0)</f>
        <v>0</v>
      </c>
      <c r="J75" s="700">
        <f t="shared" ref="J75" si="21">ROUND(G75*I75,2)</f>
        <v>0</v>
      </c>
      <c r="K75" s="700">
        <f t="shared" ref="K75" si="22">ROUND(H75*I75,2)</f>
        <v>0</v>
      </c>
      <c r="L75" s="702"/>
      <c r="M75" s="208"/>
      <c r="N75" s="707">
        <v>0</v>
      </c>
      <c r="O75" s="707">
        <f t="shared" si="3"/>
        <v>0</v>
      </c>
      <c r="R75" s="656"/>
    </row>
    <row r="76" spans="1:20" ht="22.15" hidden="1" customHeight="1" x14ac:dyDescent="0.5">
      <c r="A76" s="766">
        <v>4.2</v>
      </c>
      <c r="B76" s="767" t="s">
        <v>456</v>
      </c>
      <c r="C76" s="775"/>
      <c r="D76" s="776"/>
      <c r="E76" s="705" t="s">
        <v>19</v>
      </c>
      <c r="F76" s="700"/>
      <c r="G76" s="700">
        <v>19000</v>
      </c>
      <c r="H76" s="700">
        <f t="shared" ref="H76:H86" si="23">F76*G76</f>
        <v>0</v>
      </c>
      <c r="I76" s="701">
        <f>IF(F76&gt;0,F!$D$20,0)</f>
        <v>0</v>
      </c>
      <c r="J76" s="700">
        <f t="shared" ref="J76" si="24">ROUND(G76*I76,2)</f>
        <v>0</v>
      </c>
      <c r="K76" s="700">
        <f t="shared" ref="K76" si="25">ROUND(H76*I76,2)</f>
        <v>0</v>
      </c>
      <c r="L76" s="702"/>
      <c r="M76" s="208"/>
      <c r="N76" s="707">
        <v>0</v>
      </c>
      <c r="O76" s="707">
        <f t="shared" si="3"/>
        <v>0</v>
      </c>
      <c r="R76" s="656"/>
    </row>
    <row r="77" spans="1:20" ht="22.15" hidden="1" customHeight="1" x14ac:dyDescent="0.5">
      <c r="A77" s="766"/>
      <c r="B77" s="767" t="s">
        <v>269</v>
      </c>
      <c r="C77" s="775"/>
      <c r="D77" s="776"/>
      <c r="E77" s="705" t="s">
        <v>19</v>
      </c>
      <c r="F77" s="700"/>
      <c r="G77" s="700">
        <v>30000</v>
      </c>
      <c r="H77" s="700">
        <f t="shared" si="23"/>
        <v>0</v>
      </c>
      <c r="I77" s="701">
        <f>IF(F77&gt;0,F!$D$20,0)</f>
        <v>0</v>
      </c>
      <c r="J77" s="700">
        <f t="shared" si="1"/>
        <v>0</v>
      </c>
      <c r="K77" s="700">
        <f t="shared" si="2"/>
        <v>0</v>
      </c>
      <c r="L77" s="702"/>
      <c r="M77" s="208"/>
      <c r="N77" s="707">
        <v>0</v>
      </c>
      <c r="O77" s="707">
        <f t="shared" si="3"/>
        <v>0</v>
      </c>
      <c r="R77" s="656">
        <v>21100</v>
      </c>
      <c r="S77" s="199">
        <v>170</v>
      </c>
      <c r="T77" s="777">
        <f>+S77*1.5</f>
        <v>255</v>
      </c>
    </row>
    <row r="78" spans="1:20" ht="22.15" hidden="1" customHeight="1" thickBot="1" x14ac:dyDescent="0.55000000000000004">
      <c r="A78" s="778"/>
      <c r="B78" s="779" t="s">
        <v>670</v>
      </c>
      <c r="C78" s="780"/>
      <c r="D78" s="781"/>
      <c r="E78" s="782" t="s">
        <v>18</v>
      </c>
      <c r="F78" s="783"/>
      <c r="G78" s="783">
        <v>1682.24</v>
      </c>
      <c r="H78" s="783">
        <f t="shared" si="23"/>
        <v>0</v>
      </c>
      <c r="I78" s="701">
        <f>IF(F78&gt;0,F!$D$20,0)</f>
        <v>0</v>
      </c>
      <c r="J78" s="783">
        <f t="shared" si="1"/>
        <v>0</v>
      </c>
      <c r="K78" s="783">
        <f t="shared" si="2"/>
        <v>0</v>
      </c>
      <c r="L78" s="784"/>
      <c r="M78" s="208"/>
      <c r="N78" s="707">
        <v>0</v>
      </c>
      <c r="O78" s="707">
        <f t="shared" si="3"/>
        <v>0</v>
      </c>
      <c r="R78" s="656"/>
      <c r="T78" s="777"/>
    </row>
    <row r="79" spans="1:20" ht="22.15" hidden="1" customHeight="1" thickTop="1" x14ac:dyDescent="0.5">
      <c r="A79" s="785"/>
      <c r="B79" s="786" t="s">
        <v>672</v>
      </c>
      <c r="C79" s="787"/>
      <c r="D79" s="788"/>
      <c r="E79" s="789" t="s">
        <v>18</v>
      </c>
      <c r="F79" s="790"/>
      <c r="G79" s="790">
        <f>ราคาวัสดุ!J24</f>
        <v>283.91000000000003</v>
      </c>
      <c r="H79" s="790">
        <f t="shared" ref="H79" si="26">F79*G79</f>
        <v>0</v>
      </c>
      <c r="I79" s="701">
        <f>IF(F79&gt;0,F!$D$20,0)</f>
        <v>0</v>
      </c>
      <c r="J79" s="790">
        <f t="shared" ref="J79" si="27">ROUND(G79*I79,2)</f>
        <v>0</v>
      </c>
      <c r="K79" s="790">
        <f t="shared" ref="K79" si="28">ROUND(H79*I79,2)</f>
        <v>0</v>
      </c>
      <c r="L79" s="791"/>
      <c r="M79" s="208"/>
      <c r="N79" s="707">
        <v>0</v>
      </c>
      <c r="O79" s="707">
        <f t="shared" ref="O79:O87" si="29">K79-N79</f>
        <v>0</v>
      </c>
      <c r="R79" s="656"/>
      <c r="T79" s="777"/>
    </row>
    <row r="80" spans="1:20" ht="22.15" hidden="1" customHeight="1" x14ac:dyDescent="0.5">
      <c r="A80" s="792"/>
      <c r="B80" s="793" t="s">
        <v>679</v>
      </c>
      <c r="C80" s="794"/>
      <c r="D80" s="795"/>
      <c r="E80" s="796" t="s">
        <v>667</v>
      </c>
      <c r="F80" s="797"/>
      <c r="G80" s="797">
        <f>ราคาต้นทุน!L161</f>
        <v>2810</v>
      </c>
      <c r="H80" s="797">
        <f>F80*G80</f>
        <v>0</v>
      </c>
      <c r="I80" s="701">
        <f>IF(F80&gt;0,F!$D$20,0)</f>
        <v>0</v>
      </c>
      <c r="J80" s="797">
        <f>ROUND(G80*I80,2)</f>
        <v>0</v>
      </c>
      <c r="K80" s="797">
        <f>ROUND(H80*I80,2)</f>
        <v>0</v>
      </c>
      <c r="L80" s="798"/>
      <c r="M80" s="208"/>
      <c r="N80" s="707">
        <v>0</v>
      </c>
      <c r="O80" s="707">
        <f t="shared" si="29"/>
        <v>0</v>
      </c>
      <c r="R80" s="656"/>
    </row>
    <row r="81" spans="1:23" ht="22.15" hidden="1" customHeight="1" x14ac:dyDescent="0.5">
      <c r="A81" s="766"/>
      <c r="B81" s="767" t="s">
        <v>671</v>
      </c>
      <c r="C81" s="775"/>
      <c r="D81" s="776"/>
      <c r="E81" s="705" t="s">
        <v>667</v>
      </c>
      <c r="F81" s="700"/>
      <c r="G81" s="700">
        <f>ราคาต้นทุน!L171</f>
        <v>1939</v>
      </c>
      <c r="H81" s="700">
        <f t="shared" ref="H81" si="30">F81*G81</f>
        <v>0</v>
      </c>
      <c r="I81" s="701">
        <f>IF(F81&gt;0,F!$D$20,0)</f>
        <v>0</v>
      </c>
      <c r="J81" s="700">
        <f t="shared" ref="J81" si="31">ROUND(G81*I81,2)</f>
        <v>0</v>
      </c>
      <c r="K81" s="700">
        <f t="shared" ref="K81" si="32">ROUND(H81*I81,2)</f>
        <v>0</v>
      </c>
      <c r="L81" s="702"/>
      <c r="M81" s="208"/>
      <c r="N81" s="707">
        <v>0</v>
      </c>
      <c r="O81" s="707">
        <f t="shared" si="29"/>
        <v>0</v>
      </c>
      <c r="R81" s="656"/>
    </row>
    <row r="82" spans="1:23" ht="22.15" hidden="1" customHeight="1" x14ac:dyDescent="0.5">
      <c r="A82" s="766"/>
      <c r="B82" s="767" t="s">
        <v>685</v>
      </c>
      <c r="C82" s="775"/>
      <c r="D82" s="776"/>
      <c r="E82" s="705" t="s">
        <v>667</v>
      </c>
      <c r="F82" s="700"/>
      <c r="G82" s="700">
        <f>ราคาต้นทุน!L181</f>
        <v>1412</v>
      </c>
      <c r="H82" s="700">
        <f t="shared" ref="H82" si="33">F82*G82</f>
        <v>0</v>
      </c>
      <c r="I82" s="701">
        <f>IF(F82&gt;0,F!$D$20,0)</f>
        <v>0</v>
      </c>
      <c r="J82" s="700">
        <f t="shared" ref="J82" si="34">ROUND(G82*I82,2)</f>
        <v>0</v>
      </c>
      <c r="K82" s="700">
        <f t="shared" ref="K82" si="35">ROUND(H82*I82,2)</f>
        <v>0</v>
      </c>
      <c r="L82" s="702"/>
      <c r="M82" s="208"/>
      <c r="N82" s="707">
        <v>0</v>
      </c>
      <c r="O82" s="707">
        <f t="shared" si="29"/>
        <v>0</v>
      </c>
      <c r="R82" s="656"/>
    </row>
    <row r="83" spans="1:23" ht="22.15" hidden="1" customHeight="1" x14ac:dyDescent="0.5">
      <c r="A83" s="766"/>
      <c r="B83" s="767" t="s">
        <v>665</v>
      </c>
      <c r="C83" s="775"/>
      <c r="D83" s="776"/>
      <c r="E83" s="705" t="s">
        <v>78</v>
      </c>
      <c r="F83" s="700"/>
      <c r="G83" s="700">
        <v>3000</v>
      </c>
      <c r="H83" s="700">
        <f>F83*G83</f>
        <v>0</v>
      </c>
      <c r="I83" s="701">
        <f>IF(F83&gt;0,F!$D$20,0)</f>
        <v>0</v>
      </c>
      <c r="J83" s="700">
        <f t="shared" ref="J83" si="36">ROUND(G83*I83,2)</f>
        <v>0</v>
      </c>
      <c r="K83" s="700">
        <f t="shared" ref="K83" si="37">ROUND(H83*I83,2)</f>
        <v>0</v>
      </c>
      <c r="L83" s="702"/>
      <c r="M83" s="208"/>
      <c r="N83" s="707">
        <v>0</v>
      </c>
      <c r="O83" s="707">
        <f t="shared" si="29"/>
        <v>0</v>
      </c>
      <c r="R83" s="656"/>
    </row>
    <row r="84" spans="1:23" ht="22.15" hidden="1" customHeight="1" x14ac:dyDescent="0.5">
      <c r="A84" s="766"/>
      <c r="B84" s="767" t="s">
        <v>686</v>
      </c>
      <c r="C84" s="775"/>
      <c r="D84" s="776"/>
      <c r="E84" s="705" t="s">
        <v>193</v>
      </c>
      <c r="F84" s="700"/>
      <c r="G84" s="700">
        <v>50000</v>
      </c>
      <c r="H84" s="700">
        <f t="shared" si="23"/>
        <v>0</v>
      </c>
      <c r="I84" s="701">
        <f>IF(F84&gt;0,F!$D$20,0)</f>
        <v>0</v>
      </c>
      <c r="J84" s="700">
        <f t="shared" si="1"/>
        <v>0</v>
      </c>
      <c r="K84" s="700">
        <f t="shared" si="2"/>
        <v>0</v>
      </c>
      <c r="L84" s="702"/>
      <c r="M84" s="208"/>
      <c r="N84" s="707">
        <v>0</v>
      </c>
      <c r="O84" s="707">
        <f t="shared" si="29"/>
        <v>0</v>
      </c>
      <c r="R84" s="656">
        <v>19000</v>
      </c>
    </row>
    <row r="85" spans="1:23" ht="22.15" hidden="1" customHeight="1" x14ac:dyDescent="0.5">
      <c r="A85" s="766"/>
      <c r="B85" s="767" t="s">
        <v>268</v>
      </c>
      <c r="C85" s="775"/>
      <c r="D85" s="776"/>
      <c r="E85" s="705" t="s">
        <v>19</v>
      </c>
      <c r="F85" s="700"/>
      <c r="G85" s="700">
        <v>325</v>
      </c>
      <c r="H85" s="700">
        <f t="shared" si="23"/>
        <v>0</v>
      </c>
      <c r="I85" s="701">
        <f>IF(F85&gt;0,F!$D$20,0)</f>
        <v>0</v>
      </c>
      <c r="J85" s="700">
        <f>ROUND(G85*I85,2)</f>
        <v>0</v>
      </c>
      <c r="K85" s="700">
        <f>ROUND(H85*I85,2)</f>
        <v>0</v>
      </c>
      <c r="L85" s="702"/>
      <c r="M85" s="208"/>
      <c r="N85" s="707">
        <v>0</v>
      </c>
      <c r="O85" s="707">
        <f t="shared" si="29"/>
        <v>0</v>
      </c>
      <c r="R85" s="656">
        <v>21100</v>
      </c>
      <c r="S85" s="199">
        <v>170</v>
      </c>
      <c r="T85" s="777">
        <f>+S85*1.5</f>
        <v>255</v>
      </c>
    </row>
    <row r="86" spans="1:23" ht="22.15" hidden="1" customHeight="1" x14ac:dyDescent="0.5">
      <c r="A86" s="766"/>
      <c r="B86" s="767" t="s">
        <v>162</v>
      </c>
      <c r="C86" s="775"/>
      <c r="D86" s="776"/>
      <c r="E86" s="705" t="s">
        <v>19</v>
      </c>
      <c r="F86" s="700">
        <v>0</v>
      </c>
      <c r="G86" s="700">
        <f>ROUND(IF(F86&lt;=0,0,R86),2)</f>
        <v>0</v>
      </c>
      <c r="H86" s="700">
        <f t="shared" si="23"/>
        <v>0</v>
      </c>
      <c r="I86" s="701">
        <f>IF(F86&gt;0,F!$D$20,0)</f>
        <v>0</v>
      </c>
      <c r="J86" s="700">
        <f>ROUND(G86*I86,2)</f>
        <v>0</v>
      </c>
      <c r="K86" s="700">
        <f>ROUND(H86*I86,2)</f>
        <v>0</v>
      </c>
      <c r="L86" s="702"/>
      <c r="M86" s="208"/>
      <c r="N86" s="707">
        <v>0</v>
      </c>
      <c r="O86" s="707">
        <f t="shared" si="29"/>
        <v>0</v>
      </c>
      <c r="R86" s="656">
        <v>20200</v>
      </c>
      <c r="S86" s="199">
        <v>150</v>
      </c>
      <c r="T86" s="777">
        <f>+S86*1.5</f>
        <v>225</v>
      </c>
    </row>
    <row r="87" spans="1:23" ht="22.15" hidden="1" customHeight="1" x14ac:dyDescent="0.5">
      <c r="A87" s="726">
        <v>4</v>
      </c>
      <c r="B87" s="799" t="s">
        <v>214</v>
      </c>
      <c r="C87" s="770"/>
      <c r="D87" s="800"/>
      <c r="E87" s="705" t="s">
        <v>19</v>
      </c>
      <c r="F87" s="700">
        <v>0</v>
      </c>
      <c r="G87" s="801">
        <v>2322.2600000000002</v>
      </c>
      <c r="H87" s="762">
        <f>ROUND(F87*G87,2)</f>
        <v>0</v>
      </c>
      <c r="I87" s="701">
        <f>IF(F87&gt;0,F!$D$20,0)</f>
        <v>0</v>
      </c>
      <c r="J87" s="762">
        <f>ROUND(G87*I87,2)</f>
        <v>0</v>
      </c>
      <c r="K87" s="762">
        <f>ROUND(H87*I87,2)</f>
        <v>0</v>
      </c>
      <c r="L87" s="702"/>
      <c r="M87" s="208"/>
      <c r="N87" s="707">
        <v>3040.07</v>
      </c>
      <c r="O87" s="707">
        <f t="shared" si="29"/>
        <v>-3040.07</v>
      </c>
      <c r="Q87" s="199">
        <f>450+250</f>
        <v>700</v>
      </c>
      <c r="R87" s="199">
        <f>(Q87*2+Q87)*0.1</f>
        <v>210</v>
      </c>
      <c r="S87" s="199">
        <v>110</v>
      </c>
      <c r="T87" s="777">
        <f>+S87*1.5</f>
        <v>165</v>
      </c>
    </row>
    <row r="88" spans="1:23" ht="22.15" customHeight="1" x14ac:dyDescent="0.5">
      <c r="A88" s="802"/>
      <c r="B88" s="803"/>
      <c r="C88" s="804"/>
      <c r="D88" s="805"/>
      <c r="E88" s="806"/>
      <c r="F88" s="807"/>
      <c r="G88" s="806"/>
      <c r="H88" s="806"/>
      <c r="I88" s="808"/>
      <c r="J88" s="806"/>
      <c r="K88" s="806"/>
      <c r="L88" s="809"/>
      <c r="M88" s="810">
        <v>1709816.6799999992</v>
      </c>
      <c r="N88" s="810"/>
      <c r="O88" s="810"/>
      <c r="R88" s="199">
        <f>(Q88*2+Q88)*0.1</f>
        <v>0</v>
      </c>
      <c r="S88" s="199">
        <v>280</v>
      </c>
      <c r="T88" s="777">
        <f>S88*1.4</f>
        <v>392</v>
      </c>
    </row>
    <row r="89" spans="1:23" ht="22.15" customHeight="1" thickBot="1" x14ac:dyDescent="0.55000000000000004">
      <c r="A89" s="811"/>
      <c r="B89" s="812"/>
      <c r="C89" s="813"/>
      <c r="D89" s="813"/>
      <c r="E89" s="814" t="s">
        <v>15</v>
      </c>
      <c r="F89" s="815"/>
      <c r="G89" s="816"/>
      <c r="H89" s="815">
        <f>SUM(H11:H88)</f>
        <v>616495.84000000008</v>
      </c>
      <c r="I89" s="1092"/>
      <c r="J89" s="1093"/>
      <c r="K89" s="815">
        <f>SUM(K11:K88)</f>
        <v>853723.42999999982</v>
      </c>
      <c r="L89" s="817"/>
      <c r="M89" s="810">
        <v>1709816.68</v>
      </c>
      <c r="N89" s="810"/>
      <c r="O89" s="810"/>
      <c r="Q89" s="199">
        <v>400</v>
      </c>
      <c r="R89" s="199">
        <f>(Q89*2+Q89/4)*0.1</f>
        <v>90</v>
      </c>
      <c r="S89" s="199">
        <v>285</v>
      </c>
      <c r="T89" s="777">
        <f>285*1.4</f>
        <v>399</v>
      </c>
      <c r="U89" s="199">
        <f>301*1.4</f>
        <v>421.4</v>
      </c>
    </row>
    <row r="90" spans="1:23" ht="21.75" customHeight="1" thickTop="1" thickBot="1" x14ac:dyDescent="0.55000000000000004">
      <c r="A90" s="818" t="s">
        <v>736</v>
      </c>
      <c r="B90" s="819"/>
      <c r="C90" s="820"/>
      <c r="D90" s="820"/>
      <c r="E90" s="821"/>
      <c r="F90" s="821"/>
      <c r="G90" s="821"/>
      <c r="H90" s="822"/>
      <c r="I90" s="1094"/>
      <c r="J90" s="1095"/>
      <c r="K90" s="823">
        <f>K89</f>
        <v>853723.42999999982</v>
      </c>
      <c r="L90" s="824"/>
      <c r="M90" s="741">
        <f>K90-M89</f>
        <v>-856093.25000000012</v>
      </c>
      <c r="N90" s="741"/>
      <c r="O90" s="741"/>
      <c r="Q90" s="825">
        <v>9702000</v>
      </c>
      <c r="R90" s="826">
        <f>SUM(R87:R89)</f>
        <v>300</v>
      </c>
      <c r="S90" s="827"/>
    </row>
    <row r="91" spans="1:23" ht="22.15" customHeight="1" thickTop="1" thickBot="1" x14ac:dyDescent="0.55000000000000004">
      <c r="A91" s="818"/>
      <c r="B91" s="819"/>
      <c r="C91" s="819"/>
      <c r="D91" s="819"/>
      <c r="E91" s="828"/>
      <c r="F91" s="828"/>
      <c r="G91" s="828"/>
      <c r="H91" s="822"/>
      <c r="I91" s="829"/>
      <c r="J91" s="828"/>
      <c r="K91" s="830" t="str">
        <f>"ตัวอักษร "&amp;"("&amp;BAHTTEXT(K90)&amp;")"</f>
        <v>ตัวอักษร (แปดแสนห้าหมื่นสามพันเจ็ดร้อยยี่สิบสามบาทสี่สิบสามสตางค์)</v>
      </c>
      <c r="L91" s="831"/>
      <c r="Q91" s="825">
        <f>Q90-K89</f>
        <v>8848276.5700000003</v>
      </c>
      <c r="S91" s="832"/>
      <c r="U91" s="199" t="s">
        <v>216</v>
      </c>
      <c r="V91" s="741" t="e">
        <f>ROUND(K90/J43,2)</f>
        <v>#DIV/0!</v>
      </c>
      <c r="W91" s="199" t="s">
        <v>217</v>
      </c>
    </row>
    <row r="92" spans="1:23" ht="22.15" customHeight="1" thickTop="1" x14ac:dyDescent="0.5">
      <c r="A92" s="833"/>
      <c r="B92" s="833"/>
      <c r="C92" s="833"/>
      <c r="D92" s="833"/>
      <c r="E92" s="833"/>
      <c r="F92" s="833"/>
      <c r="G92" s="833"/>
      <c r="H92" s="833"/>
      <c r="I92" s="833"/>
      <c r="J92" s="833"/>
      <c r="K92" s="833"/>
      <c r="L92" s="833"/>
      <c r="M92" s="647"/>
      <c r="N92" s="647"/>
      <c r="O92" s="647"/>
      <c r="P92" s="834"/>
      <c r="Q92" s="834"/>
      <c r="R92" s="834"/>
    </row>
    <row r="93" spans="1:23" ht="22.15" customHeight="1" x14ac:dyDescent="0.5">
      <c r="A93" s="647"/>
      <c r="B93" s="647"/>
      <c r="C93" s="647"/>
      <c r="D93" s="647"/>
      <c r="E93" s="647"/>
      <c r="F93" s="647"/>
      <c r="G93" s="647"/>
      <c r="H93" s="647"/>
      <c r="I93" s="647"/>
      <c r="J93" s="647"/>
      <c r="K93" s="647"/>
      <c r="L93" s="647"/>
      <c r="M93" s="647"/>
      <c r="N93" s="647"/>
      <c r="O93" s="647"/>
      <c r="P93" s="834"/>
      <c r="Q93" s="834"/>
      <c r="R93" s="834"/>
    </row>
    <row r="94" spans="1:23" ht="22.15" customHeight="1" x14ac:dyDescent="0.5">
      <c r="A94" s="835"/>
      <c r="C94" s="836"/>
      <c r="E94" s="837"/>
      <c r="F94" s="838"/>
      <c r="G94" s="838"/>
      <c r="H94" s="838"/>
      <c r="I94" s="839"/>
      <c r="J94" s="838"/>
      <c r="K94" s="837"/>
    </row>
    <row r="95" spans="1:23" ht="22.15" customHeight="1" x14ac:dyDescent="0.5">
      <c r="A95" s="1076"/>
      <c r="B95" s="1076"/>
      <c r="C95" s="1076"/>
      <c r="E95" s="200"/>
      <c r="F95" s="841"/>
      <c r="G95" s="838"/>
      <c r="H95" s="838"/>
      <c r="I95" s="839"/>
      <c r="J95" s="838"/>
      <c r="K95" s="200"/>
    </row>
    <row r="96" spans="1:23" ht="22.15" customHeight="1" x14ac:dyDescent="0.5">
      <c r="A96" s="1076"/>
      <c r="B96" s="1076"/>
      <c r="C96" s="1076"/>
      <c r="E96" s="200"/>
      <c r="F96" s="841"/>
      <c r="G96" s="838"/>
      <c r="H96" s="838"/>
      <c r="I96" s="839"/>
      <c r="J96" s="838"/>
      <c r="K96" s="346"/>
    </row>
    <row r="99" spans="1:18" ht="22.15" customHeight="1" x14ac:dyDescent="0.5">
      <c r="A99" s="1091"/>
      <c r="B99" s="1091"/>
      <c r="C99" s="1091"/>
      <c r="D99" s="1091"/>
      <c r="E99" s="1091"/>
      <c r="F99" s="1091"/>
      <c r="G99" s="1091"/>
      <c r="H99" s="1091"/>
      <c r="I99" s="1091"/>
      <c r="J99" s="1091"/>
      <c r="K99" s="1091"/>
      <c r="L99" s="1091"/>
      <c r="M99" s="647"/>
      <c r="N99" s="647"/>
      <c r="O99" s="647"/>
      <c r="P99" s="834"/>
      <c r="Q99" s="834"/>
      <c r="R99" s="834"/>
    </row>
    <row r="100" spans="1:18" ht="22.15" customHeight="1" x14ac:dyDescent="0.5">
      <c r="A100" s="842"/>
      <c r="E100" s="843"/>
      <c r="F100" s="843"/>
      <c r="G100" s="840"/>
      <c r="H100" s="843"/>
      <c r="I100" s="844"/>
      <c r="J100" s="843"/>
      <c r="K100" s="843"/>
      <c r="L100" s="845"/>
      <c r="M100" s="845"/>
      <c r="N100" s="845"/>
      <c r="O100" s="845"/>
      <c r="P100" s="845"/>
      <c r="Q100" s="845"/>
      <c r="R100" s="845"/>
    </row>
    <row r="101" spans="1:18" ht="22.15" customHeight="1" x14ac:dyDescent="0.5">
      <c r="A101" s="835"/>
      <c r="C101" s="836"/>
      <c r="E101" s="837"/>
      <c r="F101" s="838"/>
      <c r="G101" s="838"/>
      <c r="H101" s="838"/>
      <c r="I101" s="839"/>
      <c r="J101" s="838"/>
      <c r="K101" s="837"/>
    </row>
    <row r="102" spans="1:18" ht="22.15" customHeight="1" x14ac:dyDescent="0.5">
      <c r="A102" s="200"/>
      <c r="C102" s="200"/>
      <c r="E102" s="837"/>
      <c r="F102" s="838"/>
      <c r="G102" s="838"/>
      <c r="H102" s="838"/>
      <c r="I102" s="839"/>
      <c r="J102" s="838"/>
      <c r="K102" s="837"/>
    </row>
    <row r="103" spans="1:18" ht="22.15" customHeight="1" x14ac:dyDescent="0.5">
      <c r="A103" s="200"/>
      <c r="C103" s="200"/>
      <c r="E103" s="837"/>
      <c r="F103" s="838"/>
      <c r="G103" s="838"/>
      <c r="H103" s="838"/>
      <c r="I103" s="839"/>
      <c r="J103" s="838"/>
      <c r="K103" s="837"/>
    </row>
    <row r="105" spans="1:18" ht="22.15" customHeight="1" x14ac:dyDescent="0.5">
      <c r="A105" s="835"/>
      <c r="C105" s="836"/>
      <c r="E105" s="837"/>
      <c r="F105" s="838"/>
      <c r="G105" s="838"/>
      <c r="H105" s="838"/>
      <c r="I105" s="839"/>
      <c r="J105" s="838"/>
      <c r="K105" s="837"/>
    </row>
    <row r="106" spans="1:18" ht="22.15" customHeight="1" x14ac:dyDescent="0.5">
      <c r="A106" s="837"/>
      <c r="C106" s="200"/>
      <c r="E106" s="837"/>
      <c r="F106" s="838"/>
      <c r="G106" s="838"/>
      <c r="H106" s="838"/>
      <c r="I106" s="839"/>
      <c r="J106" s="838"/>
      <c r="K106" s="200"/>
    </row>
    <row r="107" spans="1:18" ht="22.15" customHeight="1" x14ac:dyDescent="0.5">
      <c r="A107" s="837"/>
      <c r="C107" s="200"/>
      <c r="E107" s="837"/>
      <c r="F107" s="838"/>
      <c r="G107" s="838"/>
      <c r="H107" s="838"/>
      <c r="I107" s="839"/>
      <c r="J107" s="838"/>
      <c r="K107" s="200"/>
    </row>
  </sheetData>
  <mergeCells count="13">
    <mergeCell ref="A99:L99"/>
    <mergeCell ref="A1:L1"/>
    <mergeCell ref="I89:J89"/>
    <mergeCell ref="I90:J90"/>
    <mergeCell ref="I8:I9"/>
    <mergeCell ref="L8:L9"/>
    <mergeCell ref="B8:D9"/>
    <mergeCell ref="F8:F9"/>
    <mergeCell ref="E8:E9"/>
    <mergeCell ref="K8:K9"/>
    <mergeCell ref="H8:H9"/>
    <mergeCell ref="A95:C95"/>
    <mergeCell ref="A96:C96"/>
  </mergeCells>
  <phoneticPr fontId="0" type="noConversion"/>
  <printOptions horizontalCentered="1"/>
  <pageMargins left="0.23622047244094491" right="0.23622047244094491" top="0.35433070866141736" bottom="0.35433070866141736" header="0.31496062992125984" footer="0.31496062992125984"/>
  <pageSetup paperSize="9" scale="85" orientation="landscape" blackAndWhite="1" horizontalDpi="4294967293" verticalDpi="360" r:id="rId1"/>
  <headerFooter alignWithMargins="0">
    <oddHeader>&amp;R&amp;"TH SarabunPSK,ธรรมดา"&amp;16ปร.4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AG235"/>
  <sheetViews>
    <sheetView view="pageBreakPreview" topLeftCell="A84" zoomScaleSheetLayoutView="100" workbookViewId="0">
      <selection activeCell="L126" sqref="L126"/>
    </sheetView>
  </sheetViews>
  <sheetFormatPr defaultColWidth="9.140625" defaultRowHeight="21.95" customHeight="1" x14ac:dyDescent="0.5"/>
  <cols>
    <col min="1" max="1" width="2.140625" style="849" customWidth="1"/>
    <col min="2" max="2" width="12.85546875" style="849" customWidth="1"/>
    <col min="3" max="3" width="11.140625" style="849" customWidth="1"/>
    <col min="4" max="4" width="13.5703125" style="849" customWidth="1"/>
    <col min="5" max="5" width="10.28515625" style="849" customWidth="1"/>
    <col min="6" max="6" width="8" style="849" customWidth="1"/>
    <col min="7" max="7" width="9.7109375" style="849" customWidth="1"/>
    <col min="8" max="8" width="12.28515625" style="849" customWidth="1"/>
    <col min="9" max="9" width="6" style="849" customWidth="1"/>
    <col min="10" max="10" width="3.5703125" style="849" customWidth="1"/>
    <col min="11" max="11" width="3.85546875" style="849" customWidth="1"/>
    <col min="12" max="12" width="10.7109375" style="849" customWidth="1"/>
    <col min="13" max="13" width="7.5703125" style="849" customWidth="1"/>
    <col min="14" max="14" width="10.5703125" style="849" customWidth="1"/>
    <col min="15" max="15" width="10" style="849" customWidth="1"/>
    <col min="16" max="16" width="8.7109375" style="849" customWidth="1"/>
    <col min="17" max="17" width="3.28515625" style="849" customWidth="1"/>
    <col min="18" max="19" width="8.7109375" style="849" customWidth="1"/>
    <col min="20" max="20" width="10.28515625" style="849" customWidth="1"/>
    <col min="21" max="21" width="8.7109375" style="849" customWidth="1"/>
    <col min="22" max="22" width="10.42578125" style="849" customWidth="1"/>
    <col min="23" max="23" width="7.140625" style="849" customWidth="1"/>
    <col min="24" max="24" width="14.140625" style="849" customWidth="1"/>
    <col min="25" max="25" width="7.42578125" style="849" customWidth="1"/>
    <col min="26" max="26" width="3.28515625" style="849" customWidth="1"/>
    <col min="27" max="27" width="9.5703125" style="849" customWidth="1"/>
    <col min="28" max="28" width="6.5703125" style="849" customWidth="1"/>
    <col min="29" max="29" width="13.5703125" style="849" customWidth="1"/>
    <col min="30" max="30" width="14.7109375" style="849" bestFit="1" customWidth="1"/>
    <col min="31" max="16384" width="9.140625" style="849"/>
  </cols>
  <sheetData>
    <row r="1" spans="1:33" ht="21.95" customHeight="1" x14ac:dyDescent="0.5">
      <c r="A1" s="1112" t="s">
        <v>408</v>
      </c>
      <c r="B1" s="1112"/>
      <c r="C1" s="1112"/>
      <c r="D1" s="1112"/>
      <c r="E1" s="1112"/>
      <c r="F1" s="1112"/>
      <c r="G1" s="1112"/>
      <c r="H1" s="1112"/>
      <c r="I1" s="1112"/>
      <c r="J1" s="1112"/>
      <c r="K1" s="1112"/>
      <c r="L1" s="1112"/>
      <c r="M1" s="1112"/>
      <c r="N1" s="1112"/>
      <c r="O1" s="849" t="s">
        <v>34</v>
      </c>
      <c r="P1" s="850">
        <v>1</v>
      </c>
      <c r="Q1" s="851" t="s">
        <v>84</v>
      </c>
      <c r="R1" s="849" t="s">
        <v>85</v>
      </c>
      <c r="S1" s="852"/>
      <c r="T1" s="852"/>
      <c r="U1" s="852"/>
      <c r="X1" s="852"/>
      <c r="Y1" s="853"/>
    </row>
    <row r="2" spans="1:33" ht="21.95" customHeight="1" x14ac:dyDescent="0.5">
      <c r="A2" s="1113" t="str">
        <f>ราคาวัสดุ!A2</f>
        <v>งานทาง</v>
      </c>
      <c r="B2" s="1113"/>
      <c r="C2" s="1113"/>
      <c r="D2" s="1113"/>
      <c r="E2" s="1113"/>
      <c r="F2" s="1113"/>
      <c r="G2" s="1113"/>
      <c r="H2" s="1113"/>
      <c r="I2" s="1113"/>
      <c r="J2" s="1113"/>
      <c r="K2" s="1113"/>
      <c r="L2" s="1113"/>
      <c r="M2" s="1113"/>
      <c r="N2" s="1113"/>
      <c r="O2" s="849" t="s">
        <v>36</v>
      </c>
      <c r="P2" s="850">
        <v>2</v>
      </c>
      <c r="Q2" s="851" t="s">
        <v>84</v>
      </c>
      <c r="R2" s="849" t="s">
        <v>94</v>
      </c>
      <c r="S2" s="854"/>
      <c r="T2" s="854"/>
      <c r="U2" s="854"/>
      <c r="X2" s="855"/>
      <c r="Y2" s="852"/>
      <c r="Z2" s="848"/>
      <c r="AA2" s="852"/>
      <c r="AB2" s="852"/>
    </row>
    <row r="3" spans="1:33" ht="21.95" customHeight="1" x14ac:dyDescent="0.5">
      <c r="B3" s="852" t="s">
        <v>139</v>
      </c>
      <c r="C3" s="856" t="str">
        <f>กรอกข้อมูล!B3</f>
        <v>ซ่อมสร้างถนนลาดยางแอสฟัลต์ติกคอนกรีต  สายทาง 1089  ตำบลป่าตึง อำเภอแม่จัน จังหวัดเชียงราย</v>
      </c>
    </row>
    <row r="4" spans="1:33" ht="21.95" customHeight="1" x14ac:dyDescent="0.5">
      <c r="B4" s="852" t="s">
        <v>140</v>
      </c>
      <c r="C4" s="856" t="str">
        <f>ปร.งานทาง!C4</f>
        <v xml:space="preserve">หน้าโรงเรียนศุภปัญญา  หมู่ 4 ตำบลป่าตึง อำเภอแม่จัน จังหวัดเชียงราย </v>
      </c>
      <c r="E4" s="856"/>
      <c r="F4" s="856"/>
      <c r="G4" s="856"/>
      <c r="H4" s="856"/>
      <c r="I4" s="856"/>
      <c r="O4" s="856"/>
      <c r="AB4" s="851"/>
    </row>
    <row r="5" spans="1:33" ht="21.95" customHeight="1" x14ac:dyDescent="0.5">
      <c r="B5" s="852"/>
      <c r="C5" s="856"/>
      <c r="E5" s="856"/>
      <c r="F5" s="856"/>
      <c r="G5" s="856"/>
      <c r="H5" s="856"/>
      <c r="I5" s="856"/>
      <c r="O5" s="856"/>
      <c r="AB5" s="851"/>
    </row>
    <row r="6" spans="1:33" ht="21.95" customHeight="1" x14ac:dyDescent="0.5">
      <c r="A6" s="857"/>
      <c r="B6" s="857" t="str">
        <f>ปร.งานทาง!A7</f>
        <v>ราคาน้ำมันดีเซล ที่ อ.เมือง  32.00 - 32.99 บาท/ลิตร เฉลี่ย  32.50 บาท/ลิตร</v>
      </c>
      <c r="C6" s="858"/>
      <c r="D6" s="859"/>
      <c r="E6" s="859"/>
      <c r="F6" s="859"/>
      <c r="G6" s="860"/>
      <c r="H6" s="857"/>
      <c r="I6" s="857"/>
      <c r="J6" s="858"/>
      <c r="K6" s="861" t="str">
        <f>ปร.งานทาง!J7</f>
        <v xml:space="preserve">ประมาณราคาเมื่อ  </v>
      </c>
      <c r="L6" s="1116" t="str">
        <f>ปร.งานทาง!K7</f>
        <v xml:space="preserve">  มิถุนายน 2568</v>
      </c>
      <c r="M6" s="1116"/>
      <c r="N6" s="1116"/>
      <c r="X6" s="862"/>
      <c r="Y6" s="863"/>
      <c r="Z6" s="851"/>
      <c r="AA6" s="862"/>
    </row>
    <row r="7" spans="1:33" ht="5.0999999999999996" customHeight="1" x14ac:dyDescent="0.5">
      <c r="G7" s="864"/>
      <c r="H7" s="865"/>
      <c r="W7" s="852"/>
      <c r="Z7" s="851"/>
      <c r="AA7" s="862"/>
      <c r="AB7" s="866"/>
      <c r="AC7" s="866"/>
      <c r="AD7" s="866"/>
      <c r="AE7" s="865"/>
      <c r="AG7" s="851"/>
    </row>
    <row r="8" spans="1:33" ht="21.95" customHeight="1" x14ac:dyDescent="0.5">
      <c r="A8" s="852"/>
      <c r="B8" s="852" t="s">
        <v>433</v>
      </c>
      <c r="G8" s="864"/>
      <c r="H8" s="865"/>
      <c r="W8" s="852"/>
      <c r="X8" s="866"/>
      <c r="Y8" s="866"/>
      <c r="Z8" s="867"/>
      <c r="AA8" s="868"/>
      <c r="AB8" s="866"/>
      <c r="AC8" s="866"/>
      <c r="AD8" s="866"/>
      <c r="AE8" s="865"/>
      <c r="AG8" s="851"/>
    </row>
    <row r="9" spans="1:33" ht="21.95" hidden="1" customHeight="1" x14ac:dyDescent="0.5">
      <c r="B9" s="869" t="s">
        <v>697</v>
      </c>
      <c r="C9" s="869"/>
      <c r="X9" s="866"/>
      <c r="Y9" s="866"/>
      <c r="Z9" s="867"/>
      <c r="AA9" s="866"/>
      <c r="AB9" s="866"/>
      <c r="AC9" s="866"/>
      <c r="AD9" s="866"/>
      <c r="AE9" s="865"/>
    </row>
    <row r="10" spans="1:33" ht="21.95" hidden="1" customHeight="1" x14ac:dyDescent="0.5">
      <c r="B10" s="862" t="s">
        <v>76</v>
      </c>
      <c r="C10" s="862"/>
      <c r="Q10" s="851"/>
      <c r="S10" s="870"/>
      <c r="T10" s="870"/>
      <c r="U10" s="870"/>
      <c r="X10" s="866"/>
      <c r="Y10" s="866"/>
      <c r="Z10" s="867"/>
      <c r="AA10" s="866"/>
      <c r="AB10" s="866"/>
      <c r="AC10" s="866"/>
      <c r="AD10" s="866"/>
      <c r="AE10" s="865"/>
    </row>
    <row r="11" spans="1:33" ht="21.95" hidden="1" customHeight="1" x14ac:dyDescent="0.45">
      <c r="B11" s="175"/>
      <c r="C11" s="862"/>
      <c r="K11" s="851"/>
      <c r="N11" s="870"/>
      <c r="Q11" s="851"/>
      <c r="S11" s="870"/>
      <c r="T11" s="870"/>
      <c r="U11" s="870"/>
      <c r="X11" s="866"/>
      <c r="Y11" s="866"/>
      <c r="Z11" s="867"/>
      <c r="AA11" s="866"/>
      <c r="AB11" s="866"/>
      <c r="AC11" s="866"/>
      <c r="AD11" s="866"/>
      <c r="AE11" s="865"/>
    </row>
    <row r="12" spans="1:33" ht="21.95" hidden="1" customHeight="1" x14ac:dyDescent="0.5">
      <c r="B12" s="862"/>
      <c r="C12" s="862"/>
      <c r="K12" s="851"/>
      <c r="N12" s="870"/>
      <c r="Q12" s="851"/>
      <c r="S12" s="870"/>
      <c r="T12" s="870"/>
      <c r="U12" s="870"/>
      <c r="X12" s="866"/>
      <c r="Y12" s="866"/>
      <c r="Z12" s="867"/>
      <c r="AA12" s="866"/>
      <c r="AB12" s="866"/>
      <c r="AC12" s="866"/>
      <c r="AD12" s="866"/>
      <c r="AE12" s="865"/>
    </row>
    <row r="13" spans="1:33" ht="21.95" hidden="1" customHeight="1" x14ac:dyDescent="0.5">
      <c r="B13" s="862"/>
      <c r="C13" s="871">
        <f>280*400</f>
        <v>112000</v>
      </c>
      <c r="D13" s="872">
        <v>1</v>
      </c>
      <c r="E13" s="872">
        <v>1</v>
      </c>
      <c r="K13" s="851" t="s">
        <v>8</v>
      </c>
      <c r="L13" s="849">
        <f>(C13/C14)*(D13/D14)*(E13/E14)</f>
        <v>11.666666666666666</v>
      </c>
      <c r="M13" s="849" t="s">
        <v>324</v>
      </c>
      <c r="N13" s="870"/>
      <c r="Q13" s="851"/>
      <c r="S13" s="870"/>
      <c r="T13" s="870"/>
      <c r="U13" s="870"/>
      <c r="X13" s="866"/>
      <c r="Y13" s="866"/>
      <c r="Z13" s="867"/>
      <c r="AA13" s="866"/>
      <c r="AB13" s="866"/>
      <c r="AC13" s="866"/>
      <c r="AD13" s="866"/>
      <c r="AE13" s="865"/>
    </row>
    <row r="14" spans="1:33" ht="21.95" hidden="1" customHeight="1" x14ac:dyDescent="0.5">
      <c r="B14" s="862"/>
      <c r="C14" s="873">
        <v>2</v>
      </c>
      <c r="D14" s="873">
        <v>1600</v>
      </c>
      <c r="E14" s="873">
        <v>3</v>
      </c>
      <c r="K14" s="851"/>
      <c r="N14" s="870"/>
      <c r="Q14" s="851"/>
      <c r="S14" s="870"/>
      <c r="T14" s="870"/>
      <c r="U14" s="870"/>
      <c r="X14" s="866"/>
      <c r="Y14" s="866"/>
      <c r="Z14" s="867"/>
      <c r="AA14" s="866"/>
      <c r="AB14" s="866"/>
      <c r="AC14" s="866"/>
      <c r="AD14" s="866"/>
      <c r="AE14" s="865"/>
    </row>
    <row r="15" spans="1:33" ht="21.95" hidden="1" customHeight="1" x14ac:dyDescent="0.5">
      <c r="B15" s="862" t="s">
        <v>319</v>
      </c>
      <c r="C15" s="862"/>
      <c r="F15" s="865"/>
      <c r="K15" s="851" t="s">
        <v>8</v>
      </c>
      <c r="L15" s="849">
        <f>+'S2'!BK9</f>
        <v>23.08</v>
      </c>
      <c r="M15" s="849" t="s">
        <v>324</v>
      </c>
      <c r="N15" s="870"/>
      <c r="Q15" s="851"/>
      <c r="S15" s="870"/>
      <c r="T15" s="870"/>
      <c r="U15" s="870"/>
      <c r="X15" s="866"/>
      <c r="Y15" s="868"/>
      <c r="Z15" s="866"/>
      <c r="AA15" s="866"/>
      <c r="AB15" s="866"/>
      <c r="AC15" s="866"/>
      <c r="AD15" s="866"/>
    </row>
    <row r="16" spans="1:33" ht="21.95" hidden="1" customHeight="1" x14ac:dyDescent="0.5">
      <c r="B16" s="862" t="s">
        <v>77</v>
      </c>
      <c r="C16" s="874">
        <f>ราคาวัสดุ!F35</f>
        <v>10</v>
      </c>
      <c r="D16" s="849" t="s">
        <v>21</v>
      </c>
      <c r="K16" s="851" t="s">
        <v>8</v>
      </c>
      <c r="L16" s="875">
        <f>+ราคาวัสดุ!G35</f>
        <v>37.700000000000003</v>
      </c>
      <c r="M16" s="849" t="s">
        <v>324</v>
      </c>
      <c r="N16" s="870"/>
      <c r="Q16" s="851"/>
      <c r="S16" s="870"/>
      <c r="T16" s="870"/>
      <c r="U16" s="870"/>
      <c r="X16" s="866"/>
      <c r="Y16" s="866"/>
      <c r="Z16" s="867"/>
      <c r="AA16" s="866"/>
      <c r="AB16" s="866"/>
      <c r="AC16" s="866"/>
      <c r="AD16" s="866"/>
      <c r="AE16" s="865"/>
    </row>
    <row r="17" spans="1:31" ht="21.95" hidden="1" customHeight="1" x14ac:dyDescent="0.5">
      <c r="B17" s="862"/>
      <c r="C17" s="849" t="s">
        <v>15</v>
      </c>
      <c r="K17" s="851" t="s">
        <v>8</v>
      </c>
      <c r="L17" s="849">
        <f>ROUND(SUM(L9:L16),2)</f>
        <v>72.45</v>
      </c>
      <c r="M17" s="849" t="s">
        <v>324</v>
      </c>
      <c r="N17" s="870"/>
      <c r="Q17" s="851"/>
      <c r="S17" s="870"/>
      <c r="T17" s="870"/>
      <c r="U17" s="870"/>
      <c r="X17" s="866"/>
      <c r="Y17" s="866"/>
      <c r="Z17" s="867"/>
      <c r="AA17" s="866"/>
      <c r="AB17" s="866"/>
      <c r="AC17" s="866"/>
      <c r="AD17" s="866"/>
      <c r="AE17" s="865"/>
    </row>
    <row r="18" spans="1:31" ht="21.95" hidden="1" customHeight="1" x14ac:dyDescent="0.5">
      <c r="B18" s="862" t="s">
        <v>317</v>
      </c>
      <c r="D18" s="876">
        <v>1.6</v>
      </c>
      <c r="E18" s="877">
        <f>L17</f>
        <v>72.45</v>
      </c>
      <c r="K18" s="851" t="s">
        <v>8</v>
      </c>
      <c r="L18" s="878">
        <f>ROUND(D18*L17,2)</f>
        <v>115.92</v>
      </c>
      <c r="M18" s="849" t="s">
        <v>324</v>
      </c>
      <c r="N18" s="870"/>
      <c r="Q18" s="851"/>
      <c r="R18" s="878"/>
      <c r="S18" s="870"/>
      <c r="T18" s="870"/>
      <c r="U18" s="870"/>
      <c r="X18" s="866"/>
      <c r="Y18" s="866"/>
      <c r="Z18" s="867"/>
      <c r="AA18" s="866"/>
      <c r="AB18" s="866"/>
      <c r="AC18" s="866"/>
      <c r="AD18" s="866"/>
      <c r="AE18" s="865"/>
    </row>
    <row r="19" spans="1:31" ht="21.95" hidden="1" customHeight="1" x14ac:dyDescent="0.5">
      <c r="B19" s="862" t="s">
        <v>318</v>
      </c>
      <c r="D19" s="876"/>
      <c r="E19" s="877"/>
      <c r="K19" s="851" t="s">
        <v>8</v>
      </c>
      <c r="L19" s="878">
        <f>'S2'!BK21</f>
        <v>8.66</v>
      </c>
      <c r="M19" s="849" t="s">
        <v>324</v>
      </c>
      <c r="N19" s="870"/>
      <c r="Q19" s="851"/>
      <c r="R19" s="878"/>
      <c r="S19" s="870"/>
      <c r="T19" s="870"/>
      <c r="U19" s="870"/>
      <c r="X19" s="866"/>
      <c r="Y19" s="866"/>
      <c r="Z19" s="867"/>
      <c r="AA19" s="866"/>
      <c r="AB19" s="866"/>
      <c r="AC19" s="866"/>
      <c r="AD19" s="866"/>
      <c r="AE19" s="865"/>
    </row>
    <row r="20" spans="1:31" ht="21.95" hidden="1" customHeight="1" x14ac:dyDescent="0.5">
      <c r="B20" s="862" t="s">
        <v>320</v>
      </c>
      <c r="C20" s="862"/>
      <c r="K20" s="851" t="s">
        <v>8</v>
      </c>
      <c r="L20" s="849">
        <f>'S2'!BK10</f>
        <v>49.54</v>
      </c>
      <c r="M20" s="849" t="s">
        <v>324</v>
      </c>
      <c r="N20" s="870"/>
      <c r="Q20" s="851"/>
      <c r="S20" s="870"/>
      <c r="T20" s="870"/>
      <c r="U20" s="870"/>
      <c r="X20" s="866"/>
      <c r="Y20" s="866"/>
      <c r="Z20" s="867"/>
      <c r="AA20" s="866"/>
      <c r="AB20" s="866"/>
      <c r="AC20" s="866"/>
      <c r="AD20" s="866"/>
      <c r="AE20" s="865"/>
    </row>
    <row r="21" spans="1:31" ht="21.95" hidden="1" customHeight="1" x14ac:dyDescent="0.5">
      <c r="B21" s="862" t="s">
        <v>327</v>
      </c>
      <c r="C21" s="862"/>
      <c r="G21" s="849" t="str">
        <f>"= "&amp;FIXED(L17,2)&amp;" + "&amp;FIXED(L18,2)&amp;" + "&amp;FIXED(L19,2)&amp;" + "&amp;FIXED(L20,2)&amp;""</f>
        <v>= 72.45 + 115.92 + 8.66 + 49.54</v>
      </c>
      <c r="K21" s="851" t="s">
        <v>8</v>
      </c>
      <c r="L21" s="849">
        <f>SUM(L17:L20)</f>
        <v>246.57</v>
      </c>
      <c r="M21" s="849" t="s">
        <v>324</v>
      </c>
      <c r="N21" s="870"/>
      <c r="Q21" s="851"/>
      <c r="S21" s="870"/>
      <c r="T21" s="870"/>
      <c r="U21" s="870"/>
    </row>
    <row r="22" spans="1:31" ht="21.95" hidden="1" customHeight="1" thickBot="1" x14ac:dyDescent="0.55000000000000004">
      <c r="A22" s="852"/>
      <c r="B22" s="879"/>
      <c r="C22" s="879"/>
      <c r="D22" s="879"/>
      <c r="E22" s="879"/>
      <c r="F22" s="879"/>
      <c r="G22" s="880"/>
      <c r="H22" s="155"/>
      <c r="I22" s="881" t="s">
        <v>260</v>
      </c>
      <c r="J22" s="852"/>
      <c r="K22" s="848" t="s">
        <v>8</v>
      </c>
      <c r="L22" s="882">
        <f>ROUND(L21,2)</f>
        <v>246.57</v>
      </c>
      <c r="M22" s="852" t="s">
        <v>324</v>
      </c>
      <c r="N22" s="883"/>
      <c r="O22" s="852"/>
      <c r="P22" s="852"/>
      <c r="Q22" s="848"/>
      <c r="R22" s="852"/>
      <c r="S22" s="883"/>
      <c r="T22" s="883"/>
      <c r="U22" s="883"/>
      <c r="X22" s="866"/>
      <c r="Y22" s="868"/>
      <c r="Z22" s="866"/>
      <c r="AA22" s="866"/>
      <c r="AB22" s="866"/>
      <c r="AC22" s="866"/>
      <c r="AD22" s="866"/>
    </row>
    <row r="23" spans="1:31" ht="21.95" hidden="1" customHeight="1" thickTop="1" x14ac:dyDescent="0.5">
      <c r="B23" s="869" t="s">
        <v>664</v>
      </c>
      <c r="C23" s="869"/>
      <c r="X23" s="866"/>
      <c r="Y23" s="866"/>
      <c r="Z23" s="867"/>
      <c r="AA23" s="866"/>
      <c r="AB23" s="866"/>
      <c r="AC23" s="866"/>
      <c r="AD23" s="866"/>
      <c r="AE23" s="865"/>
    </row>
    <row r="24" spans="1:31" ht="21.95" hidden="1" customHeight="1" x14ac:dyDescent="0.5">
      <c r="B24" s="862" t="s">
        <v>76</v>
      </c>
      <c r="C24" s="862"/>
      <c r="K24" s="851" t="s">
        <v>8</v>
      </c>
      <c r="L24" s="849">
        <f>ราคาวัสดุ!E45</f>
        <v>0</v>
      </c>
      <c r="M24" s="849" t="s">
        <v>324</v>
      </c>
      <c r="N24" s="870"/>
      <c r="Q24" s="851"/>
      <c r="S24" s="870"/>
      <c r="T24" s="870"/>
      <c r="U24" s="870"/>
      <c r="X24" s="866"/>
      <c r="Y24" s="866"/>
      <c r="Z24" s="867"/>
      <c r="AA24" s="866"/>
      <c r="AB24" s="866"/>
      <c r="AC24" s="866"/>
      <c r="AD24" s="866"/>
      <c r="AE24" s="865"/>
    </row>
    <row r="25" spans="1:31" ht="21.95" hidden="1" customHeight="1" x14ac:dyDescent="0.5">
      <c r="B25" s="862" t="s">
        <v>319</v>
      </c>
      <c r="C25" s="862"/>
      <c r="F25" s="865"/>
      <c r="K25" s="851" t="s">
        <v>8</v>
      </c>
      <c r="L25" s="849">
        <f>'S2'!BK9</f>
        <v>23.08</v>
      </c>
      <c r="M25" s="849" t="s">
        <v>324</v>
      </c>
      <c r="N25" s="870"/>
      <c r="Q25" s="851"/>
      <c r="S25" s="870"/>
      <c r="T25" s="870"/>
      <c r="U25" s="870"/>
      <c r="X25" s="866"/>
      <c r="Y25" s="868"/>
      <c r="Z25" s="866"/>
      <c r="AA25" s="866"/>
      <c r="AB25" s="866"/>
      <c r="AC25" s="866"/>
      <c r="AD25" s="866"/>
    </row>
    <row r="26" spans="1:31" ht="21.95" hidden="1" customHeight="1" x14ac:dyDescent="0.5">
      <c r="B26" s="862" t="s">
        <v>77</v>
      </c>
      <c r="C26" s="874">
        <v>1</v>
      </c>
      <c r="D26" s="849" t="s">
        <v>21</v>
      </c>
      <c r="K26" s="851" t="s">
        <v>8</v>
      </c>
      <c r="L26" s="875">
        <f>'S2'!D5</f>
        <v>11.49</v>
      </c>
      <c r="M26" s="849" t="s">
        <v>324</v>
      </c>
      <c r="N26" s="870"/>
      <c r="Q26" s="851"/>
      <c r="S26" s="870"/>
      <c r="T26" s="870"/>
      <c r="U26" s="870"/>
      <c r="X26" s="866"/>
      <c r="Y26" s="866"/>
      <c r="Z26" s="867"/>
      <c r="AA26" s="866"/>
      <c r="AB26" s="866"/>
      <c r="AC26" s="866"/>
      <c r="AD26" s="866"/>
      <c r="AE26" s="865"/>
    </row>
    <row r="27" spans="1:31" ht="21.95" hidden="1" customHeight="1" x14ac:dyDescent="0.5">
      <c r="B27" s="862"/>
      <c r="C27" s="849" t="s">
        <v>15</v>
      </c>
      <c r="K27" s="851" t="s">
        <v>8</v>
      </c>
      <c r="L27" s="849">
        <f>ROUND(SUM(L23:L26),2)</f>
        <v>34.57</v>
      </c>
      <c r="M27" s="849" t="s">
        <v>324</v>
      </c>
      <c r="N27" s="870"/>
      <c r="Q27" s="851"/>
      <c r="S27" s="870"/>
      <c r="T27" s="870"/>
      <c r="U27" s="870"/>
      <c r="X27" s="866"/>
      <c r="Y27" s="866"/>
      <c r="Z27" s="867"/>
      <c r="AA27" s="866"/>
      <c r="AB27" s="866"/>
      <c r="AC27" s="866"/>
      <c r="AD27" s="866"/>
      <c r="AE27" s="865"/>
    </row>
    <row r="28" spans="1:31" ht="21.95" hidden="1" customHeight="1" x14ac:dyDescent="0.5">
      <c r="B28" s="862" t="s">
        <v>317</v>
      </c>
      <c r="D28" s="876">
        <v>1.6</v>
      </c>
      <c r="E28" s="877">
        <f>L27</f>
        <v>34.57</v>
      </c>
      <c r="K28" s="851" t="s">
        <v>8</v>
      </c>
      <c r="L28" s="878">
        <f>ROUND(D28*L27,2)</f>
        <v>55.31</v>
      </c>
      <c r="M28" s="849" t="s">
        <v>324</v>
      </c>
      <c r="N28" s="870"/>
      <c r="Q28" s="851"/>
      <c r="R28" s="878"/>
      <c r="S28" s="870"/>
      <c r="T28" s="870"/>
      <c r="U28" s="870"/>
      <c r="X28" s="866"/>
      <c r="Y28" s="866"/>
      <c r="Z28" s="867"/>
      <c r="AA28" s="866"/>
      <c r="AB28" s="866"/>
      <c r="AC28" s="866"/>
      <c r="AD28" s="866"/>
      <c r="AE28" s="865"/>
    </row>
    <row r="29" spans="1:31" ht="21.95" hidden="1" customHeight="1" x14ac:dyDescent="0.5">
      <c r="B29" s="862" t="s">
        <v>318</v>
      </c>
      <c r="D29" s="876"/>
      <c r="E29" s="877"/>
      <c r="K29" s="851" t="s">
        <v>8</v>
      </c>
      <c r="L29" s="878">
        <f>'S2'!BK31</f>
        <v>0</v>
      </c>
      <c r="M29" s="849" t="s">
        <v>324</v>
      </c>
      <c r="N29" s="870"/>
      <c r="Q29" s="851"/>
      <c r="R29" s="878"/>
      <c r="S29" s="870"/>
      <c r="T29" s="870"/>
      <c r="U29" s="870"/>
      <c r="X29" s="866"/>
      <c r="Y29" s="866"/>
      <c r="Z29" s="867"/>
      <c r="AA29" s="866"/>
      <c r="AB29" s="866"/>
      <c r="AC29" s="866"/>
      <c r="AD29" s="866"/>
      <c r="AE29" s="865"/>
    </row>
    <row r="30" spans="1:31" ht="21.95" hidden="1" customHeight="1" x14ac:dyDescent="0.5">
      <c r="B30" s="862" t="s">
        <v>320</v>
      </c>
      <c r="C30" s="862"/>
      <c r="K30" s="851" t="s">
        <v>8</v>
      </c>
      <c r="L30" s="849">
        <f>'S2'!BK10</f>
        <v>49.54</v>
      </c>
      <c r="M30" s="849" t="s">
        <v>324</v>
      </c>
      <c r="N30" s="870"/>
      <c r="Q30" s="851"/>
      <c r="S30" s="870"/>
      <c r="T30" s="870"/>
      <c r="U30" s="870"/>
      <c r="X30" s="866"/>
      <c r="Y30" s="866"/>
      <c r="Z30" s="867"/>
      <c r="AA30" s="866"/>
      <c r="AB30" s="866"/>
      <c r="AC30" s="866"/>
      <c r="AD30" s="866"/>
      <c r="AE30" s="865"/>
    </row>
    <row r="31" spans="1:31" ht="21.95" hidden="1" customHeight="1" x14ac:dyDescent="0.5">
      <c r="B31" s="862" t="s">
        <v>327</v>
      </c>
      <c r="C31" s="862"/>
      <c r="G31" s="849" t="str">
        <f>"= "&amp;FIXED(L27,2)&amp;" + "&amp;FIXED(L28,2)&amp;" + "&amp;FIXED(L29,2)&amp;" + "&amp;FIXED(L30,2)&amp;""</f>
        <v>= 34.57 + 55.31 + 0.00 + 49.54</v>
      </c>
      <c r="K31" s="851" t="s">
        <v>8</v>
      </c>
      <c r="L31" s="849">
        <f>SUM(L27:L30)</f>
        <v>139.41999999999999</v>
      </c>
      <c r="M31" s="849" t="s">
        <v>324</v>
      </c>
      <c r="N31" s="870"/>
      <c r="Q31" s="851"/>
      <c r="S31" s="870"/>
      <c r="T31" s="870"/>
      <c r="U31" s="870"/>
    </row>
    <row r="32" spans="1:31" ht="21.95" hidden="1" customHeight="1" thickBot="1" x14ac:dyDescent="0.55000000000000004">
      <c r="A32" s="852"/>
      <c r="B32" s="879"/>
      <c r="C32" s="879"/>
      <c r="D32" s="879"/>
      <c r="E32" s="879"/>
      <c r="F32" s="879"/>
      <c r="G32" s="880"/>
      <c r="H32" s="155"/>
      <c r="I32" s="881" t="s">
        <v>260</v>
      </c>
      <c r="J32" s="852"/>
      <c r="K32" s="848" t="s">
        <v>8</v>
      </c>
      <c r="L32" s="882">
        <f>ROUND(L31,2)</f>
        <v>139.41999999999999</v>
      </c>
      <c r="M32" s="852" t="s">
        <v>324</v>
      </c>
      <c r="N32" s="883"/>
      <c r="O32" s="852"/>
      <c r="P32" s="852"/>
      <c r="Q32" s="848"/>
      <c r="R32" s="852"/>
      <c r="S32" s="883"/>
      <c r="T32" s="883"/>
      <c r="U32" s="883"/>
      <c r="X32" s="866"/>
      <c r="Y32" s="868"/>
      <c r="Z32" s="866"/>
      <c r="AA32" s="866"/>
      <c r="AB32" s="866"/>
      <c r="AC32" s="866"/>
      <c r="AD32" s="866"/>
    </row>
    <row r="33" spans="1:31" ht="21.95" hidden="1" customHeight="1" thickTop="1" x14ac:dyDescent="0.5">
      <c r="B33" s="869" t="s">
        <v>409</v>
      </c>
      <c r="C33" s="869"/>
      <c r="N33" s="870"/>
      <c r="S33" s="870"/>
      <c r="T33" s="870"/>
      <c r="U33" s="870"/>
    </row>
    <row r="34" spans="1:31" ht="21.95" hidden="1" customHeight="1" x14ac:dyDescent="0.5">
      <c r="B34" s="862" t="s">
        <v>76</v>
      </c>
      <c r="C34" s="862"/>
      <c r="Q34" s="851"/>
      <c r="S34" s="870"/>
      <c r="T34" s="870"/>
      <c r="U34" s="870"/>
    </row>
    <row r="35" spans="1:31" ht="21.95" hidden="1" customHeight="1" x14ac:dyDescent="0.45">
      <c r="B35" s="175"/>
      <c r="C35" s="862"/>
      <c r="K35" s="851"/>
      <c r="N35" s="870"/>
      <c r="Q35" s="851"/>
      <c r="S35" s="870"/>
      <c r="T35" s="870"/>
      <c r="U35" s="870"/>
      <c r="X35" s="866"/>
      <c r="Y35" s="866"/>
      <c r="Z35" s="867"/>
      <c r="AA35" s="866"/>
      <c r="AB35" s="866"/>
      <c r="AC35" s="866"/>
      <c r="AD35" s="866"/>
      <c r="AE35" s="865"/>
    </row>
    <row r="36" spans="1:31" ht="21.95" hidden="1" customHeight="1" x14ac:dyDescent="0.5">
      <c r="B36" s="862"/>
      <c r="C36" s="862"/>
      <c r="K36" s="851"/>
      <c r="N36" s="870"/>
      <c r="Q36" s="851"/>
      <c r="S36" s="870"/>
      <c r="T36" s="870"/>
      <c r="U36" s="870"/>
      <c r="X36" s="866"/>
      <c r="Y36" s="866"/>
      <c r="Z36" s="867"/>
      <c r="AA36" s="866"/>
      <c r="AB36" s="866"/>
      <c r="AC36" s="866"/>
      <c r="AD36" s="866"/>
      <c r="AE36" s="865"/>
    </row>
    <row r="37" spans="1:31" ht="21.95" hidden="1" customHeight="1" x14ac:dyDescent="0.5">
      <c r="B37" s="862"/>
      <c r="C37" s="871">
        <f>280*400</f>
        <v>112000</v>
      </c>
      <c r="D37" s="872">
        <v>1</v>
      </c>
      <c r="E37" s="872">
        <v>1</v>
      </c>
      <c r="K37" s="851" t="s">
        <v>8</v>
      </c>
      <c r="L37" s="849">
        <f>(C37/C38)*(D37/D38)*(E37/E38)</f>
        <v>11.666666666666666</v>
      </c>
      <c r="M37" s="849" t="s">
        <v>324</v>
      </c>
      <c r="N37" s="870"/>
      <c r="Q37" s="851"/>
      <c r="S37" s="870"/>
      <c r="T37" s="870"/>
      <c r="U37" s="870"/>
      <c r="X37" s="866"/>
      <c r="Y37" s="866"/>
      <c r="Z37" s="867"/>
      <c r="AA37" s="866"/>
      <c r="AB37" s="866"/>
      <c r="AC37" s="866"/>
      <c r="AD37" s="866"/>
      <c r="AE37" s="865"/>
    </row>
    <row r="38" spans="1:31" ht="21.95" hidden="1" customHeight="1" x14ac:dyDescent="0.5">
      <c r="B38" s="862"/>
      <c r="C38" s="873">
        <v>2</v>
      </c>
      <c r="D38" s="873">
        <v>1600</v>
      </c>
      <c r="E38" s="873">
        <v>3</v>
      </c>
      <c r="K38" s="851"/>
      <c r="N38" s="870"/>
      <c r="Q38" s="851"/>
      <c r="S38" s="870"/>
      <c r="T38" s="870"/>
      <c r="U38" s="870"/>
      <c r="X38" s="866"/>
      <c r="Y38" s="866"/>
      <c r="Z38" s="867"/>
      <c r="AA38" s="866"/>
      <c r="AB38" s="866"/>
      <c r="AC38" s="866"/>
      <c r="AD38" s="866"/>
      <c r="AE38" s="865"/>
    </row>
    <row r="39" spans="1:31" ht="21.95" hidden="1" customHeight="1" x14ac:dyDescent="0.5">
      <c r="B39" s="862" t="s">
        <v>321</v>
      </c>
      <c r="C39" s="862"/>
      <c r="F39" s="865"/>
      <c r="K39" s="851" t="s">
        <v>8</v>
      </c>
      <c r="L39" s="849">
        <f>'S2'!BK15</f>
        <v>34.31</v>
      </c>
      <c r="M39" s="849" t="s">
        <v>324</v>
      </c>
      <c r="N39" s="870"/>
      <c r="Q39" s="851"/>
      <c r="S39" s="870"/>
      <c r="T39" s="870"/>
      <c r="U39" s="870"/>
    </row>
    <row r="40" spans="1:31" ht="21.95" hidden="1" customHeight="1" x14ac:dyDescent="0.5">
      <c r="B40" s="862" t="s">
        <v>77</v>
      </c>
      <c r="C40" s="862">
        <f>ราคาวัสดุ!F36</f>
        <v>20</v>
      </c>
      <c r="D40" s="849" t="s">
        <v>21</v>
      </c>
      <c r="K40" s="851" t="s">
        <v>8</v>
      </c>
      <c r="L40" s="849">
        <f>+ราคาวัสดุ!G36</f>
        <v>73.63</v>
      </c>
      <c r="M40" s="849" t="s">
        <v>324</v>
      </c>
      <c r="N40" s="870"/>
      <c r="Q40" s="851"/>
      <c r="S40" s="870"/>
      <c r="T40" s="870"/>
      <c r="U40" s="870"/>
    </row>
    <row r="41" spans="1:31" ht="21.95" hidden="1" customHeight="1" x14ac:dyDescent="0.5">
      <c r="B41" s="862"/>
      <c r="C41" s="849" t="s">
        <v>15</v>
      </c>
      <c r="K41" s="851" t="s">
        <v>8</v>
      </c>
      <c r="L41" s="849">
        <f>ROUND(SUM(L35:L40),2)</f>
        <v>119.61</v>
      </c>
      <c r="M41" s="849" t="s">
        <v>324</v>
      </c>
      <c r="N41" s="870"/>
      <c r="Q41" s="851"/>
      <c r="S41" s="870"/>
      <c r="T41" s="870"/>
      <c r="U41" s="870"/>
    </row>
    <row r="42" spans="1:31" ht="21.95" hidden="1" customHeight="1" x14ac:dyDescent="0.5">
      <c r="B42" s="862" t="s">
        <v>317</v>
      </c>
      <c r="D42" s="876">
        <v>1.6</v>
      </c>
      <c r="E42" s="877">
        <f>L41</f>
        <v>119.61</v>
      </c>
      <c r="K42" s="851" t="s">
        <v>8</v>
      </c>
      <c r="L42" s="878">
        <f>ROUND(D42*L41,2)</f>
        <v>191.38</v>
      </c>
      <c r="M42" s="849" t="s">
        <v>324</v>
      </c>
      <c r="N42" s="870"/>
      <c r="Q42" s="851"/>
      <c r="R42" s="878"/>
      <c r="S42" s="870"/>
      <c r="T42" s="870"/>
      <c r="U42" s="870"/>
    </row>
    <row r="43" spans="1:31" ht="21.95" hidden="1" customHeight="1" x14ac:dyDescent="0.5">
      <c r="B43" s="862" t="s">
        <v>322</v>
      </c>
      <c r="C43" s="862"/>
      <c r="K43" s="851" t="s">
        <v>8</v>
      </c>
      <c r="L43" s="849">
        <f>'S2'!BK17</f>
        <v>59.45</v>
      </c>
      <c r="M43" s="849" t="s">
        <v>324</v>
      </c>
      <c r="N43" s="870"/>
      <c r="Q43" s="851"/>
      <c r="S43" s="870"/>
      <c r="T43" s="870"/>
      <c r="U43" s="870"/>
    </row>
    <row r="44" spans="1:31" ht="21.95" hidden="1" customHeight="1" x14ac:dyDescent="0.5">
      <c r="B44" s="862" t="s">
        <v>327</v>
      </c>
      <c r="C44" s="862"/>
      <c r="G44" s="849" t="str">
        <f>"= "&amp;FIXED(L41,2)&amp;" + "&amp;FIXED(L42,2)&amp;" + "&amp;FIXED(L43,2)&amp;""</f>
        <v>= 119.61 + 191.38 + 59.45</v>
      </c>
      <c r="K44" s="851" t="s">
        <v>8</v>
      </c>
      <c r="L44" s="849">
        <f>SUM(L41:L43)</f>
        <v>370.44</v>
      </c>
      <c r="M44" s="849" t="s">
        <v>324</v>
      </c>
      <c r="N44" s="870"/>
      <c r="Q44" s="851"/>
      <c r="S44" s="870"/>
      <c r="T44" s="870"/>
      <c r="U44" s="870"/>
    </row>
    <row r="45" spans="1:31" ht="21.95" hidden="1" customHeight="1" thickBot="1" x14ac:dyDescent="0.55000000000000004">
      <c r="A45" s="852"/>
      <c r="B45" s="879"/>
      <c r="C45" s="879"/>
      <c r="D45" s="879"/>
      <c r="E45" s="879"/>
      <c r="F45" s="879"/>
      <c r="G45" s="880"/>
      <c r="H45" s="155"/>
      <c r="I45" s="881" t="s">
        <v>260</v>
      </c>
      <c r="J45" s="852"/>
      <c r="K45" s="848" t="s">
        <v>8</v>
      </c>
      <c r="L45" s="882">
        <f>ROUND(L44,2)</f>
        <v>370.44</v>
      </c>
      <c r="M45" s="852" t="s">
        <v>324</v>
      </c>
      <c r="N45" s="883"/>
      <c r="O45" s="852"/>
      <c r="P45" s="852"/>
      <c r="Q45" s="848"/>
      <c r="R45" s="852"/>
      <c r="S45" s="883"/>
      <c r="T45" s="883"/>
      <c r="U45" s="883"/>
      <c r="X45" s="866"/>
      <c r="Y45" s="868"/>
      <c r="Z45" s="866"/>
      <c r="AA45" s="866"/>
      <c r="AB45" s="866"/>
      <c r="AC45" s="866"/>
      <c r="AD45" s="866"/>
    </row>
    <row r="46" spans="1:31" ht="21.95" hidden="1" customHeight="1" thickTop="1" x14ac:dyDescent="0.5">
      <c r="B46" s="852" t="s">
        <v>410</v>
      </c>
      <c r="K46" s="851"/>
      <c r="L46" s="884"/>
      <c r="N46" s="870"/>
      <c r="Q46" s="851"/>
      <c r="R46" s="884"/>
      <c r="S46" s="870"/>
      <c r="T46" s="870"/>
      <c r="U46" s="870"/>
      <c r="X46" s="852"/>
      <c r="Y46" s="866"/>
      <c r="AB46" s="852"/>
      <c r="AC46" s="866"/>
    </row>
    <row r="47" spans="1:31" ht="21.95" hidden="1" customHeight="1" x14ac:dyDescent="0.5">
      <c r="B47" s="849" t="s">
        <v>323</v>
      </c>
      <c r="K47" s="851" t="s">
        <v>8</v>
      </c>
      <c r="L47" s="878">
        <f>ราคาวัสดุ!E28</f>
        <v>436.45</v>
      </c>
      <c r="M47" s="849" t="s">
        <v>324</v>
      </c>
      <c r="N47" s="870"/>
      <c r="Q47" s="851"/>
      <c r="R47" s="878"/>
      <c r="S47" s="870"/>
      <c r="T47" s="870"/>
      <c r="U47" s="870"/>
      <c r="W47" s="852"/>
      <c r="X47" s="852"/>
      <c r="Y47" s="866" t="s">
        <v>127</v>
      </c>
      <c r="AB47" s="852"/>
      <c r="AC47" s="866" t="s">
        <v>134</v>
      </c>
    </row>
    <row r="48" spans="1:31" ht="21.95" hidden="1" customHeight="1" x14ac:dyDescent="0.5">
      <c r="B48" s="849" t="s">
        <v>77</v>
      </c>
      <c r="C48" s="849">
        <f>ราคาวัสดุ!F28</f>
        <v>15</v>
      </c>
      <c r="D48" s="849" t="s">
        <v>21</v>
      </c>
      <c r="K48" s="851" t="s">
        <v>8</v>
      </c>
      <c r="L48" s="878">
        <f>ราคาวัสดุ!G28</f>
        <v>55.66</v>
      </c>
      <c r="M48" s="849" t="s">
        <v>324</v>
      </c>
      <c r="N48" s="870"/>
      <c r="Q48" s="851"/>
      <c r="R48" s="878"/>
      <c r="S48" s="870"/>
      <c r="T48" s="870"/>
      <c r="U48" s="870"/>
    </row>
    <row r="49" spans="1:30" ht="21.95" hidden="1" customHeight="1" x14ac:dyDescent="0.5">
      <c r="B49" s="849" t="s">
        <v>105</v>
      </c>
      <c r="K49" s="851" t="s">
        <v>8</v>
      </c>
      <c r="L49" s="849">
        <f>ROUND(SUM(L47:L48),2)</f>
        <v>492.11</v>
      </c>
      <c r="M49" s="849" t="s">
        <v>324</v>
      </c>
      <c r="N49" s="870"/>
      <c r="Q49" s="851"/>
      <c r="S49" s="870"/>
      <c r="T49" s="870"/>
      <c r="U49" s="870"/>
    </row>
    <row r="50" spans="1:30" ht="21.95" hidden="1" customHeight="1" x14ac:dyDescent="0.5">
      <c r="B50" s="862" t="s">
        <v>317</v>
      </c>
      <c r="D50" s="849">
        <v>1.5</v>
      </c>
      <c r="E50" s="885">
        <f>L49</f>
        <v>492.11</v>
      </c>
      <c r="K50" s="851" t="s">
        <v>8</v>
      </c>
      <c r="L50" s="878">
        <f>ROUND(D50*L49,2)</f>
        <v>738.17</v>
      </c>
      <c r="M50" s="849" t="s">
        <v>324</v>
      </c>
      <c r="N50" s="870"/>
      <c r="Q50" s="851"/>
      <c r="R50" s="878"/>
      <c r="S50" s="870"/>
      <c r="T50" s="870"/>
      <c r="U50" s="870"/>
    </row>
    <row r="51" spans="1:30" ht="21.95" hidden="1" customHeight="1" x14ac:dyDescent="0.5">
      <c r="B51" s="862" t="s">
        <v>325</v>
      </c>
      <c r="C51" s="862"/>
      <c r="K51" s="851" t="s">
        <v>8</v>
      </c>
      <c r="L51" s="849">
        <f>'S2'!BK19</f>
        <v>26.05</v>
      </c>
      <c r="M51" s="849" t="s">
        <v>324</v>
      </c>
      <c r="N51" s="870"/>
      <c r="Q51" s="851"/>
      <c r="S51" s="870"/>
      <c r="T51" s="870"/>
      <c r="U51" s="870"/>
    </row>
    <row r="52" spans="1:30" ht="21.95" hidden="1" customHeight="1" x14ac:dyDescent="0.5">
      <c r="B52" s="862" t="s">
        <v>326</v>
      </c>
      <c r="C52" s="862"/>
      <c r="K52" s="851" t="s">
        <v>8</v>
      </c>
      <c r="L52" s="849">
        <f>'S2'!BK20</f>
        <v>95.31</v>
      </c>
      <c r="M52" s="849" t="s">
        <v>324</v>
      </c>
      <c r="N52" s="870"/>
      <c r="Q52" s="851"/>
      <c r="S52" s="870"/>
      <c r="T52" s="870"/>
      <c r="U52" s="870"/>
    </row>
    <row r="53" spans="1:30" ht="21.95" hidden="1" customHeight="1" x14ac:dyDescent="0.5">
      <c r="B53" s="862" t="s">
        <v>327</v>
      </c>
      <c r="C53" s="862"/>
      <c r="G53" s="849" t="str">
        <f>"= "&amp;FIXED(L50,2)&amp;" + "&amp;FIXED(L51,2)&amp;" + "&amp;FIXED(L52,2)&amp;""</f>
        <v>= 738.17 + 26.05 + 95.31</v>
      </c>
      <c r="K53" s="851" t="s">
        <v>8</v>
      </c>
      <c r="L53" s="849">
        <f>SUM(L50:L52)</f>
        <v>859.53</v>
      </c>
      <c r="M53" s="849" t="s">
        <v>324</v>
      </c>
      <c r="N53" s="870"/>
      <c r="Q53" s="851"/>
      <c r="S53" s="870"/>
      <c r="T53" s="870"/>
      <c r="U53" s="870"/>
    </row>
    <row r="54" spans="1:30" ht="21.95" hidden="1" customHeight="1" thickBot="1" x14ac:dyDescent="0.55000000000000004">
      <c r="A54" s="852"/>
      <c r="B54" s="879"/>
      <c r="C54" s="879"/>
      <c r="D54" s="879"/>
      <c r="E54" s="879"/>
      <c r="F54" s="879"/>
      <c r="G54" s="880"/>
      <c r="H54" s="155"/>
      <c r="I54" s="881" t="s">
        <v>260</v>
      </c>
      <c r="J54" s="852"/>
      <c r="K54" s="848" t="s">
        <v>8</v>
      </c>
      <c r="L54" s="882">
        <f>ROUND(L53,2)</f>
        <v>859.53</v>
      </c>
      <c r="M54" s="852" t="s">
        <v>324</v>
      </c>
      <c r="N54" s="883"/>
      <c r="O54" s="852"/>
      <c r="P54" s="852"/>
      <c r="Q54" s="848"/>
      <c r="R54" s="852"/>
      <c r="S54" s="883"/>
      <c r="T54" s="883"/>
      <c r="U54" s="883"/>
      <c r="X54" s="866"/>
      <c r="Y54" s="868"/>
      <c r="Z54" s="866"/>
      <c r="AA54" s="866"/>
      <c r="AB54" s="866"/>
      <c r="AC54" s="866"/>
      <c r="AD54" s="866"/>
    </row>
    <row r="55" spans="1:30" ht="21.95" hidden="1" customHeight="1" thickTop="1" x14ac:dyDescent="0.5">
      <c r="A55" s="852"/>
      <c r="B55" s="879"/>
      <c r="C55" s="879"/>
      <c r="D55" s="879"/>
      <c r="E55" s="879"/>
      <c r="F55" s="879"/>
      <c r="G55" s="880"/>
      <c r="H55" s="155"/>
      <c r="I55" s="881"/>
      <c r="J55" s="852"/>
      <c r="K55" s="848"/>
      <c r="L55" s="852"/>
      <c r="M55" s="852"/>
      <c r="N55" s="883"/>
      <c r="O55" s="852"/>
      <c r="P55" s="852"/>
      <c r="Q55" s="848"/>
      <c r="R55" s="852"/>
      <c r="S55" s="883"/>
      <c r="T55" s="883"/>
      <c r="U55" s="883"/>
      <c r="X55" s="866"/>
      <c r="Y55" s="868"/>
      <c r="Z55" s="866"/>
      <c r="AA55" s="866"/>
      <c r="AB55" s="866"/>
      <c r="AC55" s="866"/>
      <c r="AD55" s="866"/>
    </row>
    <row r="56" spans="1:30" ht="21.95" hidden="1" customHeight="1" x14ac:dyDescent="0.5">
      <c r="B56" s="852" t="s">
        <v>411</v>
      </c>
      <c r="C56" s="886"/>
      <c r="D56" s="886"/>
      <c r="K56" s="851"/>
      <c r="L56" s="884"/>
      <c r="M56" s="870"/>
      <c r="N56" s="870"/>
      <c r="Q56" s="851"/>
      <c r="R56" s="884"/>
      <c r="S56" s="870"/>
      <c r="T56" s="870"/>
      <c r="U56" s="870"/>
    </row>
    <row r="57" spans="1:30" ht="21.95" hidden="1" customHeight="1" x14ac:dyDescent="0.5">
      <c r="B57" s="849" t="s">
        <v>323</v>
      </c>
      <c r="K57" s="851" t="s">
        <v>8</v>
      </c>
      <c r="L57" s="878">
        <f>L47</f>
        <v>436.45</v>
      </c>
      <c r="M57" s="849" t="s">
        <v>324</v>
      </c>
      <c r="N57" s="870"/>
      <c r="Q57" s="851"/>
      <c r="R57" s="878"/>
      <c r="S57" s="870"/>
      <c r="T57" s="870"/>
      <c r="U57" s="870"/>
      <c r="W57" s="852"/>
      <c r="X57" s="852"/>
      <c r="Y57" s="866" t="s">
        <v>127</v>
      </c>
      <c r="AB57" s="852"/>
      <c r="AC57" s="866" t="s">
        <v>134</v>
      </c>
    </row>
    <row r="58" spans="1:30" ht="21.95" hidden="1" customHeight="1" x14ac:dyDescent="0.5">
      <c r="B58" s="849" t="s">
        <v>77</v>
      </c>
      <c r="C58" s="849">
        <f>C48</f>
        <v>15</v>
      </c>
      <c r="D58" s="849" t="s">
        <v>21</v>
      </c>
      <c r="K58" s="851" t="s">
        <v>8</v>
      </c>
      <c r="L58" s="878">
        <f>L48</f>
        <v>55.66</v>
      </c>
      <c r="M58" s="849" t="s">
        <v>324</v>
      </c>
      <c r="N58" s="870"/>
      <c r="Q58" s="851"/>
      <c r="R58" s="878"/>
      <c r="S58" s="870"/>
      <c r="T58" s="870"/>
      <c r="U58" s="870"/>
    </row>
    <row r="59" spans="1:30" ht="21.95" hidden="1" customHeight="1" x14ac:dyDescent="0.5">
      <c r="B59" s="849" t="s">
        <v>105</v>
      </c>
      <c r="K59" s="851" t="s">
        <v>8</v>
      </c>
      <c r="L59" s="849">
        <f>ROUND(SUM(L57:L58),2)</f>
        <v>492.11</v>
      </c>
      <c r="M59" s="849" t="s">
        <v>324</v>
      </c>
      <c r="N59" s="870"/>
      <c r="Q59" s="851"/>
      <c r="S59" s="870"/>
      <c r="T59" s="870"/>
      <c r="U59" s="870"/>
    </row>
    <row r="60" spans="1:30" ht="21.95" hidden="1" customHeight="1" x14ac:dyDescent="0.5">
      <c r="B60" s="862" t="s">
        <v>384</v>
      </c>
      <c r="G60" s="849" t="str">
        <f>"= ("&amp;FIXED('S2'!BK20,2)&amp;"/1.50) x "&amp;FIXED(ปร.งานทาง!M21,2)&amp;""</f>
        <v>= (95.31/1.50) x 0.00</v>
      </c>
      <c r="J60" s="851"/>
      <c r="K60" s="851" t="s">
        <v>8</v>
      </c>
      <c r="L60" s="849">
        <f>'S2'!BK20/1.5*ปร.งานทาง!M21</f>
        <v>0</v>
      </c>
      <c r="M60" s="849" t="s">
        <v>9</v>
      </c>
      <c r="N60" s="870"/>
      <c r="P60" s="851"/>
      <c r="Q60" s="851"/>
      <c r="S60" s="870"/>
      <c r="T60" s="870"/>
      <c r="U60" s="870"/>
      <c r="V60" s="887"/>
    </row>
    <row r="61" spans="1:30" ht="21.95" hidden="1" customHeight="1" x14ac:dyDescent="0.5">
      <c r="B61" s="862" t="s">
        <v>327</v>
      </c>
      <c r="C61" s="862"/>
      <c r="G61" s="849" t="str">
        <f>"= "&amp;FIXED(L59,2)&amp;" + "&amp;FIXED(L60,2)&amp;""</f>
        <v>= 492.11 + 0.00</v>
      </c>
      <c r="K61" s="851" t="s">
        <v>8</v>
      </c>
      <c r="L61" s="849">
        <f>SUM(L59:L60)</f>
        <v>492.11</v>
      </c>
      <c r="M61" s="849" t="s">
        <v>324</v>
      </c>
      <c r="N61" s="870"/>
      <c r="Q61" s="851"/>
      <c r="S61" s="870"/>
      <c r="T61" s="870"/>
      <c r="U61" s="870"/>
    </row>
    <row r="62" spans="1:30" ht="21.95" hidden="1" customHeight="1" thickBot="1" x14ac:dyDescent="0.55000000000000004">
      <c r="A62" s="852"/>
      <c r="B62" s="879"/>
      <c r="C62" s="879"/>
      <c r="D62" s="879"/>
      <c r="E62" s="879"/>
      <c r="F62" s="879"/>
      <c r="G62" s="880"/>
      <c r="H62" s="155"/>
      <c r="I62" s="881" t="s">
        <v>260</v>
      </c>
      <c r="J62" s="852"/>
      <c r="K62" s="848" t="s">
        <v>8</v>
      </c>
      <c r="L62" s="882">
        <f>ROUND(L61,2)</f>
        <v>492.11</v>
      </c>
      <c r="M62" s="852" t="s">
        <v>324</v>
      </c>
      <c r="N62" s="883"/>
      <c r="O62" s="852"/>
      <c r="P62" s="852"/>
      <c r="Q62" s="848"/>
      <c r="R62" s="852"/>
      <c r="S62" s="883"/>
      <c r="T62" s="883"/>
      <c r="U62" s="883"/>
      <c r="X62" s="866"/>
      <c r="Y62" s="868"/>
      <c r="Z62" s="866"/>
      <c r="AA62" s="866"/>
      <c r="AB62" s="866"/>
      <c r="AC62" s="866"/>
      <c r="AD62" s="866"/>
    </row>
    <row r="63" spans="1:30" ht="21.95" hidden="1" customHeight="1" thickTop="1" x14ac:dyDescent="0.5">
      <c r="A63" s="852"/>
      <c r="B63" s="852"/>
      <c r="C63" s="852"/>
      <c r="D63" s="852"/>
      <c r="E63" s="852"/>
      <c r="F63" s="852"/>
      <c r="G63" s="888"/>
      <c r="I63" s="852"/>
      <c r="J63" s="852"/>
      <c r="K63" s="848"/>
      <c r="L63" s="852"/>
      <c r="M63" s="852"/>
      <c r="N63" s="883"/>
      <c r="O63" s="852"/>
      <c r="P63" s="852"/>
      <c r="Q63" s="848"/>
      <c r="R63" s="852"/>
      <c r="S63" s="883"/>
      <c r="T63" s="883"/>
      <c r="U63" s="883"/>
      <c r="X63" s="866"/>
      <c r="Y63" s="868"/>
      <c r="Z63" s="866"/>
      <c r="AA63" s="866"/>
      <c r="AB63" s="866"/>
      <c r="AC63" s="866"/>
      <c r="AD63" s="866"/>
    </row>
    <row r="64" spans="1:30" ht="21" customHeight="1" x14ac:dyDescent="0.5">
      <c r="B64" s="869" t="str">
        <f>" # งานปรับปรุงชั้นทางเดิมในที่ ขุดลึกเฉลี่ย "&amp;FIXED(L65,2)&amp;" ม. (Pavement In-Place Recycling) "</f>
        <v xml:space="preserve"> # งานปรับปรุงชั้นทางเดิมในที่ ขุดลึกเฉลี่ย 0.15 ม. (Pavement In-Place Recycling) </v>
      </c>
      <c r="C64" s="869"/>
      <c r="N64" s="870"/>
      <c r="S64" s="870"/>
      <c r="T64" s="870"/>
      <c r="U64" s="870"/>
    </row>
    <row r="65" spans="1:27" ht="21" customHeight="1" x14ac:dyDescent="0.5">
      <c r="B65" s="862" t="s">
        <v>333</v>
      </c>
      <c r="C65" s="869"/>
      <c r="K65" s="851" t="s">
        <v>8</v>
      </c>
      <c r="L65" s="889">
        <v>0.15</v>
      </c>
      <c r="M65" s="849" t="s">
        <v>104</v>
      </c>
      <c r="N65" s="870"/>
      <c r="Q65" s="851"/>
      <c r="R65" s="889"/>
      <c r="S65" s="870"/>
      <c r="T65" s="870"/>
      <c r="U65" s="870"/>
      <c r="V65" s="890"/>
      <c r="W65" s="890"/>
    </row>
    <row r="66" spans="1:27" ht="21" customHeight="1" x14ac:dyDescent="0.5">
      <c r="B66" s="849" t="str">
        <f>"  - ค่าดำเนินการ+ค่าเสื่อมราคา (งานPavement In-Place Recycling : ขุดลึกเฉลี่ย "&amp;FIXED(L65*100,0)&amp;" ซม.….)"</f>
        <v xml:space="preserve">  - ค่าดำเนินการ+ค่าเสื่อมราคา (งานPavement In-Place Recycling : ขุดลึกเฉลี่ย 15 ซม.….)</v>
      </c>
      <c r="C66" s="869"/>
      <c r="K66" s="851" t="s">
        <v>8</v>
      </c>
      <c r="L66" s="849">
        <f>IF(L65=0.15,+'S2'!BK51,IF(L65=0.2,+'S2'!BK52,IF(L65=0.25,+'S2'!BK53)))</f>
        <v>30.57</v>
      </c>
      <c r="M66" s="849" t="s">
        <v>75</v>
      </c>
      <c r="N66" s="870"/>
      <c r="Q66" s="851"/>
      <c r="S66" s="870"/>
      <c r="T66" s="870"/>
      <c r="U66" s="870"/>
      <c r="V66" s="890"/>
      <c r="W66" s="890"/>
    </row>
    <row r="67" spans="1:27" ht="21" customHeight="1" x14ac:dyDescent="0.5">
      <c r="B67" s="862" t="s">
        <v>334</v>
      </c>
      <c r="C67" s="869"/>
      <c r="G67" s="862"/>
      <c r="K67" s="851" t="s">
        <v>8</v>
      </c>
      <c r="L67" s="876">
        <v>2.2000000000000002</v>
      </c>
      <c r="M67" s="849" t="s">
        <v>335</v>
      </c>
      <c r="N67" s="870"/>
      <c r="Q67" s="851"/>
      <c r="S67" s="870"/>
      <c r="T67" s="870"/>
      <c r="U67" s="870"/>
      <c r="V67" s="890"/>
      <c r="W67" s="890"/>
    </row>
    <row r="68" spans="1:27" ht="21" customHeight="1" x14ac:dyDescent="0.5">
      <c r="B68" s="862" t="s">
        <v>336</v>
      </c>
      <c r="C68" s="869"/>
      <c r="E68" s="891">
        <v>4.5</v>
      </c>
      <c r="F68" s="849" t="str">
        <f>"x "&amp;FIXED(L67,2)&amp;" x "&amp;FIXED(L65,2)&amp;" "</f>
        <v xml:space="preserve">x 2.20 x 0.15 </v>
      </c>
      <c r="K68" s="851" t="s">
        <v>8</v>
      </c>
      <c r="L68" s="887">
        <f>ROUND(E68/100*L67*L65,3)</f>
        <v>1.4999999999999999E-2</v>
      </c>
      <c r="M68" s="849" t="s">
        <v>337</v>
      </c>
      <c r="N68" s="870"/>
      <c r="Q68" s="851"/>
      <c r="R68" s="889"/>
      <c r="S68" s="870"/>
      <c r="T68" s="870"/>
      <c r="U68" s="870"/>
      <c r="V68" s="890"/>
      <c r="W68" s="890"/>
    </row>
    <row r="69" spans="1:27" ht="21" customHeight="1" x14ac:dyDescent="0.5">
      <c r="B69" s="862" t="s">
        <v>339</v>
      </c>
      <c r="G69" s="862"/>
      <c r="J69" s="851"/>
      <c r="K69" s="851" t="s">
        <v>8</v>
      </c>
      <c r="L69" s="849">
        <f>+ราคาวัสดุ!J22</f>
        <v>3143.46</v>
      </c>
      <c r="M69" s="849" t="s">
        <v>6</v>
      </c>
      <c r="N69" s="870"/>
      <c r="P69" s="851"/>
      <c r="Q69" s="851"/>
      <c r="S69" s="870"/>
      <c r="T69" s="870"/>
      <c r="U69" s="870"/>
    </row>
    <row r="70" spans="1:27" ht="21" customHeight="1" x14ac:dyDescent="0.5">
      <c r="B70" s="862" t="s">
        <v>338</v>
      </c>
      <c r="E70" s="849" t="str">
        <f>"= "&amp;FIXED(L68,3)&amp;" x "&amp;FIXED(L69,2)&amp;" "</f>
        <v xml:space="preserve">= 0.015 x 3,143.46 </v>
      </c>
      <c r="J70" s="851"/>
      <c r="K70" s="851" t="s">
        <v>8</v>
      </c>
      <c r="L70" s="849">
        <f>ROUND(L68*L69,2)</f>
        <v>47.15</v>
      </c>
      <c r="M70" s="849" t="s">
        <v>75</v>
      </c>
      <c r="N70" s="870"/>
      <c r="P70" s="851"/>
      <c r="Q70" s="851"/>
      <c r="R70" s="892"/>
      <c r="S70" s="870"/>
      <c r="T70" s="870"/>
      <c r="U70" s="870"/>
    </row>
    <row r="71" spans="1:27" ht="21" customHeight="1" x14ac:dyDescent="0.5">
      <c r="B71" s="849" t="str">
        <f>"  - ค่าดำเนินการ+ค่าเสื่อมราคา (งานStabilized Layer : ค่าบ่มวัสดุ หินคลุก..) x "&amp;FIXED(L65,2)&amp;" (ความหนา)"</f>
        <v xml:space="preserve">  - ค่าดำเนินการ+ค่าเสื่อมราคา (งานStabilized Layer : ค่าบ่มวัสดุ หินคลุก..) x 0.15 (ความหนา)</v>
      </c>
      <c r="J71" s="851"/>
      <c r="K71" s="851" t="s">
        <v>8</v>
      </c>
      <c r="L71" s="849">
        <f>'S2'!BK49*L65</f>
        <v>7.3544999999999998</v>
      </c>
      <c r="M71" s="849" t="s">
        <v>75</v>
      </c>
      <c r="N71" s="870"/>
      <c r="P71" s="851"/>
      <c r="Q71" s="851"/>
      <c r="R71" s="892"/>
      <c r="S71" s="870"/>
      <c r="T71" s="870"/>
      <c r="U71" s="870"/>
    </row>
    <row r="72" spans="1:27" ht="21" customHeight="1" x14ac:dyDescent="0.5">
      <c r="A72" s="852"/>
      <c r="B72" s="862" t="s">
        <v>327</v>
      </c>
      <c r="C72" s="852"/>
      <c r="D72" s="852"/>
      <c r="E72" s="852"/>
      <c r="F72" s="852"/>
      <c r="G72" s="849" t="str">
        <f>"="&amp;FIXED(L66,2)&amp;" + "&amp;FIXED(L70,2)&amp;" "</f>
        <v xml:space="preserve">=30.57 + 47.15 </v>
      </c>
      <c r="J72" s="851"/>
      <c r="K72" s="851" t="s">
        <v>8</v>
      </c>
      <c r="L72" s="849">
        <f>ROUND(L66+L70+L71,2)</f>
        <v>85.07</v>
      </c>
      <c r="M72" s="849" t="s">
        <v>75</v>
      </c>
      <c r="N72" s="870"/>
      <c r="O72" s="852"/>
      <c r="P72" s="848"/>
      <c r="Q72" s="848"/>
      <c r="R72" s="852"/>
      <c r="S72" s="883"/>
      <c r="T72" s="883"/>
      <c r="U72" s="883"/>
    </row>
    <row r="73" spans="1:27" ht="21" customHeight="1" thickBot="1" x14ac:dyDescent="0.55000000000000004">
      <c r="A73" s="852"/>
      <c r="B73" s="879"/>
      <c r="C73" s="879"/>
      <c r="D73" s="879"/>
      <c r="E73" s="879"/>
      <c r="F73" s="879"/>
      <c r="G73" s="880"/>
      <c r="H73" s="155"/>
      <c r="I73" s="881" t="s">
        <v>260</v>
      </c>
      <c r="J73" s="848"/>
      <c r="K73" s="848" t="s">
        <v>8</v>
      </c>
      <c r="L73" s="882">
        <f>L72</f>
        <v>85.07</v>
      </c>
      <c r="M73" s="852" t="s">
        <v>9</v>
      </c>
      <c r="N73" s="883"/>
      <c r="O73" s="852"/>
      <c r="P73" s="848"/>
      <c r="Q73" s="848"/>
      <c r="R73" s="852"/>
      <c r="S73" s="883"/>
      <c r="T73" s="883"/>
      <c r="U73" s="883"/>
    </row>
    <row r="74" spans="1:27" s="852" customFormat="1" ht="21" customHeight="1" thickTop="1" x14ac:dyDescent="0.5">
      <c r="B74" s="852" t="s">
        <v>434</v>
      </c>
      <c r="K74" s="848"/>
      <c r="N74" s="883"/>
      <c r="Q74" s="848"/>
      <c r="S74" s="883"/>
      <c r="T74" s="883"/>
      <c r="U74" s="883"/>
    </row>
    <row r="75" spans="1:27" ht="21" hidden="1" customHeight="1" x14ac:dyDescent="0.5">
      <c r="B75" s="852" t="s">
        <v>412</v>
      </c>
      <c r="K75" s="851"/>
      <c r="N75" s="870"/>
      <c r="Q75" s="851"/>
      <c r="S75" s="870"/>
      <c r="T75" s="870"/>
      <c r="U75" s="870"/>
    </row>
    <row r="76" spans="1:27" ht="21" hidden="1" customHeight="1" x14ac:dyDescent="0.5">
      <c r="B76" s="849" t="s">
        <v>331</v>
      </c>
      <c r="E76" s="1114">
        <f>ราคาวัสดุ!J38</f>
        <v>29573.06</v>
      </c>
      <c r="F76" s="1114"/>
      <c r="G76" s="849" t="s">
        <v>328</v>
      </c>
      <c r="K76" s="851" t="s">
        <v>8</v>
      </c>
      <c r="L76" s="849">
        <f>ROUND(1*E76/1000,2)</f>
        <v>29.57</v>
      </c>
      <c r="M76" s="849" t="s">
        <v>9</v>
      </c>
      <c r="N76" s="870"/>
      <c r="Q76" s="851"/>
      <c r="S76" s="870"/>
      <c r="T76" s="870"/>
      <c r="U76" s="870"/>
      <c r="AA76" s="851"/>
    </row>
    <row r="77" spans="1:27" s="852" customFormat="1" ht="21" hidden="1" customHeight="1" x14ac:dyDescent="0.5">
      <c r="B77" s="849" t="s">
        <v>329</v>
      </c>
      <c r="C77" s="849"/>
      <c r="D77" s="849"/>
      <c r="E77" s="849"/>
      <c r="F77" s="849"/>
      <c r="G77" s="849"/>
      <c r="H77" s="849"/>
      <c r="I77" s="849"/>
      <c r="K77" s="848" t="s">
        <v>8</v>
      </c>
      <c r="L77" s="878">
        <f>'S2'!BK26</f>
        <v>7.7</v>
      </c>
      <c r="M77" s="849" t="s">
        <v>9</v>
      </c>
      <c r="N77" s="870"/>
      <c r="O77" s="849"/>
      <c r="Q77" s="848"/>
      <c r="R77" s="878"/>
      <c r="S77" s="870"/>
      <c r="T77" s="870"/>
      <c r="U77" s="870"/>
      <c r="AA77" s="848"/>
    </row>
    <row r="78" spans="1:27" ht="21" hidden="1" customHeight="1" x14ac:dyDescent="0.5">
      <c r="B78" s="862" t="s">
        <v>327</v>
      </c>
      <c r="C78" s="862"/>
      <c r="G78" s="849" t="str">
        <f>"= "&amp;FIXED(L76,2)&amp;" + "&amp;FIXED(L77,2)&amp;""</f>
        <v>= 29.57 + 7.70</v>
      </c>
      <c r="K78" s="851" t="s">
        <v>8</v>
      </c>
      <c r="L78" s="849">
        <f>SUM(L76:L77)</f>
        <v>37.270000000000003</v>
      </c>
      <c r="M78" s="849" t="s">
        <v>9</v>
      </c>
      <c r="N78" s="870"/>
      <c r="Q78" s="851"/>
      <c r="S78" s="870"/>
      <c r="T78" s="870"/>
      <c r="U78" s="870"/>
    </row>
    <row r="79" spans="1:27" s="852" customFormat="1" ht="21" hidden="1" customHeight="1" thickBot="1" x14ac:dyDescent="0.55000000000000004">
      <c r="B79" s="879"/>
      <c r="C79" s="879"/>
      <c r="D79" s="879"/>
      <c r="E79" s="879"/>
      <c r="F79" s="879"/>
      <c r="G79" s="880"/>
      <c r="H79" s="155"/>
      <c r="I79" s="881" t="s">
        <v>260</v>
      </c>
      <c r="K79" s="848" t="s">
        <v>8</v>
      </c>
      <c r="L79" s="882">
        <f>ROUND(L78,2)</f>
        <v>37.270000000000003</v>
      </c>
      <c r="M79" s="852" t="s">
        <v>9</v>
      </c>
      <c r="N79" s="883"/>
      <c r="Q79" s="848"/>
      <c r="R79" s="893"/>
      <c r="S79" s="883"/>
      <c r="T79" s="883"/>
      <c r="U79" s="883"/>
      <c r="AA79" s="848"/>
    </row>
    <row r="80" spans="1:27" ht="21" customHeight="1" x14ac:dyDescent="0.5">
      <c r="B80" s="852" t="s">
        <v>413</v>
      </c>
      <c r="K80" s="851"/>
      <c r="N80" s="870"/>
      <c r="Q80" s="851"/>
      <c r="S80" s="870"/>
      <c r="T80" s="870"/>
      <c r="U80" s="870"/>
    </row>
    <row r="81" spans="1:27" ht="21" customHeight="1" x14ac:dyDescent="0.5">
      <c r="B81" s="876" t="s">
        <v>718</v>
      </c>
      <c r="E81" s="1115">
        <f>ราคาวัสดุ!J41</f>
        <v>32358.06</v>
      </c>
      <c r="F81" s="1115"/>
      <c r="G81" s="849" t="s">
        <v>328</v>
      </c>
      <c r="K81" s="851" t="s">
        <v>8</v>
      </c>
      <c r="L81" s="849">
        <f>ROUND(0.8*E81/1000,2)</f>
        <v>25.89</v>
      </c>
      <c r="M81" s="849" t="s">
        <v>9</v>
      </c>
      <c r="N81" s="870"/>
      <c r="Q81" s="851"/>
      <c r="S81" s="870"/>
      <c r="T81" s="870"/>
      <c r="U81" s="870"/>
      <c r="AA81" s="851"/>
    </row>
    <row r="82" spans="1:27" s="852" customFormat="1" ht="21" customHeight="1" x14ac:dyDescent="0.5">
      <c r="B82" s="849" t="s">
        <v>329</v>
      </c>
      <c r="C82" s="849"/>
      <c r="D82" s="849"/>
      <c r="E82" s="849"/>
      <c r="F82" s="849"/>
      <c r="G82" s="849"/>
      <c r="H82" s="849"/>
      <c r="I82" s="849"/>
      <c r="K82" s="848" t="s">
        <v>8</v>
      </c>
      <c r="L82" s="878">
        <f>L77</f>
        <v>7.7</v>
      </c>
      <c r="M82" s="849" t="s">
        <v>9</v>
      </c>
      <c r="N82" s="870"/>
      <c r="O82" s="849"/>
      <c r="Q82" s="848"/>
      <c r="R82" s="878"/>
      <c r="S82" s="870"/>
      <c r="T82" s="870"/>
      <c r="U82" s="870"/>
      <c r="AA82" s="848"/>
    </row>
    <row r="83" spans="1:27" ht="21" customHeight="1" x14ac:dyDescent="0.5">
      <c r="B83" s="862" t="s">
        <v>327</v>
      </c>
      <c r="C83" s="862"/>
      <c r="G83" s="849" t="str">
        <f>"= "&amp;FIXED(L81,2)&amp;" + "&amp;FIXED(L82,2)&amp;""</f>
        <v>= 25.89 + 7.70</v>
      </c>
      <c r="K83" s="851" t="s">
        <v>8</v>
      </c>
      <c r="L83" s="849">
        <f>SUM(L81:L82)</f>
        <v>33.590000000000003</v>
      </c>
      <c r="M83" s="849" t="s">
        <v>9</v>
      </c>
      <c r="N83" s="870"/>
      <c r="Q83" s="851"/>
      <c r="S83" s="870"/>
      <c r="T83" s="870"/>
      <c r="U83" s="870"/>
    </row>
    <row r="84" spans="1:27" s="852" customFormat="1" ht="21" customHeight="1" thickBot="1" x14ac:dyDescent="0.55000000000000004">
      <c r="B84" s="879"/>
      <c r="C84" s="879"/>
      <c r="D84" s="879"/>
      <c r="E84" s="879"/>
      <c r="F84" s="879"/>
      <c r="G84" s="880"/>
      <c r="H84" s="155"/>
      <c r="I84" s="881" t="s">
        <v>260</v>
      </c>
      <c r="K84" s="848" t="s">
        <v>8</v>
      </c>
      <c r="L84" s="882">
        <f>ROUND(L83,2)</f>
        <v>33.590000000000003</v>
      </c>
      <c r="M84" s="852" t="s">
        <v>9</v>
      </c>
      <c r="N84" s="883"/>
      <c r="Q84" s="848"/>
      <c r="R84" s="893"/>
      <c r="S84" s="883"/>
      <c r="T84" s="883"/>
      <c r="U84" s="883"/>
      <c r="AA84" s="848"/>
    </row>
    <row r="85" spans="1:27" ht="21" hidden="1" customHeight="1" thickTop="1" x14ac:dyDescent="0.5">
      <c r="B85" s="852" t="s">
        <v>414</v>
      </c>
      <c r="K85" s="851"/>
      <c r="N85" s="870"/>
      <c r="Q85" s="851"/>
      <c r="S85" s="870"/>
      <c r="T85" s="870"/>
      <c r="U85" s="870"/>
      <c r="X85" s="851"/>
      <c r="Y85" s="851"/>
      <c r="Z85" s="851"/>
    </row>
    <row r="86" spans="1:27" ht="21" hidden="1" customHeight="1" x14ac:dyDescent="0.5">
      <c r="B86" s="849" t="s">
        <v>330</v>
      </c>
      <c r="E86" s="1114">
        <f>ราคาวัสดุ!J40</f>
        <v>26321.39</v>
      </c>
      <c r="F86" s="1114"/>
      <c r="G86" s="849" t="s">
        <v>328</v>
      </c>
      <c r="K86" s="851" t="s">
        <v>8</v>
      </c>
      <c r="L86" s="849">
        <f>ROUND(0.3*E86/1000,2)</f>
        <v>7.9</v>
      </c>
      <c r="M86" s="849" t="s">
        <v>7</v>
      </c>
      <c r="N86" s="870"/>
      <c r="Q86" s="851"/>
      <c r="S86" s="870"/>
      <c r="T86" s="870"/>
      <c r="U86" s="870"/>
    </row>
    <row r="87" spans="1:27" s="852" customFormat="1" ht="21" hidden="1" customHeight="1" x14ac:dyDescent="0.5">
      <c r="B87" s="849" t="s">
        <v>332</v>
      </c>
      <c r="C87" s="849"/>
      <c r="D87" s="849"/>
      <c r="E87" s="849"/>
      <c r="F87" s="849"/>
      <c r="G87" s="849"/>
      <c r="H87" s="849"/>
      <c r="I87" s="849"/>
      <c r="K87" s="848" t="s">
        <v>8</v>
      </c>
      <c r="L87" s="878">
        <f>'S2'!BK27</f>
        <v>7.51</v>
      </c>
      <c r="M87" s="849" t="s">
        <v>9</v>
      </c>
      <c r="N87" s="870"/>
      <c r="O87" s="849"/>
      <c r="Q87" s="848"/>
      <c r="R87" s="878"/>
      <c r="S87" s="870"/>
      <c r="T87" s="870"/>
      <c r="U87" s="870"/>
      <c r="AA87" s="848"/>
    </row>
    <row r="88" spans="1:27" ht="21" hidden="1" customHeight="1" x14ac:dyDescent="0.5">
      <c r="B88" s="862" t="s">
        <v>327</v>
      </c>
      <c r="C88" s="862"/>
      <c r="G88" s="849" t="str">
        <f>"= "&amp;FIXED(L86,2)&amp;" + "&amp;FIXED(L87,2)&amp;""</f>
        <v>= 7.90 + 7.51</v>
      </c>
      <c r="K88" s="851" t="s">
        <v>8</v>
      </c>
      <c r="L88" s="849">
        <f>SUM(L86:L87)</f>
        <v>15.41</v>
      </c>
      <c r="M88" s="849" t="s">
        <v>9</v>
      </c>
      <c r="N88" s="870"/>
      <c r="Q88" s="851"/>
      <c r="S88" s="870"/>
      <c r="T88" s="870"/>
      <c r="U88" s="870"/>
    </row>
    <row r="89" spans="1:27" s="852" customFormat="1" ht="21" hidden="1" customHeight="1" thickBot="1" x14ac:dyDescent="0.55000000000000004">
      <c r="B89" s="879"/>
      <c r="C89" s="879"/>
      <c r="D89" s="879"/>
      <c r="E89" s="879"/>
      <c r="F89" s="879"/>
      <c r="G89" s="880"/>
      <c r="H89" s="155"/>
      <c r="I89" s="881" t="s">
        <v>260</v>
      </c>
      <c r="K89" s="848" t="s">
        <v>8</v>
      </c>
      <c r="L89" s="882">
        <f>ROUND(L88,2)</f>
        <v>15.41</v>
      </c>
      <c r="M89" s="852" t="s">
        <v>9</v>
      </c>
      <c r="N89" s="883"/>
      <c r="Q89" s="848"/>
      <c r="R89" s="893"/>
      <c r="S89" s="883"/>
      <c r="T89" s="883"/>
      <c r="U89" s="883"/>
      <c r="AA89" s="848"/>
    </row>
    <row r="90" spans="1:27" s="852" customFormat="1" ht="21" hidden="1" customHeight="1" thickTop="1" x14ac:dyDescent="0.5">
      <c r="B90" s="894" t="s">
        <v>420</v>
      </c>
      <c r="C90" s="894"/>
      <c r="D90" s="894"/>
      <c r="E90" s="894"/>
      <c r="F90" s="894"/>
      <c r="H90" s="895"/>
      <c r="I90" s="849"/>
      <c r="K90" s="848"/>
      <c r="N90" s="883"/>
      <c r="O90" s="849"/>
      <c r="P90" s="849"/>
      <c r="Q90" s="849"/>
      <c r="R90" s="849"/>
      <c r="S90" s="883"/>
      <c r="T90" s="883"/>
      <c r="U90" s="883"/>
    </row>
    <row r="91" spans="1:27" s="155" customFormat="1" ht="21" hidden="1" customHeight="1" x14ac:dyDescent="0.5">
      <c r="A91" s="896"/>
      <c r="B91" s="897" t="s">
        <v>399</v>
      </c>
      <c r="E91" s="898">
        <f>ราคาวัสดุ!J32</f>
        <v>618.46</v>
      </c>
      <c r="F91" s="155" t="s">
        <v>324</v>
      </c>
      <c r="K91" s="158" t="s">
        <v>8</v>
      </c>
      <c r="L91" s="899">
        <f>ROUND(0.013*E91,2)</f>
        <v>8.0399999999999991</v>
      </c>
      <c r="M91" s="157" t="s">
        <v>9</v>
      </c>
      <c r="O91" s="849"/>
      <c r="P91" s="849"/>
      <c r="Q91" s="849"/>
      <c r="R91" s="849"/>
      <c r="S91" s="900"/>
      <c r="T91" s="900"/>
      <c r="U91" s="900"/>
      <c r="V91" s="900"/>
      <c r="X91" s="900"/>
    </row>
    <row r="92" spans="1:27" s="155" customFormat="1" ht="21" hidden="1" customHeight="1" x14ac:dyDescent="0.5">
      <c r="A92" s="896"/>
      <c r="B92" s="897" t="s">
        <v>398</v>
      </c>
      <c r="E92" s="898">
        <f>ราคาวัสดุ!J40</f>
        <v>26321.39</v>
      </c>
      <c r="F92" s="155" t="s">
        <v>385</v>
      </c>
      <c r="K92" s="158" t="s">
        <v>8</v>
      </c>
      <c r="L92" s="899">
        <f>ROUND(1.1*E92/1000,2)</f>
        <v>28.95</v>
      </c>
      <c r="M92" s="157" t="s">
        <v>9</v>
      </c>
      <c r="O92" s="849"/>
      <c r="P92" s="849"/>
      <c r="Q92" s="849"/>
      <c r="R92" s="849"/>
      <c r="S92" s="900"/>
      <c r="T92" s="900"/>
      <c r="U92" s="900"/>
      <c r="V92" s="900"/>
      <c r="X92" s="900"/>
    </row>
    <row r="93" spans="1:27" s="155" customFormat="1" ht="21" hidden="1" customHeight="1" x14ac:dyDescent="0.5">
      <c r="A93" s="896"/>
      <c r="B93" s="849" t="s">
        <v>386</v>
      </c>
      <c r="K93" s="158" t="s">
        <v>8</v>
      </c>
      <c r="L93" s="899">
        <f>'S2'!BK29</f>
        <v>0</v>
      </c>
      <c r="M93" s="157" t="s">
        <v>9</v>
      </c>
      <c r="O93" s="849"/>
      <c r="P93" s="849"/>
      <c r="Q93" s="849"/>
      <c r="R93" s="849"/>
      <c r="S93" s="900"/>
      <c r="T93" s="900"/>
      <c r="U93" s="900"/>
      <c r="V93" s="900"/>
      <c r="X93" s="900"/>
    </row>
    <row r="94" spans="1:27" ht="21" hidden="1" customHeight="1" x14ac:dyDescent="0.5">
      <c r="B94" s="862" t="s">
        <v>397</v>
      </c>
      <c r="C94" s="862"/>
      <c r="G94" s="849" t="str">
        <f>"= "&amp;FIXED(L91,2)&amp;" + "&amp;FIXED(L92,2)&amp;" + "&amp;FIXED(L93,2)&amp;""</f>
        <v>= 8.04 + 28.95 + 0.00</v>
      </c>
      <c r="K94" s="851" t="s">
        <v>8</v>
      </c>
      <c r="L94" s="849">
        <f>SUM(L91:L93)</f>
        <v>36.989999999999995</v>
      </c>
      <c r="M94" s="157" t="s">
        <v>9</v>
      </c>
      <c r="N94" s="870"/>
      <c r="S94" s="870"/>
      <c r="T94" s="870"/>
      <c r="U94" s="870"/>
    </row>
    <row r="95" spans="1:27" s="155" customFormat="1" ht="21" hidden="1" customHeight="1" thickBot="1" x14ac:dyDescent="0.55000000000000004">
      <c r="A95" s="901"/>
      <c r="B95" s="879"/>
      <c r="C95" s="879"/>
      <c r="D95" s="879"/>
      <c r="E95" s="879"/>
      <c r="F95" s="879"/>
      <c r="G95" s="880"/>
      <c r="I95" s="881" t="s">
        <v>260</v>
      </c>
      <c r="J95" s="163"/>
      <c r="K95" s="154" t="s">
        <v>8</v>
      </c>
      <c r="L95" s="902">
        <f>L94</f>
        <v>36.989999999999995</v>
      </c>
      <c r="M95" s="156" t="s">
        <v>9</v>
      </c>
      <c r="N95" s="903"/>
      <c r="O95" s="849"/>
      <c r="P95" s="849"/>
      <c r="Q95" s="849"/>
      <c r="R95" s="849"/>
      <c r="S95" s="900"/>
      <c r="T95" s="900"/>
      <c r="U95" s="900"/>
      <c r="V95" s="900"/>
      <c r="X95" s="900"/>
    </row>
    <row r="96" spans="1:27" s="852" customFormat="1" ht="21" hidden="1" customHeight="1" thickTop="1" x14ac:dyDescent="0.5">
      <c r="B96" s="894" t="s">
        <v>424</v>
      </c>
      <c r="C96" s="894"/>
      <c r="D96" s="894"/>
      <c r="E96" s="894"/>
      <c r="F96" s="894"/>
      <c r="H96" s="895"/>
      <c r="I96" s="849"/>
      <c r="K96" s="848"/>
      <c r="N96" s="883"/>
      <c r="O96" s="849"/>
      <c r="P96" s="849"/>
      <c r="Q96" s="849"/>
      <c r="R96" s="849"/>
      <c r="S96" s="883"/>
      <c r="T96" s="883"/>
      <c r="U96" s="883"/>
    </row>
    <row r="97" spans="1:30" s="155" customFormat="1" ht="21" hidden="1" customHeight="1" x14ac:dyDescent="0.5">
      <c r="A97" s="896"/>
      <c r="B97" s="897" t="s">
        <v>421</v>
      </c>
      <c r="E97" s="898">
        <f>ราคาวัสดุ!J31</f>
        <v>618.46</v>
      </c>
      <c r="F97" s="155" t="s">
        <v>324</v>
      </c>
      <c r="K97" s="158" t="s">
        <v>8</v>
      </c>
      <c r="L97" s="899">
        <f>ROUND(0.016*E97,2)</f>
        <v>9.9</v>
      </c>
      <c r="M97" s="157" t="s">
        <v>9</v>
      </c>
      <c r="O97" s="849"/>
      <c r="P97" s="849"/>
      <c r="Q97" s="849"/>
      <c r="R97" s="849"/>
      <c r="S97" s="900"/>
      <c r="T97" s="900"/>
      <c r="U97" s="900"/>
      <c r="V97" s="900"/>
      <c r="X97" s="900"/>
    </row>
    <row r="98" spans="1:30" s="155" customFormat="1" ht="21" hidden="1" customHeight="1" x14ac:dyDescent="0.5">
      <c r="A98" s="896"/>
      <c r="B98" s="897" t="s">
        <v>422</v>
      </c>
      <c r="E98" s="898">
        <f>ราคาวัสดุ!J40</f>
        <v>26321.39</v>
      </c>
      <c r="F98" s="155" t="s">
        <v>385</v>
      </c>
      <c r="K98" s="158" t="s">
        <v>8</v>
      </c>
      <c r="L98" s="899">
        <f>ROUND(1.5*E98/1000,2)</f>
        <v>39.479999999999997</v>
      </c>
      <c r="M98" s="157" t="s">
        <v>9</v>
      </c>
      <c r="O98" s="849"/>
      <c r="P98" s="849"/>
      <c r="Q98" s="849"/>
      <c r="R98" s="849"/>
      <c r="S98" s="900"/>
      <c r="T98" s="900"/>
      <c r="U98" s="900"/>
      <c r="V98" s="900"/>
      <c r="X98" s="900"/>
    </row>
    <row r="99" spans="1:30" s="155" customFormat="1" ht="21" hidden="1" customHeight="1" x14ac:dyDescent="0.5">
      <c r="A99" s="896"/>
      <c r="B99" s="849" t="s">
        <v>423</v>
      </c>
      <c r="K99" s="158" t="s">
        <v>8</v>
      </c>
      <c r="L99" s="899">
        <f>'S2'!BK30</f>
        <v>0</v>
      </c>
      <c r="M99" s="157" t="s">
        <v>9</v>
      </c>
      <c r="O99" s="849"/>
      <c r="P99" s="849"/>
      <c r="Q99" s="849"/>
      <c r="R99" s="849"/>
      <c r="S99" s="900"/>
      <c r="T99" s="900"/>
      <c r="U99" s="900"/>
      <c r="V99" s="900"/>
      <c r="X99" s="900"/>
    </row>
    <row r="100" spans="1:30" ht="21" hidden="1" customHeight="1" x14ac:dyDescent="0.5">
      <c r="B100" s="862" t="s">
        <v>397</v>
      </c>
      <c r="C100" s="862"/>
      <c r="G100" s="849" t="str">
        <f>"= "&amp;FIXED(L97,2)&amp;" + "&amp;FIXED(L98,2)&amp;" + "&amp;FIXED(L99,2)&amp;""</f>
        <v>= 9.90 + 39.48 + 0.00</v>
      </c>
      <c r="K100" s="851" t="s">
        <v>8</v>
      </c>
      <c r="L100" s="849">
        <f>SUM(L97:L99)</f>
        <v>49.379999999999995</v>
      </c>
      <c r="M100" s="157" t="s">
        <v>9</v>
      </c>
      <c r="N100" s="870"/>
      <c r="S100" s="870"/>
      <c r="T100" s="870"/>
      <c r="U100" s="870"/>
    </row>
    <row r="101" spans="1:30" s="155" customFormat="1" ht="21" hidden="1" customHeight="1" thickBot="1" x14ac:dyDescent="0.55000000000000004">
      <c r="A101" s="901"/>
      <c r="B101" s="879"/>
      <c r="C101" s="879"/>
      <c r="D101" s="879"/>
      <c r="E101" s="879"/>
      <c r="F101" s="879"/>
      <c r="G101" s="880"/>
      <c r="I101" s="881" t="s">
        <v>260</v>
      </c>
      <c r="J101" s="163"/>
      <c r="K101" s="154" t="s">
        <v>8</v>
      </c>
      <c r="L101" s="902">
        <f>L100</f>
        <v>49.379999999999995</v>
      </c>
      <c r="M101" s="156" t="s">
        <v>9</v>
      </c>
      <c r="N101" s="903"/>
      <c r="O101" s="849"/>
      <c r="P101" s="849"/>
      <c r="Q101" s="849"/>
      <c r="R101" s="849"/>
      <c r="S101" s="900"/>
      <c r="T101" s="900"/>
      <c r="U101" s="900"/>
      <c r="V101" s="900"/>
      <c r="X101" s="900"/>
    </row>
    <row r="102" spans="1:30" s="155" customFormat="1" ht="21.95" hidden="1" customHeight="1" thickTop="1" x14ac:dyDescent="0.5">
      <c r="A102" s="901"/>
      <c r="B102" s="904" t="s">
        <v>416</v>
      </c>
      <c r="K102" s="158"/>
      <c r="L102" s="900"/>
      <c r="M102" s="157"/>
      <c r="O102" s="849"/>
      <c r="P102" s="849"/>
      <c r="S102" s="900"/>
      <c r="T102" s="900"/>
      <c r="U102" s="900"/>
      <c r="V102" s="900"/>
      <c r="X102" s="900"/>
    </row>
    <row r="103" spans="1:30" s="155" customFormat="1" ht="21.95" hidden="1" customHeight="1" x14ac:dyDescent="0.5">
      <c r="A103" s="905"/>
      <c r="B103" s="897" t="s">
        <v>396</v>
      </c>
      <c r="D103" s="898">
        <f>ราคาวัสดุ!J38</f>
        <v>29573.06</v>
      </c>
      <c r="E103" s="155" t="s">
        <v>385</v>
      </c>
      <c r="K103" s="158" t="s">
        <v>8</v>
      </c>
      <c r="L103" s="898">
        <f>ROUND(0.3*D103/1000,2)</f>
        <v>8.8699999999999992</v>
      </c>
      <c r="M103" s="157" t="s">
        <v>7</v>
      </c>
      <c r="O103" s="849"/>
      <c r="P103" s="849"/>
      <c r="S103" s="900"/>
      <c r="T103" s="900"/>
      <c r="U103" s="900"/>
      <c r="V103" s="900"/>
      <c r="X103" s="900"/>
    </row>
    <row r="104" spans="1:30" s="155" customFormat="1" ht="21.95" hidden="1" customHeight="1" x14ac:dyDescent="0.5">
      <c r="A104" s="905"/>
      <c r="B104" s="849" t="s">
        <v>388</v>
      </c>
      <c r="K104" s="158" t="s">
        <v>8</v>
      </c>
      <c r="L104" s="898">
        <f>'S2'!BK55</f>
        <v>2.94</v>
      </c>
      <c r="M104" s="157" t="s">
        <v>75</v>
      </c>
      <c r="O104" s="849"/>
      <c r="P104" s="849"/>
      <c r="S104" s="900"/>
      <c r="T104" s="900"/>
      <c r="U104" s="900"/>
      <c r="V104" s="900"/>
      <c r="X104" s="900"/>
    </row>
    <row r="105" spans="1:30" s="155" customFormat="1" ht="21.95" hidden="1" customHeight="1" thickBot="1" x14ac:dyDescent="0.55000000000000004">
      <c r="A105" s="905"/>
      <c r="B105" s="879"/>
      <c r="C105" s="879"/>
      <c r="D105" s="879"/>
      <c r="E105" s="879"/>
      <c r="F105" s="879"/>
      <c r="G105" s="880"/>
      <c r="I105" s="881" t="s">
        <v>260</v>
      </c>
      <c r="K105" s="158" t="s">
        <v>8</v>
      </c>
      <c r="L105" s="906">
        <f>SUM(L103:L104)</f>
        <v>11.809999999999999</v>
      </c>
      <c r="M105" s="156" t="s">
        <v>9</v>
      </c>
      <c r="N105" s="903"/>
      <c r="O105" s="849"/>
      <c r="P105" s="849"/>
      <c r="S105" s="900"/>
      <c r="T105" s="900"/>
      <c r="U105" s="900"/>
      <c r="V105" s="900"/>
      <c r="X105" s="900"/>
    </row>
    <row r="106" spans="1:30" s="880" customFormat="1" ht="21.95" hidden="1" customHeight="1" thickTop="1" x14ac:dyDescent="0.5">
      <c r="B106" s="1110" t="s">
        <v>417</v>
      </c>
      <c r="C106" s="1110"/>
      <c r="D106" s="1110"/>
      <c r="E106" s="1110"/>
      <c r="F106" s="1110"/>
      <c r="H106" s="155"/>
      <c r="I106" s="899"/>
      <c r="K106" s="907"/>
      <c r="M106" s="908"/>
      <c r="N106" s="903"/>
      <c r="O106" s="849"/>
      <c r="P106" s="849"/>
      <c r="Q106" s="155"/>
    </row>
    <row r="107" spans="1:30" s="155" customFormat="1" ht="21.95" hidden="1" customHeight="1" x14ac:dyDescent="0.5">
      <c r="A107" s="905"/>
      <c r="B107" s="909" t="s">
        <v>390</v>
      </c>
      <c r="F107" s="910"/>
      <c r="G107" s="171">
        <f>ราคาวัสดุ!J42</f>
        <v>38918.06</v>
      </c>
      <c r="H107" s="155" t="s">
        <v>385</v>
      </c>
      <c r="K107" s="158" t="s">
        <v>8</v>
      </c>
      <c r="L107" s="899">
        <f>ROUND(2.054*G107/1000,2)</f>
        <v>79.94</v>
      </c>
      <c r="M107" s="157" t="s">
        <v>9</v>
      </c>
      <c r="N107" s="157"/>
      <c r="O107" s="849"/>
      <c r="P107" s="849"/>
      <c r="R107" s="905"/>
      <c r="S107" s="897" t="s">
        <v>387</v>
      </c>
      <c r="AB107" s="158" t="s">
        <v>8</v>
      </c>
      <c r="AC107" s="899">
        <v>200</v>
      </c>
      <c r="AD107" s="155" t="s">
        <v>30</v>
      </c>
    </row>
    <row r="108" spans="1:30" s="155" customFormat="1" ht="21.95" hidden="1" customHeight="1" x14ac:dyDescent="0.5">
      <c r="A108" s="905"/>
      <c r="B108" s="155" t="s">
        <v>391</v>
      </c>
      <c r="D108" s="898">
        <f>ราคาวัสดุ!J22</f>
        <v>3143.46</v>
      </c>
      <c r="E108" s="155" t="s">
        <v>385</v>
      </c>
      <c r="F108" s="911"/>
      <c r="G108" s="912"/>
      <c r="H108" s="913"/>
      <c r="K108" s="158" t="s">
        <v>8</v>
      </c>
      <c r="L108" s="899">
        <f>ROUND(0.091*D108/1000,2)</f>
        <v>0.28999999999999998</v>
      </c>
      <c r="M108" s="157" t="s">
        <v>9</v>
      </c>
      <c r="N108" s="157"/>
      <c r="O108" s="849"/>
      <c r="P108" s="849"/>
      <c r="S108" s="900"/>
      <c r="T108" s="900"/>
      <c r="U108" s="900"/>
      <c r="V108" s="900"/>
      <c r="X108" s="900"/>
    </row>
    <row r="109" spans="1:30" s="155" customFormat="1" ht="21.95" hidden="1" customHeight="1" x14ac:dyDescent="0.5">
      <c r="A109" s="905"/>
      <c r="B109" s="897" t="s">
        <v>392</v>
      </c>
      <c r="F109" s="899"/>
      <c r="G109" s="171">
        <f>ROUND(ราคาวัสดุ!J30*0.8+ราคาวัสดุ!J33*0.2,2)</f>
        <v>463.42</v>
      </c>
      <c r="H109" s="849" t="s">
        <v>324</v>
      </c>
      <c r="K109" s="158" t="s">
        <v>8</v>
      </c>
      <c r="L109" s="899">
        <f>ROUND(0.0117*G109,2)</f>
        <v>5.42</v>
      </c>
      <c r="M109" s="157" t="s">
        <v>9</v>
      </c>
      <c r="N109" s="157"/>
      <c r="O109" s="849"/>
      <c r="P109" s="849"/>
      <c r="S109" s="900"/>
      <c r="T109" s="900"/>
      <c r="U109" s="900"/>
      <c r="V109" s="900"/>
      <c r="X109" s="900"/>
    </row>
    <row r="110" spans="1:30" s="155" customFormat="1" ht="21.95" hidden="1" customHeight="1" x14ac:dyDescent="0.5">
      <c r="A110" s="905"/>
      <c r="B110" s="897" t="s">
        <v>393</v>
      </c>
      <c r="D110" s="155">
        <f>'S2'!D5</f>
        <v>11.49</v>
      </c>
      <c r="E110" s="849" t="s">
        <v>324</v>
      </c>
      <c r="F110" s="899"/>
      <c r="G110" s="912"/>
      <c r="H110" s="914"/>
      <c r="K110" s="158" t="s">
        <v>8</v>
      </c>
      <c r="L110" s="899">
        <f>ROUND(0.0027*D110,2)</f>
        <v>0.03</v>
      </c>
      <c r="M110" s="157" t="s">
        <v>9</v>
      </c>
      <c r="N110" s="157"/>
      <c r="O110" s="849"/>
      <c r="P110" s="849"/>
      <c r="S110" s="900"/>
      <c r="T110" s="900"/>
      <c r="U110" s="900"/>
      <c r="V110" s="900"/>
      <c r="X110" s="900"/>
    </row>
    <row r="111" spans="1:30" s="155" customFormat="1" ht="21.95" hidden="1" customHeight="1" x14ac:dyDescent="0.5">
      <c r="A111" s="905"/>
      <c r="B111" s="897" t="s">
        <v>394</v>
      </c>
      <c r="E111" s="155">
        <f>'S2'!C5</f>
        <v>8.2100000000000009</v>
      </c>
      <c r="F111" s="157" t="s">
        <v>7</v>
      </c>
      <c r="G111" s="912"/>
      <c r="H111" s="914"/>
      <c r="K111" s="158" t="s">
        <v>8</v>
      </c>
      <c r="L111" s="899">
        <f>ROUND(0.0157*E111,2)</f>
        <v>0.13</v>
      </c>
      <c r="M111" s="157" t="s">
        <v>9</v>
      </c>
      <c r="N111" s="157"/>
      <c r="O111" s="849"/>
      <c r="P111" s="849"/>
      <c r="S111" s="900"/>
      <c r="T111" s="900"/>
      <c r="U111" s="900"/>
      <c r="V111" s="900"/>
      <c r="X111" s="900"/>
    </row>
    <row r="112" spans="1:30" s="155" customFormat="1" ht="21.95" hidden="1" customHeight="1" x14ac:dyDescent="0.5">
      <c r="A112" s="905"/>
      <c r="B112" s="849" t="s">
        <v>389</v>
      </c>
      <c r="K112" s="158" t="s">
        <v>8</v>
      </c>
      <c r="L112" s="898">
        <f>'S2'!BK54</f>
        <v>13.21</v>
      </c>
      <c r="M112" s="157" t="s">
        <v>9</v>
      </c>
      <c r="O112" s="849"/>
      <c r="P112" s="849"/>
      <c r="S112" s="900"/>
      <c r="T112" s="900"/>
      <c r="U112" s="900"/>
      <c r="V112" s="900"/>
      <c r="X112" s="900"/>
    </row>
    <row r="113" spans="1:24" s="155" customFormat="1" ht="21.95" hidden="1" customHeight="1" x14ac:dyDescent="0.5">
      <c r="A113" s="905"/>
      <c r="B113" s="897" t="s">
        <v>395</v>
      </c>
      <c r="E113" s="171">
        <v>200</v>
      </c>
      <c r="F113" s="155" t="s">
        <v>446</v>
      </c>
      <c r="G113" s="912"/>
      <c r="H113" s="914"/>
      <c r="K113" s="158" t="s">
        <v>8</v>
      </c>
      <c r="L113" s="899">
        <f>ROUND(0.072*E113,2)</f>
        <v>14.4</v>
      </c>
      <c r="M113" s="157" t="s">
        <v>9</v>
      </c>
      <c r="N113" s="157"/>
      <c r="O113" s="849"/>
      <c r="P113" s="849"/>
      <c r="S113" s="900"/>
      <c r="T113" s="900"/>
      <c r="U113" s="900"/>
      <c r="V113" s="900"/>
      <c r="X113" s="900"/>
    </row>
    <row r="114" spans="1:24" s="880" customFormat="1" ht="21.95" hidden="1" customHeight="1" thickBot="1" x14ac:dyDescent="0.55000000000000004">
      <c r="B114" s="879"/>
      <c r="C114" s="879"/>
      <c r="D114" s="879"/>
      <c r="E114" s="879"/>
      <c r="F114" s="879"/>
      <c r="H114" s="155"/>
      <c r="I114" s="881" t="s">
        <v>260</v>
      </c>
      <c r="K114" s="907" t="s">
        <v>8</v>
      </c>
      <c r="L114" s="902">
        <f>SUM(L107:L113)</f>
        <v>113.42000000000002</v>
      </c>
      <c r="M114" s="156" t="s">
        <v>9</v>
      </c>
      <c r="N114" s="903"/>
      <c r="O114" s="849"/>
      <c r="P114" s="849"/>
    </row>
    <row r="115" spans="1:24" ht="21.95" customHeight="1" thickTop="1" x14ac:dyDescent="0.5">
      <c r="B115" s="852" t="s">
        <v>437</v>
      </c>
      <c r="C115" s="852"/>
      <c r="D115" s="852"/>
      <c r="E115" s="915">
        <v>5</v>
      </c>
      <c r="F115" s="852" t="s">
        <v>438</v>
      </c>
      <c r="N115" s="870"/>
      <c r="S115" s="870"/>
      <c r="T115" s="870"/>
      <c r="U115" s="870"/>
      <c r="V115" s="865"/>
    </row>
    <row r="116" spans="1:24" ht="21.95" customHeight="1" x14ac:dyDescent="0.5">
      <c r="B116" s="849" t="s">
        <v>107</v>
      </c>
      <c r="F116" s="916" t="str">
        <f>" = ("&amp;FIXED(ปร.งานทาง!F29,2)&amp;"+"&amp;FIXED(ปร.งานทาง!F30,2)&amp;"+"&amp;FIXED(ปร.งานทาง!F31,2)&amp;") / "&amp;FIXED(E127,2)&amp;""</f>
        <v xml:space="preserve"> = (1,352.00+0.00+0.00) / 8.33</v>
      </c>
      <c r="K116" s="851" t="s">
        <v>8</v>
      </c>
      <c r="L116" s="856">
        <f>ROUND((ปร.งานทาง!F29+ปร.งานทาง!F30+ปร.งานทาง!F31)/$E$127,2)</f>
        <v>162.30000000000001</v>
      </c>
      <c r="M116" s="849" t="s">
        <v>52</v>
      </c>
      <c r="N116" s="870"/>
      <c r="Q116" s="851"/>
      <c r="R116" s="856"/>
      <c r="S116" s="870"/>
      <c r="T116" s="870"/>
      <c r="U116" s="870"/>
      <c r="V116" s="856"/>
    </row>
    <row r="117" spans="1:24" ht="21.95" customHeight="1" x14ac:dyDescent="0.5">
      <c r="B117" s="862" t="str">
        <f>IF(L116&lt;=10000,"(กรณีที่ปริมาณงาน AC ทั้งโครงการ น้อยกว่า 10,000 ตัน  ให้ใช้ปริมาณ AC = 10,000 ตัน ในการคำนวนติดตั้งเครื่องผสม)"," ")</f>
        <v>(กรณีที่ปริมาณงาน AC ทั้งโครงการ น้อยกว่า 10,000 ตัน  ให้ใช้ปริมาณ AC = 10,000 ตัน ในการคำนวนติดตั้งเครื่องผสม)</v>
      </c>
      <c r="C117" s="862"/>
      <c r="D117" s="862"/>
      <c r="E117" s="862"/>
      <c r="F117" s="862"/>
      <c r="G117" s="862"/>
      <c r="H117" s="862"/>
      <c r="I117" s="862"/>
      <c r="J117" s="862"/>
      <c r="K117" s="862"/>
      <c r="L117" s="862"/>
      <c r="M117" s="862"/>
      <c r="N117" s="917"/>
      <c r="Q117" s="851"/>
      <c r="S117" s="849">
        <f>IF(L118&lt;=10000,10000,L118)</f>
        <v>10000</v>
      </c>
      <c r="T117" s="849" t="s">
        <v>52</v>
      </c>
      <c r="U117" s="870"/>
      <c r="V117" s="856"/>
    </row>
    <row r="118" spans="1:24" ht="21.95" customHeight="1" x14ac:dyDescent="0.5">
      <c r="B118" s="849" t="s">
        <v>107</v>
      </c>
      <c r="C118" s="918"/>
      <c r="D118" s="918"/>
      <c r="E118" s="918"/>
      <c r="F118" s="918"/>
      <c r="G118" s="918"/>
      <c r="H118" s="918"/>
      <c r="I118" s="918"/>
      <c r="J118" s="918"/>
      <c r="K118" s="851" t="s">
        <v>8</v>
      </c>
      <c r="L118" s="856">
        <f>IF(L116&lt;=10000,10000,L116)</f>
        <v>10000</v>
      </c>
      <c r="M118" s="849" t="s">
        <v>52</v>
      </c>
      <c r="N118" s="917"/>
      <c r="Q118" s="851"/>
      <c r="U118" s="870"/>
      <c r="V118" s="856"/>
    </row>
    <row r="119" spans="1:24" ht="21.95" customHeight="1" x14ac:dyDescent="0.5">
      <c r="B119" s="849" t="s">
        <v>377</v>
      </c>
      <c r="D119" s="875">
        <f>กรอกข้อมูล!D16</f>
        <v>40</v>
      </c>
      <c r="E119" s="919" t="s">
        <v>383</v>
      </c>
      <c r="G119" s="851"/>
      <c r="H119" s="849">
        <f>IF($P$2=1,IF(D119&lt;=200,VLOOKUP(D119,'S2'!$B$5:'S2'!$F$204,2),IF(D119&gt;200,(D119-200)*'S2'!$C$205+'S2'!$C$204)),IF($P$2=2,IF(D119&lt;=200,VLOOKUP(D119,'S2'!$B$5:'S2'!$F$204,4),IF(D119&gt;200,(D119-200)*'S2'!$E$205+'S2'!$E$204))))</f>
        <v>64.88</v>
      </c>
      <c r="I119" s="870" t="s">
        <v>6</v>
      </c>
    </row>
    <row r="120" spans="1:24" ht="21.95" customHeight="1" x14ac:dyDescent="0.5">
      <c r="E120" s="916" t="str">
        <f>" = (("&amp;FIXED(H119,2)&amp;"+80) x 80) / "&amp;FIXED(L118,2)&amp;""</f>
        <v xml:space="preserve"> = ((64.88+80) x 80) / 10,000.00</v>
      </c>
      <c r="H120" s="870"/>
      <c r="K120" s="851" t="s">
        <v>8</v>
      </c>
      <c r="L120" s="849">
        <f>ROUND((H119+80)*80/L118,2)</f>
        <v>1.1599999999999999</v>
      </c>
      <c r="M120" s="849" t="s">
        <v>6</v>
      </c>
      <c r="N120" s="870"/>
      <c r="Q120" s="851"/>
      <c r="S120" s="870"/>
      <c r="T120" s="870"/>
      <c r="U120" s="870"/>
      <c r="V120" s="889"/>
      <c r="W120" s="920"/>
      <c r="X120" s="916"/>
    </row>
    <row r="121" spans="1:24" ht="21.95" customHeight="1" x14ac:dyDescent="0.5">
      <c r="B121" s="849" t="s">
        <v>108</v>
      </c>
      <c r="E121" s="916" t="str">
        <f>" = 250,000.00 / "&amp;FIXED(S117,2)&amp;""</f>
        <v xml:space="preserve"> = 250,000.00 / 10,000.00</v>
      </c>
      <c r="K121" s="851" t="s">
        <v>8</v>
      </c>
      <c r="L121" s="856">
        <f>ROUND(250000/S117,2)</f>
        <v>25</v>
      </c>
      <c r="M121" s="849" t="s">
        <v>6</v>
      </c>
      <c r="N121" s="870"/>
      <c r="Q121" s="851"/>
      <c r="R121" s="856"/>
      <c r="S121" s="870"/>
      <c r="T121" s="870"/>
      <c r="U121" s="870"/>
    </row>
    <row r="122" spans="1:24" ht="21.95" customHeight="1" x14ac:dyDescent="0.5">
      <c r="B122" s="849" t="s">
        <v>382</v>
      </c>
      <c r="D122" s="849">
        <f>ราคาวัสดุ!J37</f>
        <v>28048.06</v>
      </c>
      <c r="E122" s="849" t="s">
        <v>6</v>
      </c>
      <c r="K122" s="851" t="s">
        <v>8</v>
      </c>
      <c r="L122" s="849">
        <f>ROUND(ราคาวัสดุ!J37*0.052,2)</f>
        <v>1458.5</v>
      </c>
      <c r="M122" s="849" t="s">
        <v>6</v>
      </c>
      <c r="N122" s="870"/>
      <c r="Q122" s="851"/>
      <c r="S122" s="870"/>
      <c r="T122" s="870"/>
      <c r="U122" s="870"/>
    </row>
    <row r="123" spans="1:24" ht="21.95" customHeight="1" x14ac:dyDescent="0.5">
      <c r="B123" s="849" t="s">
        <v>378</v>
      </c>
      <c r="E123" s="849">
        <f>ราคาวัสดุ!J34</f>
        <v>515.66</v>
      </c>
      <c r="F123" s="849" t="s">
        <v>3</v>
      </c>
      <c r="K123" s="851" t="s">
        <v>8</v>
      </c>
      <c r="L123" s="849">
        <f>ROUND(ราคาวัสดุ!J34*0.74,2)</f>
        <v>381.59</v>
      </c>
      <c r="M123" s="849" t="s">
        <v>6</v>
      </c>
      <c r="N123" s="870"/>
      <c r="Q123" s="851"/>
      <c r="S123" s="870"/>
      <c r="T123" s="870"/>
      <c r="U123" s="870"/>
    </row>
    <row r="124" spans="1:24" ht="21.95" customHeight="1" x14ac:dyDescent="0.5">
      <c r="B124" s="849" t="s">
        <v>379</v>
      </c>
      <c r="K124" s="851" t="s">
        <v>8</v>
      </c>
      <c r="L124" s="849">
        <f>'S2'!BK32</f>
        <v>408.97</v>
      </c>
      <c r="M124" s="849" t="s">
        <v>6</v>
      </c>
      <c r="N124" s="870"/>
      <c r="Q124" s="851"/>
      <c r="S124" s="870"/>
      <c r="T124" s="870"/>
      <c r="U124" s="870"/>
    </row>
    <row r="125" spans="1:24" ht="21.95" customHeight="1" x14ac:dyDescent="0.5">
      <c r="B125" s="849" t="s">
        <v>380</v>
      </c>
      <c r="C125" s="851">
        <v>1</v>
      </c>
      <c r="D125" s="862" t="s">
        <v>381</v>
      </c>
      <c r="K125" s="851" t="s">
        <v>8</v>
      </c>
      <c r="L125" s="849">
        <v>8.25</v>
      </c>
      <c r="M125" s="849" t="s">
        <v>6</v>
      </c>
      <c r="N125" s="870"/>
      <c r="Q125" s="851"/>
      <c r="S125" s="870"/>
      <c r="T125" s="870"/>
      <c r="U125" s="870"/>
    </row>
    <row r="126" spans="1:24" ht="21.95" customHeight="1" x14ac:dyDescent="0.5">
      <c r="B126" s="849" t="s">
        <v>113</v>
      </c>
      <c r="K126" s="851" t="s">
        <v>8</v>
      </c>
      <c r="L126" s="849">
        <f>SUM(L120:L125)</f>
        <v>2283.4700000000003</v>
      </c>
      <c r="M126" s="849" t="s">
        <v>6</v>
      </c>
      <c r="N126" s="870"/>
      <c r="Q126" s="851"/>
      <c r="S126" s="870"/>
      <c r="T126" s="870"/>
      <c r="U126" s="870"/>
    </row>
    <row r="127" spans="1:24" ht="21.95" customHeight="1" x14ac:dyDescent="0.5">
      <c r="B127" s="849" t="s">
        <v>114</v>
      </c>
      <c r="C127" s="895" t="str">
        <f>"= "&amp;FIXED($L$126,2)&amp;" (บาท/ตัน) / "</f>
        <v xml:space="preserve">= 2,283.47 (บาท/ตัน) / </v>
      </c>
      <c r="E127" s="849">
        <f>ROUND(41.667/$E$115,2)</f>
        <v>8.33</v>
      </c>
      <c r="F127" s="849" t="s">
        <v>439</v>
      </c>
      <c r="K127" s="851" t="s">
        <v>8</v>
      </c>
      <c r="L127" s="849">
        <f>ROUND($L$126/$E$127,2)</f>
        <v>274.13</v>
      </c>
      <c r="M127" s="849" t="s">
        <v>75</v>
      </c>
      <c r="N127" s="870"/>
      <c r="Q127" s="851"/>
      <c r="S127" s="870"/>
      <c r="T127" s="870"/>
      <c r="U127" s="870"/>
    </row>
    <row r="128" spans="1:24" ht="21.95" customHeight="1" x14ac:dyDescent="0.5">
      <c r="C128" s="895"/>
      <c r="K128" s="851"/>
      <c r="N128" s="870"/>
      <c r="Q128" s="851"/>
      <c r="S128" s="870"/>
      <c r="T128" s="870"/>
      <c r="U128" s="870"/>
    </row>
    <row r="129" spans="2:21" ht="21.95" customHeight="1" x14ac:dyDescent="0.5">
      <c r="C129" s="895"/>
      <c r="K129" s="851"/>
      <c r="N129" s="870"/>
      <c r="Q129" s="851"/>
      <c r="S129" s="870"/>
      <c r="T129" s="870"/>
      <c r="U129" s="870"/>
    </row>
    <row r="130" spans="2:21" ht="21.95" customHeight="1" x14ac:dyDescent="0.5">
      <c r="B130" s="852" t="str">
        <f>ปร.งานทาง!B29</f>
        <v xml:space="preserve">  - งานผิวทาง Asphalt Concrete หนา 5 ซม. (ปูบน Prime Coat)</v>
      </c>
      <c r="K130" s="851"/>
      <c r="N130" s="870"/>
      <c r="Q130" s="851"/>
      <c r="S130" s="870"/>
      <c r="T130" s="870"/>
      <c r="U130" s="870"/>
    </row>
    <row r="131" spans="2:21" ht="21.95" customHeight="1" x14ac:dyDescent="0.5">
      <c r="B131" s="849" t="s">
        <v>435</v>
      </c>
      <c r="F131" s="915"/>
      <c r="K131" s="851"/>
      <c r="N131" s="870"/>
      <c r="Q131" s="851"/>
      <c r="S131" s="870"/>
      <c r="T131" s="870"/>
      <c r="U131" s="870"/>
    </row>
    <row r="132" spans="2:21" ht="21.95" customHeight="1" x14ac:dyDescent="0.5">
      <c r="B132" s="921" t="s">
        <v>8</v>
      </c>
      <c r="C132" s="849">
        <f>'S2'!BK36</f>
        <v>16.059999999999999</v>
      </c>
      <c r="D132" s="849" t="s">
        <v>436</v>
      </c>
      <c r="E132" s="1111">
        <f>IF($E$115=5,1,IF($E$115=4,0.9,IF($E$115=3,0.8)))</f>
        <v>1</v>
      </c>
      <c r="F132" s="1111"/>
      <c r="K132" s="851" t="s">
        <v>8</v>
      </c>
      <c r="L132" s="849">
        <f>C132</f>
        <v>16.059999999999999</v>
      </c>
      <c r="M132" s="849" t="s">
        <v>75</v>
      </c>
      <c r="N132" s="870"/>
      <c r="O132" s="885"/>
      <c r="Q132" s="851"/>
      <c r="S132" s="870"/>
      <c r="T132" s="870"/>
      <c r="U132" s="870"/>
    </row>
    <row r="133" spans="2:21" ht="21.95" customHeight="1" x14ac:dyDescent="0.5">
      <c r="B133" s="849" t="s">
        <v>114</v>
      </c>
      <c r="D133" s="895" t="str">
        <f>"= "&amp;FIXED($L$127,2)&amp;"+"&amp;FIXED(L132,2)&amp;""</f>
        <v>= 274.13+16.06</v>
      </c>
      <c r="G133" s="921"/>
      <c r="K133" s="851" t="s">
        <v>8</v>
      </c>
      <c r="L133" s="849">
        <f>ROUND(($L$127+L132),2)</f>
        <v>290.19</v>
      </c>
      <c r="M133" s="849" t="s">
        <v>75</v>
      </c>
      <c r="N133" s="870"/>
      <c r="Q133" s="851"/>
      <c r="S133" s="870"/>
      <c r="T133" s="870"/>
      <c r="U133" s="870"/>
    </row>
    <row r="134" spans="2:21" s="880" customFormat="1" ht="21.95" customHeight="1" thickBot="1" x14ac:dyDescent="0.55000000000000004">
      <c r="B134" s="879"/>
      <c r="C134" s="879"/>
      <c r="D134" s="879"/>
      <c r="E134" s="879"/>
      <c r="F134" s="879"/>
      <c r="H134" s="155"/>
      <c r="I134" s="881" t="s">
        <v>260</v>
      </c>
      <c r="K134" s="907" t="s">
        <v>8</v>
      </c>
      <c r="L134" s="902">
        <f>L133</f>
        <v>290.19</v>
      </c>
      <c r="M134" s="156" t="s">
        <v>9</v>
      </c>
      <c r="N134" s="903"/>
      <c r="O134" s="849"/>
      <c r="P134" s="849"/>
    </row>
    <row r="135" spans="2:21" ht="21.95" hidden="1" customHeight="1" thickTop="1" x14ac:dyDescent="0.5">
      <c r="B135" s="852" t="str">
        <f>ปร.งานทาง!B30</f>
        <v xml:space="preserve">  - งานผิวทาง Asphalt Concrete หนา 5 ซม. (ปูบน Tack Coat)</v>
      </c>
      <c r="K135" s="851"/>
      <c r="N135" s="870"/>
      <c r="Q135" s="851"/>
      <c r="S135" s="870"/>
      <c r="T135" s="870"/>
      <c r="U135" s="870"/>
    </row>
    <row r="136" spans="2:21" ht="21.95" hidden="1" customHeight="1" x14ac:dyDescent="0.5">
      <c r="B136" s="849" t="s">
        <v>440</v>
      </c>
      <c r="F136" s="915"/>
      <c r="K136" s="851"/>
      <c r="N136" s="870"/>
      <c r="Q136" s="851"/>
      <c r="S136" s="870"/>
      <c r="T136" s="870"/>
      <c r="U136" s="870"/>
    </row>
    <row r="137" spans="2:21" ht="21.95" hidden="1" customHeight="1" x14ac:dyDescent="0.5">
      <c r="B137" s="921" t="s">
        <v>8</v>
      </c>
      <c r="C137" s="849">
        <f>'S2'!BK37</f>
        <v>12.53</v>
      </c>
      <c r="D137" s="849" t="s">
        <v>436</v>
      </c>
      <c r="E137" s="1111">
        <f>IF($E$115=5,1,IF($E$115=4,0.9,IF($E$115=4,0.8)))</f>
        <v>1</v>
      </c>
      <c r="F137" s="1111"/>
      <c r="K137" s="851" t="s">
        <v>8</v>
      </c>
      <c r="L137" s="849">
        <f>ROUND(C137*E137,2)</f>
        <v>12.53</v>
      </c>
      <c r="M137" s="849" t="s">
        <v>75</v>
      </c>
      <c r="N137" s="870"/>
      <c r="O137" s="885"/>
      <c r="Q137" s="851"/>
      <c r="S137" s="870"/>
      <c r="T137" s="870"/>
      <c r="U137" s="870"/>
    </row>
    <row r="138" spans="2:21" ht="21.95" hidden="1" customHeight="1" x14ac:dyDescent="0.5">
      <c r="B138" s="849" t="s">
        <v>114</v>
      </c>
      <c r="D138" s="895" t="str">
        <f>"= "&amp;FIXED($L$127,2)&amp;"+"&amp;FIXED(L137,2)&amp;""</f>
        <v>= 274.13+12.53</v>
      </c>
      <c r="G138" s="921"/>
      <c r="K138" s="851" t="s">
        <v>8</v>
      </c>
      <c r="L138" s="849">
        <f>ROUND(($L$127+L137),2)</f>
        <v>286.66000000000003</v>
      </c>
      <c r="M138" s="849" t="s">
        <v>75</v>
      </c>
      <c r="N138" s="870"/>
      <c r="Q138" s="851"/>
      <c r="S138" s="870"/>
      <c r="T138" s="870"/>
      <c r="U138" s="870"/>
    </row>
    <row r="139" spans="2:21" s="880" customFormat="1" ht="21.95" hidden="1" customHeight="1" thickBot="1" x14ac:dyDescent="0.55000000000000004">
      <c r="B139" s="879"/>
      <c r="C139" s="879"/>
      <c r="D139" s="879"/>
      <c r="E139" s="879"/>
      <c r="F139" s="879"/>
      <c r="H139" s="155"/>
      <c r="I139" s="881" t="s">
        <v>260</v>
      </c>
      <c r="K139" s="907" t="s">
        <v>8</v>
      </c>
      <c r="L139" s="902">
        <f>L138</f>
        <v>286.66000000000003</v>
      </c>
      <c r="M139" s="156" t="s">
        <v>9</v>
      </c>
      <c r="N139" s="903"/>
      <c r="O139" s="849"/>
      <c r="P139" s="849"/>
    </row>
    <row r="140" spans="2:21" s="880" customFormat="1" ht="21.95" hidden="1" customHeight="1" thickTop="1" x14ac:dyDescent="0.5">
      <c r="B140" s="879"/>
      <c r="C140" s="879"/>
      <c r="D140" s="879"/>
      <c r="E140" s="879"/>
      <c r="F140" s="879"/>
      <c r="H140" s="155"/>
      <c r="I140" s="881"/>
      <c r="K140" s="907"/>
      <c r="M140" s="156"/>
      <c r="N140" s="903"/>
      <c r="O140" s="849"/>
      <c r="P140" s="849"/>
    </row>
    <row r="141" spans="2:21" s="880" customFormat="1" ht="21.95" customHeight="1" thickTop="1" x14ac:dyDescent="0.5">
      <c r="B141" s="879"/>
      <c r="C141" s="879"/>
      <c r="D141" s="879"/>
      <c r="E141" s="879"/>
      <c r="F141" s="879"/>
      <c r="H141" s="155"/>
      <c r="I141" s="881"/>
      <c r="K141" s="907"/>
      <c r="M141" s="156"/>
      <c r="N141" s="903"/>
      <c r="O141" s="849"/>
      <c r="P141" s="849"/>
    </row>
    <row r="142" spans="2:21" s="880" customFormat="1" ht="21.95" customHeight="1" x14ac:dyDescent="0.5">
      <c r="B142" s="879"/>
      <c r="C142" s="879"/>
      <c r="D142" s="879"/>
      <c r="E142" s="879"/>
      <c r="F142" s="879"/>
      <c r="H142" s="155"/>
      <c r="I142" s="881"/>
      <c r="K142" s="907"/>
      <c r="M142" s="156"/>
      <c r="N142" s="903"/>
      <c r="O142" s="849"/>
      <c r="P142" s="849"/>
    </row>
    <row r="143" spans="2:21" ht="21.95" customHeight="1" x14ac:dyDescent="0.5">
      <c r="G143" s="921"/>
      <c r="K143" s="851"/>
      <c r="N143" s="870"/>
      <c r="Q143" s="851"/>
      <c r="S143" s="870"/>
      <c r="T143" s="870"/>
      <c r="U143" s="870"/>
    </row>
    <row r="144" spans="2:21" ht="21.95" customHeight="1" x14ac:dyDescent="0.5">
      <c r="G144" s="921"/>
      <c r="K144" s="851"/>
      <c r="N144" s="870"/>
      <c r="Q144" s="851"/>
      <c r="S144" s="870"/>
      <c r="T144" s="870"/>
      <c r="U144" s="870"/>
    </row>
    <row r="145" spans="1:21" ht="21.95" hidden="1" customHeight="1" x14ac:dyDescent="0.5">
      <c r="B145" s="852" t="s">
        <v>415</v>
      </c>
      <c r="N145" s="870"/>
      <c r="S145" s="870"/>
      <c r="T145" s="870"/>
      <c r="U145" s="870"/>
    </row>
    <row r="146" spans="1:21" ht="21.95" hidden="1" customHeight="1" x14ac:dyDescent="0.5">
      <c r="B146" s="849" t="s">
        <v>462</v>
      </c>
      <c r="K146" s="851" t="s">
        <v>8</v>
      </c>
      <c r="L146" s="849">
        <f>L89</f>
        <v>15.41</v>
      </c>
      <c r="M146" s="849" t="s">
        <v>9</v>
      </c>
      <c r="N146" s="870"/>
      <c r="Q146" s="851"/>
      <c r="S146" s="870"/>
      <c r="T146" s="870"/>
      <c r="U146" s="870"/>
    </row>
    <row r="147" spans="1:21" ht="21.95" hidden="1" customHeight="1" x14ac:dyDescent="0.5">
      <c r="B147" s="849" t="s">
        <v>106</v>
      </c>
      <c r="D147" s="921" t="s">
        <v>25</v>
      </c>
      <c r="E147" s="922">
        <f>E115</f>
        <v>5</v>
      </c>
      <c r="F147" s="849" t="s">
        <v>229</v>
      </c>
      <c r="G147" s="921" t="s">
        <v>228</v>
      </c>
      <c r="H147" s="851">
        <f>ROUNDDOWN(41.667/E147,2)</f>
        <v>8.33</v>
      </c>
      <c r="I147" s="849" t="s">
        <v>26</v>
      </c>
      <c r="K147" s="851" t="s">
        <v>8</v>
      </c>
      <c r="L147" s="849">
        <f>ROUND($L$126/H147,2)</f>
        <v>274.13</v>
      </c>
      <c r="M147" s="849" t="s">
        <v>9</v>
      </c>
      <c r="N147" s="870"/>
      <c r="Q147" s="851"/>
      <c r="S147" s="870"/>
      <c r="T147" s="870"/>
      <c r="U147" s="870"/>
    </row>
    <row r="148" spans="1:21" ht="21.95" hidden="1" customHeight="1" x14ac:dyDescent="0.5">
      <c r="B148" s="849" t="s">
        <v>403</v>
      </c>
      <c r="D148" s="921"/>
      <c r="E148" s="922"/>
      <c r="G148" s="921"/>
      <c r="H148" s="851"/>
      <c r="K148" s="851"/>
      <c r="N148" s="870"/>
      <c r="Q148" s="851"/>
      <c r="S148" s="870"/>
      <c r="T148" s="870"/>
      <c r="U148" s="870"/>
    </row>
    <row r="149" spans="1:21" ht="21.95" hidden="1" customHeight="1" x14ac:dyDescent="0.5">
      <c r="G149" s="921" t="s">
        <v>463</v>
      </c>
      <c r="H149" s="923">
        <f>C137</f>
        <v>12.53</v>
      </c>
      <c r="I149" s="885">
        <f>IF(E147=5,1,IF(E147=4,0.9,IF(E147=4,0.8)))</f>
        <v>1</v>
      </c>
      <c r="K149" s="851" t="s">
        <v>8</v>
      </c>
      <c r="L149" s="849">
        <f>ROUND(H149*I149,2)</f>
        <v>12.53</v>
      </c>
      <c r="M149" s="849" t="s">
        <v>9</v>
      </c>
      <c r="N149" s="870"/>
      <c r="O149" s="885"/>
      <c r="Q149" s="851"/>
      <c r="S149" s="870"/>
      <c r="T149" s="870"/>
      <c r="U149" s="870"/>
    </row>
    <row r="150" spans="1:21" s="852" customFormat="1" ht="21.95" hidden="1" customHeight="1" thickBot="1" x14ac:dyDescent="0.55000000000000004">
      <c r="G150" s="888" t="s">
        <v>227</v>
      </c>
      <c r="K150" s="848" t="s">
        <v>8</v>
      </c>
      <c r="L150" s="882">
        <f>ROUND(SUM(L146:L149),2)</f>
        <v>302.07</v>
      </c>
      <c r="M150" s="852" t="s">
        <v>9</v>
      </c>
      <c r="N150" s="883"/>
      <c r="Q150" s="848"/>
      <c r="S150" s="883"/>
      <c r="T150" s="883"/>
      <c r="U150" s="883"/>
    </row>
    <row r="151" spans="1:21" s="852" customFormat="1" ht="21.95" hidden="1" customHeight="1" thickTop="1" x14ac:dyDescent="0.5">
      <c r="B151" s="894"/>
      <c r="C151" s="894"/>
      <c r="D151" s="894"/>
      <c r="E151" s="894"/>
      <c r="F151" s="894"/>
      <c r="H151" s="895"/>
      <c r="I151" s="849"/>
      <c r="K151" s="848"/>
      <c r="N151" s="883"/>
      <c r="O151" s="849"/>
      <c r="P151" s="849"/>
      <c r="Q151" s="848"/>
      <c r="S151" s="883"/>
      <c r="T151" s="883"/>
      <c r="U151" s="883"/>
    </row>
    <row r="152" spans="1:21" s="926" customFormat="1" ht="21" x14ac:dyDescent="0.45">
      <c r="A152" s="924">
        <v>2.1</v>
      </c>
      <c r="B152" s="925" t="s">
        <v>471</v>
      </c>
      <c r="F152" s="927">
        <v>1</v>
      </c>
      <c r="G152" s="925" t="s">
        <v>472</v>
      </c>
    </row>
    <row r="153" spans="1:21" s="926" customFormat="1" ht="21" x14ac:dyDescent="0.45">
      <c r="A153" s="928"/>
      <c r="B153" s="175" t="s">
        <v>688</v>
      </c>
      <c r="D153" s="929"/>
      <c r="E153" s="928" t="s">
        <v>474</v>
      </c>
      <c r="F153" s="929">
        <f>ROUND((0.2+F152+0.2)*F152+1*1.3,2)</f>
        <v>2.7</v>
      </c>
      <c r="G153" s="930" t="s">
        <v>680</v>
      </c>
      <c r="H153" s="929">
        <f>'S2'!BK9</f>
        <v>23.08</v>
      </c>
      <c r="I153" s="930" t="s">
        <v>3</v>
      </c>
      <c r="K153" s="930" t="s">
        <v>8</v>
      </c>
      <c r="L153" s="931">
        <f>F153*H153</f>
        <v>62.316000000000003</v>
      </c>
      <c r="M153" s="930" t="s">
        <v>473</v>
      </c>
    </row>
    <row r="154" spans="1:21" s="926" customFormat="1" ht="21" x14ac:dyDescent="0.45">
      <c r="A154" s="928"/>
      <c r="B154" s="926" t="s">
        <v>687</v>
      </c>
      <c r="E154" s="928"/>
      <c r="F154" s="930"/>
      <c r="G154" s="930"/>
      <c r="H154" s="929"/>
      <c r="I154" s="930"/>
      <c r="K154" s="930" t="s">
        <v>8</v>
      </c>
      <c r="L154" s="932">
        <v>2172.9</v>
      </c>
      <c r="M154" s="930" t="s">
        <v>473</v>
      </c>
    </row>
    <row r="155" spans="1:21" s="926" customFormat="1" ht="21" x14ac:dyDescent="0.45">
      <c r="A155" s="928"/>
      <c r="B155" s="926" t="s">
        <v>689</v>
      </c>
      <c r="E155" s="928"/>
      <c r="F155" s="930"/>
      <c r="G155" s="930"/>
      <c r="H155" s="929"/>
      <c r="I155" s="930"/>
      <c r="K155" s="930"/>
      <c r="L155" s="930"/>
      <c r="M155" s="930"/>
    </row>
    <row r="156" spans="1:21" s="926" customFormat="1" ht="21" x14ac:dyDescent="0.45">
      <c r="A156" s="928"/>
      <c r="B156" s="926" t="s">
        <v>690</v>
      </c>
      <c r="E156" s="928"/>
      <c r="F156" s="930"/>
      <c r="G156" s="930"/>
      <c r="H156" s="929"/>
      <c r="I156" s="930"/>
      <c r="K156" s="930"/>
      <c r="L156" s="930"/>
      <c r="M156" s="930"/>
    </row>
    <row r="157" spans="1:21" s="926" customFormat="1" ht="21" x14ac:dyDescent="0.45">
      <c r="A157" s="928"/>
      <c r="B157" s="926" t="s">
        <v>172</v>
      </c>
      <c r="C157" s="933">
        <f>'S2'!B14</f>
        <v>10</v>
      </c>
      <c r="D157" s="934" t="s">
        <v>691</v>
      </c>
      <c r="E157" s="928">
        <f>'S2'!C14</f>
        <v>26.93</v>
      </c>
      <c r="F157" s="930" t="s">
        <v>692</v>
      </c>
      <c r="G157" s="930"/>
      <c r="H157" s="930">
        <f>(E157*13)+300</f>
        <v>650.08999999999992</v>
      </c>
      <c r="I157" s="930" t="s">
        <v>693</v>
      </c>
      <c r="K157" s="930"/>
    </row>
    <row r="158" spans="1:21" s="926" customFormat="1" ht="21" x14ac:dyDescent="0.45">
      <c r="A158" s="928"/>
      <c r="B158" s="926" t="s">
        <v>694</v>
      </c>
      <c r="C158" s="935">
        <f>H157</f>
        <v>650.08999999999992</v>
      </c>
      <c r="D158" s="936">
        <v>10</v>
      </c>
      <c r="E158" s="928"/>
      <c r="F158" s="930"/>
      <c r="G158" s="930"/>
      <c r="H158" s="930"/>
      <c r="I158" s="930"/>
      <c r="K158" s="930" t="s">
        <v>8</v>
      </c>
      <c r="L158" s="931">
        <f>H157/D158</f>
        <v>65.008999999999986</v>
      </c>
      <c r="M158" s="930" t="s">
        <v>473</v>
      </c>
    </row>
    <row r="159" spans="1:21" s="926" customFormat="1" ht="21" x14ac:dyDescent="0.45">
      <c r="A159" s="928"/>
      <c r="B159" s="926" t="s">
        <v>695</v>
      </c>
      <c r="C159" s="935"/>
      <c r="D159" s="936"/>
      <c r="E159" s="928"/>
      <c r="F159" s="930"/>
      <c r="G159" s="930"/>
      <c r="H159" s="930"/>
      <c r="I159" s="930"/>
      <c r="K159" s="930"/>
      <c r="L159" s="932">
        <v>510</v>
      </c>
      <c r="M159" s="930" t="s">
        <v>473</v>
      </c>
    </row>
    <row r="160" spans="1:21" s="926" customFormat="1" ht="21" x14ac:dyDescent="0.45">
      <c r="A160" s="928"/>
      <c r="B160" s="926" t="s">
        <v>696</v>
      </c>
      <c r="C160" s="935"/>
      <c r="D160" s="936"/>
      <c r="E160" s="928"/>
      <c r="F160" s="930"/>
      <c r="G160" s="930"/>
      <c r="H160" s="930"/>
      <c r="I160" s="930"/>
      <c r="K160" s="930"/>
      <c r="L160" s="932">
        <f>SUM(L153:L159)</f>
        <v>2810.2249999999999</v>
      </c>
      <c r="M160" s="930"/>
    </row>
    <row r="161" spans="1:13" s="925" customFormat="1" ht="21.75" thickBot="1" x14ac:dyDescent="0.5">
      <c r="A161" s="928"/>
      <c r="B161" s="928"/>
      <c r="C161" s="926"/>
      <c r="D161" s="926"/>
      <c r="E161" s="926"/>
      <c r="F161" s="937"/>
      <c r="G161" s="937"/>
      <c r="H161" s="938"/>
      <c r="I161" s="939" t="s">
        <v>260</v>
      </c>
      <c r="K161" s="927" t="s">
        <v>8</v>
      </c>
      <c r="L161" s="940">
        <f>ROUNDDOWN(L160,0)</f>
        <v>2810</v>
      </c>
      <c r="M161" s="927" t="s">
        <v>473</v>
      </c>
    </row>
    <row r="162" spans="1:13" s="926" customFormat="1" ht="21.75" thickTop="1" x14ac:dyDescent="0.45">
      <c r="A162" s="924">
        <v>2.1</v>
      </c>
      <c r="B162" s="925" t="s">
        <v>471</v>
      </c>
      <c r="F162" s="927">
        <v>0.8</v>
      </c>
      <c r="G162" s="925" t="s">
        <v>472</v>
      </c>
    </row>
    <row r="163" spans="1:13" s="926" customFormat="1" ht="21" x14ac:dyDescent="0.45">
      <c r="A163" s="928"/>
      <c r="B163" s="175" t="s">
        <v>688</v>
      </c>
      <c r="D163" s="929"/>
      <c r="E163" s="928" t="s">
        <v>474</v>
      </c>
      <c r="F163" s="929">
        <f>ROUND((0.2+F162+0.2)*F162+1*1.3,2)</f>
        <v>2.2599999999999998</v>
      </c>
      <c r="G163" s="930" t="s">
        <v>680</v>
      </c>
      <c r="H163" s="929">
        <f>H153</f>
        <v>23.08</v>
      </c>
      <c r="I163" s="930" t="s">
        <v>3</v>
      </c>
      <c r="K163" s="930" t="s">
        <v>8</v>
      </c>
      <c r="L163" s="931">
        <f>F163*H163</f>
        <v>52.160799999999995</v>
      </c>
      <c r="M163" s="930" t="s">
        <v>473</v>
      </c>
    </row>
    <row r="164" spans="1:13" s="926" customFormat="1" ht="21" x14ac:dyDescent="0.45">
      <c r="A164" s="928"/>
      <c r="B164" s="926" t="s">
        <v>687</v>
      </c>
      <c r="E164" s="928"/>
      <c r="F164" s="930"/>
      <c r="G164" s="930"/>
      <c r="H164" s="929"/>
      <c r="I164" s="930"/>
      <c r="K164" s="930" t="s">
        <v>8</v>
      </c>
      <c r="L164" s="932">
        <v>1429.91</v>
      </c>
      <c r="M164" s="930" t="s">
        <v>473</v>
      </c>
    </row>
    <row r="165" spans="1:13" s="926" customFormat="1" ht="21" x14ac:dyDescent="0.45">
      <c r="A165" s="928"/>
      <c r="B165" s="926" t="s">
        <v>689</v>
      </c>
      <c r="E165" s="928"/>
      <c r="F165" s="930"/>
      <c r="G165" s="930"/>
      <c r="H165" s="929"/>
      <c r="I165" s="930"/>
      <c r="K165" s="930"/>
      <c r="L165" s="930"/>
      <c r="M165" s="930"/>
    </row>
    <row r="166" spans="1:13" s="926" customFormat="1" ht="21" x14ac:dyDescent="0.45">
      <c r="A166" s="928"/>
      <c r="B166" s="926" t="s">
        <v>690</v>
      </c>
      <c r="E166" s="928"/>
      <c r="F166" s="930"/>
      <c r="G166" s="930"/>
      <c r="H166" s="929"/>
      <c r="I166" s="930"/>
      <c r="K166" s="930"/>
      <c r="L166" s="930"/>
      <c r="M166" s="930"/>
    </row>
    <row r="167" spans="1:13" s="926" customFormat="1" ht="21" x14ac:dyDescent="0.45">
      <c r="A167" s="928"/>
      <c r="B167" s="926" t="s">
        <v>172</v>
      </c>
      <c r="C167" s="933">
        <f>C157</f>
        <v>10</v>
      </c>
      <c r="D167" s="934" t="s">
        <v>691</v>
      </c>
      <c r="E167" s="928">
        <f>E157</f>
        <v>26.93</v>
      </c>
      <c r="F167" s="930" t="s">
        <v>692</v>
      </c>
      <c r="G167" s="930"/>
      <c r="H167" s="930">
        <f>(E167*13)+300</f>
        <v>650.08999999999992</v>
      </c>
      <c r="I167" s="930" t="s">
        <v>693</v>
      </c>
      <c r="K167" s="930"/>
    </row>
    <row r="168" spans="1:13" s="926" customFormat="1" ht="21" x14ac:dyDescent="0.45">
      <c r="A168" s="928"/>
      <c r="B168" s="926" t="s">
        <v>694</v>
      </c>
      <c r="C168" s="935">
        <f>H167</f>
        <v>650.08999999999992</v>
      </c>
      <c r="D168" s="936">
        <v>18</v>
      </c>
      <c r="E168" s="928"/>
      <c r="F168" s="930"/>
      <c r="G168" s="930"/>
      <c r="H168" s="930"/>
      <c r="I168" s="930"/>
      <c r="K168" s="930" t="s">
        <v>8</v>
      </c>
      <c r="L168" s="931">
        <f>H167/D168</f>
        <v>36.11611111111111</v>
      </c>
      <c r="M168" s="930" t="s">
        <v>473</v>
      </c>
    </row>
    <row r="169" spans="1:13" s="926" customFormat="1" ht="21" x14ac:dyDescent="0.45">
      <c r="A169" s="928"/>
      <c r="B169" s="926" t="s">
        <v>695</v>
      </c>
      <c r="C169" s="935"/>
      <c r="D169" s="936"/>
      <c r="E169" s="928"/>
      <c r="F169" s="930"/>
      <c r="G169" s="930"/>
      <c r="H169" s="930"/>
      <c r="I169" s="930"/>
      <c r="K169" s="930"/>
      <c r="L169" s="932">
        <v>421</v>
      </c>
      <c r="M169" s="930" t="s">
        <v>473</v>
      </c>
    </row>
    <row r="170" spans="1:13" s="926" customFormat="1" ht="21" x14ac:dyDescent="0.45">
      <c r="A170" s="928"/>
      <c r="B170" s="926" t="s">
        <v>696</v>
      </c>
      <c r="C170" s="935"/>
      <c r="D170" s="936"/>
      <c r="E170" s="928"/>
      <c r="F170" s="930"/>
      <c r="G170" s="930"/>
      <c r="H170" s="930"/>
      <c r="I170" s="930"/>
      <c r="K170" s="930"/>
      <c r="L170" s="932">
        <f>SUM(L163:L169)</f>
        <v>1939.1869111111112</v>
      </c>
      <c r="M170" s="930"/>
    </row>
    <row r="171" spans="1:13" s="925" customFormat="1" ht="21.75" thickBot="1" x14ac:dyDescent="0.5">
      <c r="A171" s="928"/>
      <c r="B171" s="928"/>
      <c r="C171" s="926"/>
      <c r="D171" s="926"/>
      <c r="E171" s="926"/>
      <c r="F171" s="937"/>
      <c r="G171" s="937"/>
      <c r="H171" s="938"/>
      <c r="I171" s="939" t="s">
        <v>260</v>
      </c>
      <c r="K171" s="927" t="s">
        <v>8</v>
      </c>
      <c r="L171" s="940">
        <f>ROUNDDOWN(L170,0)</f>
        <v>1939</v>
      </c>
      <c r="M171" s="927" t="s">
        <v>473</v>
      </c>
    </row>
    <row r="172" spans="1:13" s="926" customFormat="1" ht="21.75" thickTop="1" x14ac:dyDescent="0.45">
      <c r="A172" s="924">
        <v>2.1</v>
      </c>
      <c r="B172" s="925" t="s">
        <v>471</v>
      </c>
      <c r="F172" s="927">
        <v>0.6</v>
      </c>
      <c r="G172" s="925" t="s">
        <v>472</v>
      </c>
    </row>
    <row r="173" spans="1:13" s="926" customFormat="1" ht="21" x14ac:dyDescent="0.45">
      <c r="A173" s="928"/>
      <c r="B173" s="175" t="s">
        <v>688</v>
      </c>
      <c r="D173" s="929"/>
      <c r="E173" s="928" t="s">
        <v>474</v>
      </c>
      <c r="F173" s="929">
        <f>ROUND((0.2+F172+0.2)*F172+1*1.3,2)</f>
        <v>1.9</v>
      </c>
      <c r="G173" s="930" t="s">
        <v>680</v>
      </c>
      <c r="H173" s="929">
        <f>H163</f>
        <v>23.08</v>
      </c>
      <c r="I173" s="930" t="s">
        <v>3</v>
      </c>
      <c r="K173" s="930" t="s">
        <v>8</v>
      </c>
      <c r="L173" s="931">
        <f>F173*H173</f>
        <v>43.851999999999997</v>
      </c>
      <c r="M173" s="930" t="s">
        <v>473</v>
      </c>
    </row>
    <row r="174" spans="1:13" s="926" customFormat="1" ht="21" x14ac:dyDescent="0.45">
      <c r="A174" s="928"/>
      <c r="B174" s="926" t="s">
        <v>687</v>
      </c>
      <c r="E174" s="928"/>
      <c r="F174" s="930"/>
      <c r="G174" s="930"/>
      <c r="H174" s="929"/>
      <c r="I174" s="930"/>
      <c r="K174" s="930" t="s">
        <v>8</v>
      </c>
      <c r="L174" s="932">
        <v>831.78</v>
      </c>
      <c r="M174" s="930" t="s">
        <v>473</v>
      </c>
    </row>
    <row r="175" spans="1:13" s="926" customFormat="1" ht="21" x14ac:dyDescent="0.45">
      <c r="A175" s="928"/>
      <c r="B175" s="926" t="s">
        <v>689</v>
      </c>
      <c r="E175" s="928"/>
      <c r="F175" s="930"/>
      <c r="G175" s="930"/>
      <c r="H175" s="929"/>
      <c r="I175" s="930"/>
      <c r="K175" s="930"/>
      <c r="L175" s="930"/>
      <c r="M175" s="930"/>
    </row>
    <row r="176" spans="1:13" s="926" customFormat="1" ht="21" x14ac:dyDescent="0.45">
      <c r="A176" s="928"/>
      <c r="B176" s="926" t="s">
        <v>690</v>
      </c>
      <c r="E176" s="928"/>
      <c r="F176" s="930"/>
      <c r="G176" s="930"/>
      <c r="H176" s="929"/>
      <c r="I176" s="930"/>
      <c r="K176" s="930"/>
      <c r="L176" s="930"/>
      <c r="M176" s="930"/>
    </row>
    <row r="177" spans="1:24" s="926" customFormat="1" ht="21" x14ac:dyDescent="0.45">
      <c r="A177" s="928"/>
      <c r="B177" s="926" t="s">
        <v>172</v>
      </c>
      <c r="C177" s="933">
        <f>C167</f>
        <v>10</v>
      </c>
      <c r="D177" s="934" t="s">
        <v>691</v>
      </c>
      <c r="E177" s="928">
        <f>E167</f>
        <v>26.93</v>
      </c>
      <c r="F177" s="930" t="s">
        <v>692</v>
      </c>
      <c r="G177" s="930"/>
      <c r="H177" s="930">
        <f>(E177*13)+300</f>
        <v>650.08999999999992</v>
      </c>
      <c r="I177" s="930" t="s">
        <v>693</v>
      </c>
      <c r="K177" s="930"/>
    </row>
    <row r="178" spans="1:24" s="926" customFormat="1" ht="21" x14ac:dyDescent="0.45">
      <c r="A178" s="928"/>
      <c r="B178" s="926" t="s">
        <v>694</v>
      </c>
      <c r="C178" s="935">
        <f>H177</f>
        <v>650.08999999999992</v>
      </c>
      <c r="D178" s="936">
        <v>24</v>
      </c>
      <c r="E178" s="928"/>
      <c r="F178" s="930"/>
      <c r="G178" s="930"/>
      <c r="H178" s="930"/>
      <c r="I178" s="930"/>
      <c r="K178" s="930" t="s">
        <v>8</v>
      </c>
      <c r="L178" s="931">
        <f>H177/D178</f>
        <v>27.087083333333329</v>
      </c>
      <c r="M178" s="930" t="s">
        <v>473</v>
      </c>
    </row>
    <row r="179" spans="1:24" s="926" customFormat="1" ht="21" x14ac:dyDescent="0.45">
      <c r="A179" s="928"/>
      <c r="B179" s="926" t="s">
        <v>695</v>
      </c>
      <c r="C179" s="935"/>
      <c r="D179" s="936"/>
      <c r="E179" s="928"/>
      <c r="F179" s="930"/>
      <c r="G179" s="930"/>
      <c r="H179" s="930"/>
      <c r="I179" s="930"/>
      <c r="K179" s="930"/>
      <c r="L179" s="932">
        <v>510</v>
      </c>
      <c r="M179" s="930" t="s">
        <v>473</v>
      </c>
    </row>
    <row r="180" spans="1:24" s="926" customFormat="1" ht="21" x14ac:dyDescent="0.45">
      <c r="A180" s="928"/>
      <c r="B180" s="926" t="s">
        <v>696</v>
      </c>
      <c r="C180" s="935"/>
      <c r="D180" s="936"/>
      <c r="E180" s="928"/>
      <c r="F180" s="930"/>
      <c r="G180" s="930"/>
      <c r="H180" s="930"/>
      <c r="I180" s="930"/>
      <c r="K180" s="930"/>
      <c r="L180" s="932">
        <f>SUM(L173:L179)</f>
        <v>1412.7190833333334</v>
      </c>
      <c r="M180" s="930"/>
    </row>
    <row r="181" spans="1:24" s="925" customFormat="1" ht="21.75" thickBot="1" x14ac:dyDescent="0.5">
      <c r="A181" s="928"/>
      <c r="B181" s="928"/>
      <c r="C181" s="926"/>
      <c r="D181" s="926"/>
      <c r="E181" s="926"/>
      <c r="F181" s="937"/>
      <c r="G181" s="937"/>
      <c r="H181" s="938"/>
      <c r="I181" s="939" t="s">
        <v>260</v>
      </c>
      <c r="K181" s="927" t="s">
        <v>8</v>
      </c>
      <c r="L181" s="940">
        <f>ROUNDDOWN(L180,0)</f>
        <v>1412</v>
      </c>
      <c r="M181" s="927" t="s">
        <v>473</v>
      </c>
    </row>
    <row r="182" spans="1:24" s="925" customFormat="1" ht="21.75" thickTop="1" x14ac:dyDescent="0.45">
      <c r="A182" s="928"/>
      <c r="B182" s="928"/>
      <c r="C182" s="926"/>
      <c r="D182" s="926"/>
      <c r="E182" s="926"/>
      <c r="F182" s="937"/>
      <c r="G182" s="937"/>
      <c r="H182" s="938"/>
      <c r="I182" s="939"/>
      <c r="K182" s="927"/>
      <c r="L182" s="941"/>
      <c r="M182" s="927"/>
    </row>
    <row r="183" spans="1:24" ht="21.95" customHeight="1" x14ac:dyDescent="0.5">
      <c r="B183" s="864" t="s">
        <v>11</v>
      </c>
      <c r="C183" s="878" t="s">
        <v>444</v>
      </c>
      <c r="E183" s="849">
        <f>กรอกข้อมูล!D11</f>
        <v>32.5</v>
      </c>
      <c r="F183" s="849" t="s">
        <v>12</v>
      </c>
      <c r="K183" s="851"/>
      <c r="N183" s="870"/>
      <c r="Q183" s="851"/>
      <c r="S183" s="870"/>
      <c r="T183" s="870"/>
      <c r="U183" s="870"/>
    </row>
    <row r="184" spans="1:24" ht="21.95" customHeight="1" x14ac:dyDescent="0.5">
      <c r="M184" s="870"/>
      <c r="N184" s="870"/>
      <c r="S184" s="870"/>
      <c r="T184" s="870"/>
      <c r="U184" s="870"/>
      <c r="X184" s="862"/>
    </row>
    <row r="185" spans="1:24" ht="21.95" customHeight="1" x14ac:dyDescent="0.5">
      <c r="E185" s="862"/>
      <c r="M185" s="870"/>
      <c r="N185" s="870"/>
      <c r="S185" s="870"/>
      <c r="T185" s="870"/>
      <c r="U185" s="870"/>
      <c r="X185" s="862"/>
    </row>
    <row r="186" spans="1:24" ht="21.95" customHeight="1" x14ac:dyDescent="0.5">
      <c r="M186" s="870"/>
      <c r="N186" s="870"/>
      <c r="S186" s="870"/>
      <c r="T186" s="870"/>
      <c r="U186" s="870"/>
      <c r="X186" s="862"/>
    </row>
    <row r="187" spans="1:24" ht="21.95" customHeight="1" x14ac:dyDescent="0.5">
      <c r="M187" s="870"/>
      <c r="N187" s="870"/>
      <c r="S187" s="870"/>
      <c r="T187" s="870"/>
      <c r="U187" s="870"/>
      <c r="X187" s="862"/>
    </row>
    <row r="188" spans="1:24" ht="21.95" customHeight="1" x14ac:dyDescent="0.5">
      <c r="B188" s="1109" t="s">
        <v>218</v>
      </c>
      <c r="C188" s="1109"/>
      <c r="D188" s="1109"/>
      <c r="E188" s="1109"/>
      <c r="F188" s="1109"/>
      <c r="M188" s="870"/>
      <c r="N188" s="870"/>
      <c r="S188" s="870"/>
      <c r="T188" s="870"/>
      <c r="U188" s="870"/>
      <c r="V188" s="865"/>
    </row>
    <row r="189" spans="1:24" ht="21.95" customHeight="1" x14ac:dyDescent="0.5">
      <c r="B189" s="1108" t="s">
        <v>215</v>
      </c>
      <c r="C189" s="1108"/>
      <c r="D189" s="1108"/>
      <c r="E189" s="1108"/>
      <c r="F189" s="1108"/>
      <c r="G189" s="1108"/>
      <c r="M189" s="870"/>
      <c r="N189" s="870"/>
      <c r="S189" s="870"/>
      <c r="T189" s="870"/>
      <c r="U189" s="870"/>
      <c r="V189" s="865"/>
    </row>
    <row r="190" spans="1:24" ht="21.95" customHeight="1" x14ac:dyDescent="0.5">
      <c r="B190" s="1108" t="s">
        <v>107</v>
      </c>
      <c r="C190" s="1108"/>
      <c r="D190" s="1108"/>
      <c r="E190" s="1108"/>
      <c r="F190" s="1108"/>
      <c r="G190" s="1108"/>
      <c r="H190" s="1108"/>
      <c r="K190" s="851" t="s">
        <v>8</v>
      </c>
      <c r="L190" s="856">
        <v>10000</v>
      </c>
      <c r="M190" s="870" t="s">
        <v>52</v>
      </c>
      <c r="N190" s="870"/>
      <c r="Q190" s="851"/>
      <c r="R190" s="856"/>
      <c r="S190" s="870"/>
      <c r="T190" s="870"/>
      <c r="U190" s="870"/>
      <c r="V190" s="856"/>
    </row>
    <row r="191" spans="1:24" ht="21.95" customHeight="1" x14ac:dyDescent="0.5">
      <c r="B191" s="1108" t="s">
        <v>116</v>
      </c>
      <c r="C191" s="1108"/>
      <c r="D191" s="1108"/>
      <c r="E191" s="1108"/>
      <c r="F191" s="1108"/>
      <c r="G191" s="1108"/>
      <c r="H191" s="1108"/>
      <c r="I191" s="1108"/>
      <c r="J191" s="1108"/>
      <c r="K191" s="851" t="s">
        <v>8</v>
      </c>
      <c r="L191" s="849">
        <f>'S2'!$C$104*80/$L$118</f>
        <v>2.06352</v>
      </c>
      <c r="M191" s="870" t="s">
        <v>6</v>
      </c>
      <c r="N191" s="870"/>
      <c r="O191" s="870"/>
      <c r="P191" s="870"/>
      <c r="Q191" s="851"/>
      <c r="S191" s="870"/>
      <c r="T191" s="870"/>
      <c r="U191" s="870"/>
    </row>
    <row r="192" spans="1:24" ht="21.95" customHeight="1" x14ac:dyDescent="0.5">
      <c r="B192" s="1108" t="s">
        <v>108</v>
      </c>
      <c r="C192" s="1108"/>
      <c r="D192" s="1108"/>
      <c r="E192" s="1108"/>
      <c r="F192" s="1108"/>
      <c r="G192" s="1108"/>
      <c r="H192" s="1108"/>
      <c r="K192" s="851" t="s">
        <v>8</v>
      </c>
      <c r="L192" s="856">
        <f>250000/$L$190</f>
        <v>25</v>
      </c>
      <c r="M192" s="870" t="s">
        <v>6</v>
      </c>
      <c r="N192" s="870"/>
      <c r="Q192" s="851"/>
      <c r="R192" s="856"/>
      <c r="S192" s="870"/>
      <c r="T192" s="870"/>
      <c r="U192" s="870"/>
      <c r="V192" s="856"/>
    </row>
    <row r="193" spans="2:24" ht="21.95" customHeight="1" x14ac:dyDescent="0.5">
      <c r="B193" s="1108" t="s">
        <v>133</v>
      </c>
      <c r="C193" s="1108"/>
      <c r="D193" s="1108"/>
      <c r="E193" s="1108"/>
      <c r="F193" s="1108"/>
      <c r="G193" s="1108"/>
      <c r="K193" s="851" t="s">
        <v>8</v>
      </c>
      <c r="L193" s="849" t="e">
        <f>(#REF!+#REF!)*0.052</f>
        <v>#REF!</v>
      </c>
      <c r="M193" s="870" t="s">
        <v>6</v>
      </c>
      <c r="N193" s="870"/>
      <c r="Q193" s="851"/>
      <c r="S193" s="870"/>
      <c r="T193" s="870"/>
      <c r="U193" s="870"/>
    </row>
    <row r="194" spans="2:24" ht="21.95" customHeight="1" x14ac:dyDescent="0.5">
      <c r="B194" s="1108" t="s">
        <v>110</v>
      </c>
      <c r="C194" s="1108"/>
      <c r="D194" s="1108"/>
      <c r="E194" s="1108"/>
      <c r="F194" s="1108"/>
      <c r="G194" s="1108"/>
      <c r="K194" s="851" t="s">
        <v>8</v>
      </c>
      <c r="L194" s="849" t="e">
        <f>(#REF!+#REF!)*0.74</f>
        <v>#REF!</v>
      </c>
      <c r="M194" s="870" t="s">
        <v>6</v>
      </c>
      <c r="N194" s="870"/>
      <c r="Q194" s="851"/>
      <c r="S194" s="870"/>
      <c r="T194" s="870"/>
      <c r="U194" s="870"/>
    </row>
    <row r="195" spans="2:24" ht="21.95" customHeight="1" x14ac:dyDescent="0.5">
      <c r="B195" s="849" t="s">
        <v>137</v>
      </c>
      <c r="K195" s="851" t="s">
        <v>8</v>
      </c>
      <c r="L195" s="849" t="e">
        <f>'S2'!#REF!</f>
        <v>#REF!</v>
      </c>
      <c r="M195" s="870" t="s">
        <v>6</v>
      </c>
      <c r="N195" s="870"/>
      <c r="Q195" s="851"/>
      <c r="S195" s="870"/>
      <c r="T195" s="870"/>
      <c r="U195" s="870"/>
    </row>
    <row r="196" spans="2:24" ht="21.95" customHeight="1" x14ac:dyDescent="0.5">
      <c r="B196" s="849" t="s">
        <v>112</v>
      </c>
      <c r="F196" s="851" t="e">
        <f>+ROUND(IF(ปร.งานทาง!#REF!/1000&lt;=4,(1),IF(ปร.งานทาง!#REF!/1000&gt;4,ปร.งานทาง!#REF!/1000/4)),0)</f>
        <v>#REF!</v>
      </c>
      <c r="G196" s="862" t="s">
        <v>21</v>
      </c>
      <c r="H196" s="862"/>
      <c r="K196" s="851" t="s">
        <v>8</v>
      </c>
      <c r="L196" s="849">
        <f>IF($C$125&lt;=200,VLOOKUP($C$125,'S2'!$B$5:'S2'!$D$204,2),IF($C$125&gt;200,($C$125-200)*'S2'!$C$205+'S2'!$C$204))</f>
        <v>8.2100000000000009</v>
      </c>
      <c r="M196" s="870" t="s">
        <v>6</v>
      </c>
      <c r="N196" s="870"/>
      <c r="Q196" s="851"/>
      <c r="S196" s="870"/>
      <c r="T196" s="870"/>
      <c r="U196" s="870"/>
    </row>
    <row r="197" spans="2:24" ht="21.95" customHeight="1" x14ac:dyDescent="0.5">
      <c r="B197" s="849" t="s">
        <v>135</v>
      </c>
      <c r="K197" s="851" t="s">
        <v>8</v>
      </c>
      <c r="L197" s="849" t="e">
        <f>SUM(L191:L196)</f>
        <v>#REF!</v>
      </c>
      <c r="M197" s="870" t="s">
        <v>6</v>
      </c>
      <c r="N197" s="870"/>
      <c r="Q197" s="851"/>
      <c r="S197" s="870"/>
      <c r="T197" s="870"/>
      <c r="U197" s="870"/>
    </row>
    <row r="198" spans="2:24" ht="21.95" customHeight="1" x14ac:dyDescent="0.5">
      <c r="B198" s="849" t="s">
        <v>136</v>
      </c>
      <c r="F198" s="851">
        <v>4</v>
      </c>
      <c r="G198" s="849" t="s">
        <v>115</v>
      </c>
      <c r="H198" s="849">
        <f>ROUNDDOWN(41.667/$F$198,2)</f>
        <v>10.41</v>
      </c>
      <c r="I198" s="849" t="s">
        <v>26</v>
      </c>
      <c r="K198" s="851" t="s">
        <v>8</v>
      </c>
      <c r="L198" s="849" t="e">
        <f>ROUND($L$197/$H$198,2)</f>
        <v>#REF!</v>
      </c>
      <c r="M198" s="870" t="s">
        <v>75</v>
      </c>
      <c r="N198" s="870"/>
      <c r="Q198" s="851"/>
      <c r="S198" s="870"/>
      <c r="T198" s="870"/>
      <c r="U198" s="870"/>
    </row>
    <row r="199" spans="2:24" ht="21.95" customHeight="1" x14ac:dyDescent="0.5">
      <c r="B199" s="864" t="s">
        <v>10</v>
      </c>
      <c r="K199" s="851"/>
      <c r="L199" s="865"/>
      <c r="M199" s="870"/>
      <c r="N199" s="870"/>
      <c r="Q199" s="851"/>
      <c r="R199" s="865"/>
      <c r="S199" s="870"/>
      <c r="T199" s="870"/>
      <c r="U199" s="870"/>
      <c r="X199" s="862"/>
    </row>
    <row r="200" spans="2:24" ht="21.95" customHeight="1" x14ac:dyDescent="0.5">
      <c r="B200" s="849" t="s">
        <v>230</v>
      </c>
      <c r="K200" s="851"/>
      <c r="L200" s="884"/>
      <c r="M200" s="870"/>
      <c r="N200" s="870"/>
      <c r="Q200" s="851"/>
      <c r="R200" s="884"/>
      <c r="S200" s="870"/>
      <c r="T200" s="870"/>
      <c r="U200" s="870"/>
      <c r="X200" s="862"/>
    </row>
    <row r="201" spans="2:24" ht="21.95" customHeight="1" x14ac:dyDescent="0.5">
      <c r="B201" s="849" t="s">
        <v>27</v>
      </c>
      <c r="K201" s="851"/>
      <c r="L201" s="884"/>
      <c r="M201" s="870"/>
      <c r="N201" s="870"/>
      <c r="Q201" s="851"/>
      <c r="R201" s="884"/>
      <c r="S201" s="870"/>
      <c r="T201" s="870"/>
      <c r="U201" s="870"/>
    </row>
    <row r="202" spans="2:24" ht="21.95" customHeight="1" x14ac:dyDescent="0.5">
      <c r="B202" s="852"/>
      <c r="C202" s="852"/>
      <c r="D202" s="852"/>
      <c r="E202" s="852"/>
      <c r="F202" s="852"/>
      <c r="M202" s="870"/>
      <c r="N202" s="870"/>
      <c r="S202" s="870"/>
      <c r="T202" s="870"/>
      <c r="U202" s="870"/>
      <c r="V202" s="865"/>
    </row>
    <row r="203" spans="2:24" ht="21.95" customHeight="1" x14ac:dyDescent="0.5">
      <c r="M203" s="870"/>
      <c r="N203" s="870"/>
      <c r="S203" s="870"/>
      <c r="T203" s="870"/>
      <c r="U203" s="870"/>
      <c r="X203" s="862"/>
    </row>
    <row r="204" spans="2:24" ht="21.95" customHeight="1" x14ac:dyDescent="0.5">
      <c r="M204" s="870"/>
      <c r="N204" s="870"/>
      <c r="S204" s="870"/>
      <c r="T204" s="870"/>
      <c r="U204" s="870"/>
      <c r="X204" s="862"/>
    </row>
    <row r="205" spans="2:24" ht="21.95" customHeight="1" x14ac:dyDescent="0.5">
      <c r="M205" s="870"/>
      <c r="N205" s="870"/>
      <c r="S205" s="870"/>
      <c r="T205" s="870"/>
      <c r="U205" s="870"/>
      <c r="X205" s="862"/>
    </row>
    <row r="206" spans="2:24" ht="21.95" customHeight="1" x14ac:dyDescent="0.5">
      <c r="M206" s="870"/>
      <c r="N206" s="870"/>
      <c r="S206" s="870"/>
      <c r="T206" s="870"/>
      <c r="U206" s="870"/>
      <c r="X206" s="862"/>
    </row>
    <row r="207" spans="2:24" ht="21.95" customHeight="1" x14ac:dyDescent="0.5">
      <c r="M207" s="870"/>
      <c r="N207" s="870"/>
      <c r="S207" s="870"/>
      <c r="T207" s="870"/>
      <c r="U207" s="870"/>
      <c r="X207" s="862"/>
    </row>
    <row r="208" spans="2:24" ht="21.95" customHeight="1" x14ac:dyDescent="0.5">
      <c r="M208" s="870"/>
      <c r="N208" s="870"/>
      <c r="S208" s="870"/>
      <c r="T208" s="870"/>
      <c r="U208" s="870"/>
      <c r="X208" s="862"/>
    </row>
    <row r="209" spans="1:24" ht="21.95" customHeight="1" x14ac:dyDescent="0.5">
      <c r="B209" s="1109" t="s">
        <v>219</v>
      </c>
      <c r="C209" s="1109"/>
      <c r="D209" s="1109"/>
      <c r="E209" s="1109"/>
      <c r="F209" s="1109"/>
      <c r="G209" s="1109"/>
      <c r="M209" s="870"/>
      <c r="N209" s="870"/>
      <c r="S209" s="870"/>
      <c r="T209" s="870"/>
      <c r="U209" s="870"/>
      <c r="V209" s="865"/>
    </row>
    <row r="210" spans="1:24" ht="21.95" customHeight="1" x14ac:dyDescent="0.5">
      <c r="B210" s="1108" t="s">
        <v>107</v>
      </c>
      <c r="C210" s="1108"/>
      <c r="D210" s="1108"/>
      <c r="E210" s="1108"/>
      <c r="F210" s="1108"/>
      <c r="G210" s="1108"/>
      <c r="H210" s="1108"/>
      <c r="K210" s="851" t="s">
        <v>8</v>
      </c>
      <c r="L210" s="856">
        <f>ROUND((ปร.งานทาง!$F$29+ปร.งานทาง!$F$30)/ราคาต้นทุน!$E$127,2)</f>
        <v>162.30000000000001</v>
      </c>
      <c r="M210" s="870" t="s">
        <v>52</v>
      </c>
      <c r="N210" s="870"/>
      <c r="Q210" s="851"/>
      <c r="R210" s="856"/>
      <c r="S210" s="870"/>
      <c r="T210" s="870"/>
      <c r="U210" s="870"/>
      <c r="V210" s="856"/>
    </row>
    <row r="211" spans="1:24" ht="21.95" customHeight="1" x14ac:dyDescent="0.5">
      <c r="B211" s="1108" t="s">
        <v>116</v>
      </c>
      <c r="C211" s="1108"/>
      <c r="D211" s="1108"/>
      <c r="E211" s="1108"/>
      <c r="F211" s="1108"/>
      <c r="G211" s="1108"/>
      <c r="H211" s="1108"/>
      <c r="I211" s="1108"/>
      <c r="J211" s="1108"/>
      <c r="K211" s="851" t="s">
        <v>8</v>
      </c>
      <c r="L211" s="849">
        <f>ROUND('S2'!$C$104*80/$L$210,2)</f>
        <v>127.14</v>
      </c>
      <c r="M211" s="870" t="s">
        <v>6</v>
      </c>
      <c r="N211" s="870"/>
      <c r="O211" s="870"/>
      <c r="P211" s="870"/>
      <c r="Q211" s="851"/>
      <c r="S211" s="870"/>
      <c r="T211" s="870"/>
      <c r="U211" s="870"/>
    </row>
    <row r="212" spans="1:24" ht="21.95" customHeight="1" x14ac:dyDescent="0.5">
      <c r="B212" s="1108" t="s">
        <v>108</v>
      </c>
      <c r="C212" s="1108"/>
      <c r="D212" s="1108"/>
      <c r="E212" s="1108"/>
      <c r="F212" s="1108"/>
      <c r="G212" s="1108"/>
      <c r="H212" s="1108"/>
      <c r="K212" s="851" t="s">
        <v>8</v>
      </c>
      <c r="L212" s="856">
        <f>ROUND(250000/$L$210,2)</f>
        <v>1540.36</v>
      </c>
      <c r="M212" s="870" t="s">
        <v>6</v>
      </c>
      <c r="N212" s="870"/>
      <c r="Q212" s="851"/>
      <c r="R212" s="856"/>
      <c r="S212" s="870"/>
      <c r="T212" s="870"/>
      <c r="U212" s="870"/>
      <c r="V212" s="856"/>
    </row>
    <row r="213" spans="1:24" ht="21.95" customHeight="1" x14ac:dyDescent="0.5">
      <c r="B213" s="1108" t="s">
        <v>109</v>
      </c>
      <c r="C213" s="1108"/>
      <c r="D213" s="1108"/>
      <c r="E213" s="1108"/>
      <c r="F213" s="1108"/>
      <c r="G213" s="1108"/>
      <c r="K213" s="851" t="s">
        <v>8</v>
      </c>
      <c r="L213" s="849" t="e">
        <f>ROUND((#REF!+#REF!)*0.052,2)</f>
        <v>#REF!</v>
      </c>
      <c r="M213" s="870" t="s">
        <v>6</v>
      </c>
      <c r="N213" s="870"/>
      <c r="Q213" s="851"/>
      <c r="S213" s="870"/>
      <c r="T213" s="870"/>
      <c r="U213" s="870"/>
    </row>
    <row r="214" spans="1:24" ht="21.95" customHeight="1" x14ac:dyDescent="0.5">
      <c r="B214" s="1108" t="s">
        <v>110</v>
      </c>
      <c r="C214" s="1108"/>
      <c r="D214" s="1108"/>
      <c r="E214" s="1108"/>
      <c r="F214" s="1108"/>
      <c r="G214" s="1108"/>
      <c r="K214" s="851" t="s">
        <v>8</v>
      </c>
      <c r="L214" s="849" t="e">
        <f>ROUND((#REF!+#REF!)*0.74,2)</f>
        <v>#REF!</v>
      </c>
      <c r="M214" s="870" t="s">
        <v>6</v>
      </c>
      <c r="N214" s="870"/>
      <c r="Q214" s="851"/>
      <c r="S214" s="870"/>
      <c r="T214" s="870"/>
      <c r="U214" s="870"/>
      <c r="X214" s="862"/>
    </row>
    <row r="215" spans="1:24" ht="21.95" customHeight="1" x14ac:dyDescent="0.5">
      <c r="B215" s="849" t="s">
        <v>111</v>
      </c>
      <c r="K215" s="851" t="s">
        <v>8</v>
      </c>
      <c r="L215" s="849" t="e">
        <f>'S2'!#REF!</f>
        <v>#REF!</v>
      </c>
      <c r="M215" s="870" t="s">
        <v>6</v>
      </c>
      <c r="N215" s="870"/>
      <c r="Q215" s="851"/>
      <c r="S215" s="870"/>
      <c r="T215" s="870"/>
      <c r="U215" s="870"/>
      <c r="X215" s="862"/>
    </row>
    <row r="216" spans="1:24" ht="21.95" customHeight="1" x14ac:dyDescent="0.5">
      <c r="B216" s="849" t="s">
        <v>112</v>
      </c>
      <c r="F216" s="851">
        <f>$C$125</f>
        <v>1</v>
      </c>
      <c r="G216" s="942" t="str">
        <f>D125</f>
        <v>กม. ( ปกติใช้ L/4 )</v>
      </c>
      <c r="H216" s="862"/>
      <c r="K216" s="851" t="s">
        <v>8</v>
      </c>
      <c r="L216" s="849">
        <f>IF($C$125&lt;=200,VLOOKUP($C$125,'S2'!$B$5:'S2'!$D$204,2),IF($C$125&gt;200,($C$125-200)*'S2'!$C$205+'S2'!$C$204))</f>
        <v>8.2100000000000009</v>
      </c>
      <c r="M216" s="870" t="s">
        <v>6</v>
      </c>
      <c r="N216" s="870"/>
      <c r="Q216" s="851"/>
      <c r="S216" s="870"/>
      <c r="T216" s="870"/>
      <c r="U216" s="870"/>
      <c r="X216" s="862"/>
    </row>
    <row r="217" spans="1:24" ht="21.95" customHeight="1" x14ac:dyDescent="0.5">
      <c r="B217" s="849" t="s">
        <v>113</v>
      </c>
      <c r="G217" s="862"/>
      <c r="K217" s="851" t="s">
        <v>8</v>
      </c>
      <c r="L217" s="849" t="e">
        <f>SUM(L211:L216)</f>
        <v>#REF!</v>
      </c>
      <c r="M217" s="870" t="s">
        <v>6</v>
      </c>
      <c r="N217" s="870"/>
      <c r="Q217" s="851"/>
      <c r="S217" s="870"/>
      <c r="T217" s="870"/>
      <c r="U217" s="870"/>
      <c r="X217" s="862"/>
    </row>
    <row r="218" spans="1:24" ht="21.95" customHeight="1" x14ac:dyDescent="0.5">
      <c r="B218" s="849" t="s">
        <v>114</v>
      </c>
      <c r="F218" s="851">
        <f>E115</f>
        <v>5</v>
      </c>
      <c r="G218" s="862" t="str">
        <f>F115</f>
        <v xml:space="preserve"> ซม. บนผิวไพรมโค๊ท       </v>
      </c>
      <c r="H218" s="851">
        <f>ROUNDDOWN(41.667/$F$218,2)</f>
        <v>8.33</v>
      </c>
      <c r="I218" s="849" t="s">
        <v>26</v>
      </c>
      <c r="K218" s="851" t="s">
        <v>8</v>
      </c>
      <c r="L218" s="849" t="e">
        <f>ROUND($L$217/$H$218,2)</f>
        <v>#REF!</v>
      </c>
      <c r="M218" s="870" t="s">
        <v>75</v>
      </c>
      <c r="N218" s="870"/>
      <c r="O218" s="849" t="s">
        <v>26</v>
      </c>
      <c r="Q218" s="851"/>
      <c r="S218" s="870"/>
      <c r="T218" s="870"/>
      <c r="U218" s="870"/>
      <c r="X218" s="862"/>
    </row>
    <row r="219" spans="1:24" ht="21.95" customHeight="1" x14ac:dyDescent="0.5">
      <c r="B219" s="849" t="s">
        <v>224</v>
      </c>
      <c r="F219" s="915"/>
      <c r="K219" s="851"/>
      <c r="M219" s="870"/>
      <c r="N219" s="870"/>
      <c r="Q219" s="851"/>
      <c r="S219" s="870"/>
      <c r="T219" s="870"/>
      <c r="U219" s="870"/>
    </row>
    <row r="220" spans="1:24" ht="21.95" customHeight="1" x14ac:dyDescent="0.5">
      <c r="B220" s="852"/>
      <c r="G220" s="862" t="s">
        <v>222</v>
      </c>
      <c r="H220" s="916" t="e">
        <f>'S2'!#REF!</f>
        <v>#REF!</v>
      </c>
      <c r="I220" s="885">
        <f>IF(F218=5,1,IF(F218=4,0.9,IF(F218=4,0.8)))</f>
        <v>1</v>
      </c>
      <c r="K220" s="851" t="s">
        <v>8</v>
      </c>
      <c r="L220" s="849" t="e">
        <f>ROUND(H220*I220,2)</f>
        <v>#REF!</v>
      </c>
      <c r="M220" s="870" t="s">
        <v>75</v>
      </c>
      <c r="N220" s="870"/>
      <c r="O220" s="885" t="b">
        <f>IF(K218=5,1,IF(K218=4,0.9,IF(K218=4,0.8)))</f>
        <v>0</v>
      </c>
      <c r="Q220" s="851"/>
      <c r="S220" s="870"/>
      <c r="T220" s="870"/>
      <c r="U220" s="870"/>
    </row>
    <row r="221" spans="1:24" ht="21.95" customHeight="1" x14ac:dyDescent="0.5">
      <c r="B221" s="852"/>
      <c r="G221" s="862" t="s">
        <v>223</v>
      </c>
      <c r="H221" s="916" t="e">
        <f>'S2'!#REF!</f>
        <v>#REF!</v>
      </c>
      <c r="I221" s="885">
        <f>IF(F218=5,1,IF(F218=4,0.9,IF(F218=4,0.8)))</f>
        <v>1</v>
      </c>
      <c r="K221" s="851" t="s">
        <v>8</v>
      </c>
      <c r="L221" s="849" t="e">
        <f>ROUND(H221*I221,2)</f>
        <v>#REF!</v>
      </c>
      <c r="M221" s="870" t="s">
        <v>75</v>
      </c>
      <c r="N221" s="870"/>
      <c r="O221" s="885" t="b">
        <f>IF(K218=5,1,IF(K218=4,0.9,IF(K218=4,0.8)))</f>
        <v>0</v>
      </c>
      <c r="Q221" s="851"/>
      <c r="S221" s="870"/>
      <c r="T221" s="870"/>
      <c r="U221" s="870"/>
    </row>
    <row r="222" spans="1:24" s="852" customFormat="1" ht="21.95" customHeight="1" x14ac:dyDescent="0.5">
      <c r="B222" s="894" t="s">
        <v>225</v>
      </c>
      <c r="C222" s="894"/>
      <c r="D222" s="894"/>
      <c r="E222" s="894"/>
      <c r="F222" s="894"/>
      <c r="H222" s="943" t="e">
        <f>"= "&amp;FIXED(L218,2)&amp;"+"&amp;FIXED(L220,2)&amp;""</f>
        <v>#REF!</v>
      </c>
      <c r="I222" s="944"/>
      <c r="K222" s="848" t="s">
        <v>8</v>
      </c>
      <c r="L222" s="852" t="e">
        <f>ROUND(L218+L220,2)</f>
        <v>#REF!</v>
      </c>
      <c r="M222" s="883" t="s">
        <v>75</v>
      </c>
      <c r="N222" s="883"/>
      <c r="O222" s="944"/>
      <c r="Q222" s="848"/>
      <c r="S222" s="883"/>
      <c r="T222" s="883"/>
      <c r="U222" s="883"/>
    </row>
    <row r="223" spans="1:24" s="852" customFormat="1" ht="21.95" customHeight="1" x14ac:dyDescent="0.5">
      <c r="B223" s="894" t="s">
        <v>226</v>
      </c>
      <c r="C223" s="894"/>
      <c r="D223" s="894"/>
      <c r="E223" s="894"/>
      <c r="F223" s="894"/>
      <c r="H223" s="943" t="e">
        <f>"= "&amp;FIXED(L218,2)&amp;"+"&amp;FIXED(L221,2)&amp;""</f>
        <v>#REF!</v>
      </c>
      <c r="K223" s="848" t="s">
        <v>8</v>
      </c>
      <c r="L223" s="852" t="e">
        <f>ROUND(L218+L221,2)</f>
        <v>#REF!</v>
      </c>
      <c r="M223" s="883" t="s">
        <v>75</v>
      </c>
      <c r="N223" s="883"/>
      <c r="Q223" s="848"/>
      <c r="S223" s="883"/>
      <c r="T223" s="883"/>
      <c r="U223" s="883"/>
    </row>
    <row r="224" spans="1:24" ht="21.95" customHeight="1" x14ac:dyDescent="0.5">
      <c r="A224" s="852"/>
      <c r="B224" s="894" t="s">
        <v>225</v>
      </c>
      <c r="C224" s="852"/>
      <c r="D224" s="852"/>
      <c r="E224" s="852"/>
      <c r="F224" s="852"/>
      <c r="G224" s="848"/>
      <c r="H224" s="869" t="s">
        <v>79</v>
      </c>
      <c r="I224" s="852"/>
      <c r="J224" s="852"/>
      <c r="K224" s="848" t="s">
        <v>8</v>
      </c>
      <c r="L224" s="852" t="e">
        <f>IF(((ปร.งานทาง!$F$29+ปร.งานทาง!$F$30)*$E$115*0.024)&lt;10000,#REF!,IF(((ปร.งานทาง!$F$29+ปร.งานทาง!$F$30)*$E$115*0.024)&gt;10000,L222))</f>
        <v>#REF!</v>
      </c>
      <c r="M224" s="883" t="s">
        <v>75</v>
      </c>
      <c r="N224" s="883"/>
      <c r="O224" s="852"/>
      <c r="P224" s="852"/>
      <c r="Q224" s="848"/>
      <c r="R224" s="852"/>
      <c r="S224" s="883"/>
      <c r="T224" s="883"/>
      <c r="U224" s="883"/>
      <c r="X224" s="862"/>
    </row>
    <row r="225" spans="1:24" ht="21.95" customHeight="1" x14ac:dyDescent="0.5">
      <c r="A225" s="852"/>
      <c r="B225" s="894" t="s">
        <v>226</v>
      </c>
      <c r="C225" s="852"/>
      <c r="D225" s="852"/>
      <c r="E225" s="852"/>
      <c r="F225" s="852"/>
      <c r="G225" s="848"/>
      <c r="H225" s="869" t="s">
        <v>79</v>
      </c>
      <c r="I225" s="852"/>
      <c r="J225" s="852"/>
      <c r="K225" s="848" t="s">
        <v>8</v>
      </c>
      <c r="L225" s="852" t="e">
        <f>IF(((ปร.งานทาง!$F$29+ปร.งานทาง!$F$30)*$E$115*0.024)&lt;10000,#REF!,IF(((ปร.งานทาง!$F$29+ปร.งานทาง!$F$30)*$E$115*0.024)&gt;10000,L223))</f>
        <v>#REF!</v>
      </c>
      <c r="M225" s="883" t="s">
        <v>75</v>
      </c>
      <c r="N225" s="883"/>
      <c r="O225" s="852"/>
      <c r="P225" s="852"/>
      <c r="Q225" s="848"/>
      <c r="R225" s="852"/>
      <c r="S225" s="883"/>
      <c r="T225" s="883"/>
      <c r="U225" s="883"/>
      <c r="X225" s="862"/>
    </row>
    <row r="226" spans="1:24" ht="21.95" customHeight="1" x14ac:dyDescent="0.5">
      <c r="M226" s="870"/>
      <c r="N226" s="870"/>
      <c r="S226" s="870"/>
      <c r="T226" s="870"/>
      <c r="U226" s="870"/>
    </row>
    <row r="227" spans="1:24" ht="21.95" customHeight="1" x14ac:dyDescent="0.5">
      <c r="M227" s="870"/>
      <c r="N227" s="870"/>
      <c r="S227" s="870"/>
      <c r="T227" s="870"/>
      <c r="U227" s="870"/>
    </row>
    <row r="228" spans="1:24" ht="21.95" customHeight="1" x14ac:dyDescent="0.5">
      <c r="M228" s="870"/>
      <c r="N228" s="870"/>
      <c r="S228" s="870"/>
      <c r="T228" s="870"/>
      <c r="U228" s="870"/>
    </row>
    <row r="229" spans="1:24" ht="21.95" customHeight="1" x14ac:dyDescent="0.5">
      <c r="M229" s="870"/>
      <c r="N229" s="870"/>
      <c r="S229" s="870"/>
      <c r="T229" s="870"/>
      <c r="U229" s="870"/>
    </row>
    <row r="230" spans="1:24" ht="21.95" customHeight="1" x14ac:dyDescent="0.5">
      <c r="M230" s="870"/>
      <c r="N230" s="870"/>
      <c r="S230" s="870"/>
      <c r="T230" s="870"/>
      <c r="U230" s="870"/>
    </row>
    <row r="231" spans="1:24" ht="21.95" customHeight="1" x14ac:dyDescent="0.5">
      <c r="M231" s="870"/>
      <c r="N231" s="870"/>
      <c r="S231" s="870"/>
      <c r="T231" s="870"/>
      <c r="U231" s="870"/>
    </row>
    <row r="232" spans="1:24" ht="21.95" customHeight="1" x14ac:dyDescent="0.5">
      <c r="M232" s="870"/>
      <c r="N232" s="870"/>
      <c r="S232" s="870"/>
      <c r="T232" s="870"/>
      <c r="U232" s="870"/>
    </row>
    <row r="233" spans="1:24" ht="21.95" customHeight="1" x14ac:dyDescent="0.5">
      <c r="M233" s="870"/>
      <c r="N233" s="870"/>
      <c r="S233" s="870"/>
      <c r="T233" s="870"/>
      <c r="U233" s="870"/>
    </row>
    <row r="234" spans="1:24" ht="21.95" customHeight="1" x14ac:dyDescent="0.5">
      <c r="M234" s="870"/>
      <c r="N234" s="870"/>
      <c r="S234" s="870"/>
      <c r="T234" s="870"/>
      <c r="U234" s="870"/>
    </row>
    <row r="235" spans="1:24" ht="21.95" customHeight="1" x14ac:dyDescent="0.5">
      <c r="M235" s="870"/>
      <c r="N235" s="870"/>
      <c r="S235" s="870"/>
      <c r="T235" s="870"/>
      <c r="U235" s="870"/>
    </row>
  </sheetData>
  <mergeCells count="22">
    <mergeCell ref="A1:N1"/>
    <mergeCell ref="A2:N2"/>
    <mergeCell ref="E76:F76"/>
    <mergeCell ref="E81:F81"/>
    <mergeCell ref="E86:F86"/>
    <mergeCell ref="L6:N6"/>
    <mergeCell ref="B188:F188"/>
    <mergeCell ref="B189:G189"/>
    <mergeCell ref="B190:H190"/>
    <mergeCell ref="B106:F106"/>
    <mergeCell ref="E132:F132"/>
    <mergeCell ref="E137:F137"/>
    <mergeCell ref="B211:J211"/>
    <mergeCell ref="B212:H212"/>
    <mergeCell ref="B213:G213"/>
    <mergeCell ref="B214:G214"/>
    <mergeCell ref="B191:J191"/>
    <mergeCell ref="B192:H192"/>
    <mergeCell ref="B193:G193"/>
    <mergeCell ref="B194:G194"/>
    <mergeCell ref="B209:G209"/>
    <mergeCell ref="B210:H210"/>
  </mergeCells>
  <printOptions horizontalCentered="1"/>
  <pageMargins left="0.39370078740157483" right="0.39370078740157483" top="0.39370078740157483" bottom="0.39370078740157483" header="0.31496062992125984" footer="0"/>
  <pageSetup paperSize="9" scale="85" orientation="portrait" blackAndWhite="1" horizontalDpi="4294967293" verticalDpi="300" r:id="rId1"/>
  <headerFooter alignWithMargins="0">
    <oddHeader>&amp;R&amp;"TH SarabunPSK,ธรรมดา"แผ่นที่ &amp;P/&amp;N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U48"/>
  <sheetViews>
    <sheetView view="pageBreakPreview" topLeftCell="A11" zoomScaleSheetLayoutView="100" workbookViewId="0">
      <selection activeCell="K7" sqref="K7"/>
    </sheetView>
  </sheetViews>
  <sheetFormatPr defaultColWidth="9.140625" defaultRowHeight="21.95" customHeight="1" x14ac:dyDescent="0.5"/>
  <cols>
    <col min="1" max="2" width="6.85546875" style="242" customWidth="1"/>
    <col min="3" max="3" width="24.42578125" style="242" customWidth="1"/>
    <col min="4" max="4" width="7.5703125" style="245" customWidth="1"/>
    <col min="5" max="5" width="12.5703125" style="323" customWidth="1"/>
    <col min="6" max="6" width="8.7109375" style="323" customWidth="1"/>
    <col min="7" max="7" width="11.5703125" style="323" customWidth="1"/>
    <col min="8" max="8" width="8.28515625" style="323" customWidth="1"/>
    <col min="9" max="9" width="11.42578125" style="323" customWidth="1"/>
    <col min="10" max="10" width="12.5703125" style="323" customWidth="1"/>
    <col min="11" max="11" width="18.85546875" style="324" customWidth="1"/>
    <col min="12" max="12" width="9.140625" style="242" customWidth="1"/>
    <col min="13" max="13" width="9.42578125" style="242" bestFit="1" customWidth="1"/>
    <col min="14" max="16384" width="9.140625" style="242"/>
  </cols>
  <sheetData>
    <row r="1" spans="1:21" ht="21.95" customHeight="1" x14ac:dyDescent="0.5">
      <c r="A1" s="1120" t="s">
        <v>270</v>
      </c>
      <c r="B1" s="1120"/>
      <c r="C1" s="1120"/>
      <c r="D1" s="1120"/>
      <c r="E1" s="1120"/>
      <c r="F1" s="1120"/>
      <c r="G1" s="1120"/>
      <c r="H1" s="1120"/>
      <c r="I1" s="1120"/>
      <c r="J1" s="1120"/>
      <c r="K1" s="1120"/>
    </row>
    <row r="2" spans="1:21" ht="21.95" customHeight="1" x14ac:dyDescent="0.5">
      <c r="A2" s="1120" t="s">
        <v>714</v>
      </c>
      <c r="B2" s="1120"/>
      <c r="C2" s="1120"/>
      <c r="D2" s="1120"/>
      <c r="E2" s="1120"/>
      <c r="F2" s="1120"/>
      <c r="G2" s="1120"/>
      <c r="H2" s="1120"/>
      <c r="I2" s="1120"/>
      <c r="J2" s="1120"/>
      <c r="K2" s="1120"/>
    </row>
    <row r="3" spans="1:21" ht="21.95" customHeight="1" x14ac:dyDescent="0.5">
      <c r="A3" s="243" t="s">
        <v>138</v>
      </c>
      <c r="B3" s="243"/>
      <c r="C3" s="244" t="str">
        <f>ปร.งานทาง!C2</f>
        <v>องค์การบริหารส่วนตำบลป่าตึง</v>
      </c>
      <c r="E3" s="246"/>
      <c r="F3" s="246"/>
      <c r="G3" s="246"/>
      <c r="H3" s="246"/>
      <c r="I3" s="246"/>
      <c r="J3" s="247"/>
      <c r="K3" s="248"/>
      <c r="L3" s="186" t="s">
        <v>34</v>
      </c>
      <c r="M3" s="249">
        <v>1</v>
      </c>
      <c r="N3" s="185" t="s">
        <v>84</v>
      </c>
      <c r="O3" s="186" t="s">
        <v>85</v>
      </c>
      <c r="P3" s="186"/>
      <c r="S3" s="221"/>
      <c r="U3" s="250"/>
    </row>
    <row r="4" spans="1:21" ht="21.95" customHeight="1" x14ac:dyDescent="0.5">
      <c r="A4" s="243" t="s">
        <v>139</v>
      </c>
      <c r="B4" s="243"/>
      <c r="C4" s="251" t="str">
        <f>กรอกข้อมูล!$B$3</f>
        <v>ซ่อมสร้างถนนลาดยางแอสฟัลต์ติกคอนกรีต  สายทาง 1089  ตำบลป่าตึง อำเภอแม่จัน จังหวัดเชียงราย</v>
      </c>
      <c r="E4" s="252"/>
      <c r="F4" s="252"/>
      <c r="G4" s="252"/>
      <c r="H4" s="252"/>
      <c r="I4" s="252"/>
      <c r="J4" s="252"/>
      <c r="K4" s="253"/>
      <c r="L4" s="186" t="s">
        <v>36</v>
      </c>
      <c r="M4" s="242">
        <v>2</v>
      </c>
      <c r="N4" s="185" t="s">
        <v>84</v>
      </c>
      <c r="O4" s="186" t="s">
        <v>94</v>
      </c>
      <c r="P4" s="186"/>
      <c r="S4" s="221"/>
    </row>
    <row r="5" spans="1:21" ht="21.95" customHeight="1" x14ac:dyDescent="0.5">
      <c r="A5" s="243" t="s">
        <v>140</v>
      </c>
      <c r="B5" s="243"/>
      <c r="C5" s="251" t="str">
        <f>กรอกข้อมูล!B5</f>
        <v xml:space="preserve">หน้าโรงเรียนศุภปัญญา  หมู่ 4 ตำบลป่าตึง อำเภอแม่จัน จังหวัดเชียงราย </v>
      </c>
      <c r="E5" s="252"/>
      <c r="F5" s="252"/>
      <c r="G5" s="252"/>
      <c r="H5" s="252"/>
      <c r="I5" s="252"/>
      <c r="J5" s="252"/>
      <c r="K5" s="253"/>
      <c r="L5" s="254"/>
      <c r="M5" s="255"/>
      <c r="S5" s="221"/>
      <c r="U5" s="250"/>
    </row>
    <row r="6" spans="1:21" ht="21.95" customHeight="1" x14ac:dyDescent="0.5">
      <c r="A6" s="243" t="s">
        <v>144</v>
      </c>
      <c r="B6" s="243"/>
      <c r="C6" s="242" t="s">
        <v>721</v>
      </c>
      <c r="E6" s="256"/>
      <c r="F6" s="256"/>
      <c r="G6" s="256"/>
      <c r="H6" s="256"/>
      <c r="I6" s="256"/>
      <c r="J6" s="257"/>
      <c r="K6" s="258"/>
      <c r="L6" s="254"/>
      <c r="M6" s="259"/>
      <c r="N6" s="260"/>
      <c r="O6" s="261"/>
      <c r="P6" s="261"/>
      <c r="Q6" s="261"/>
      <c r="S6" s="262">
        <v>485</v>
      </c>
    </row>
    <row r="7" spans="1:21" ht="21.95" customHeight="1" x14ac:dyDescent="0.5">
      <c r="A7" s="242" t="str">
        <f>"ราคาน้ำมันดีเซล ที่ อ.เมือง  "&amp;FIXED(ROUNDDOWN(กรอกข้อมูล!$D$11,0),0)&amp;".00 - "&amp;FIXED(ROUNDDOWN(กรอกข้อมูล!$D$11,0),0)&amp;".99 บาท/ลิตร เฉลี่ย  "&amp;FIXED(กรอกข้อมูล!$D$11,2)&amp;" บาท/ลิตร"</f>
        <v>ราคาน้ำมันดีเซล ที่ อ.เมือง  32.00 - 32.99 บาท/ลิตร เฉลี่ย  32.50 บาท/ลิตร</v>
      </c>
      <c r="C7" s="263"/>
      <c r="D7" s="264"/>
      <c r="E7" s="265"/>
      <c r="F7" s="256"/>
      <c r="G7" s="256"/>
      <c r="H7" s="257"/>
      <c r="I7" s="256"/>
      <c r="J7" s="266" t="str">
        <f>""&amp;(กรอกข้อมูล!$A$6)&amp;"เมื่อ  "</f>
        <v xml:space="preserve">ประมาณราคาเมื่อ  </v>
      </c>
      <c r="K7" s="258" t="str">
        <f>กรอกข้อมูล!$B$6</f>
        <v xml:space="preserve">  มิถุนายน 2568</v>
      </c>
      <c r="L7" s="254"/>
      <c r="O7" s="267" t="s">
        <v>261</v>
      </c>
      <c r="P7" s="267"/>
    </row>
    <row r="8" spans="1:21" ht="21.95" customHeight="1" x14ac:dyDescent="0.5">
      <c r="C8" s="263"/>
      <c r="D8" s="264"/>
      <c r="E8" s="265"/>
      <c r="F8" s="256"/>
      <c r="G8" s="256"/>
      <c r="H8" s="257"/>
      <c r="I8" s="256"/>
      <c r="J8" s="266" t="str">
        <f>กรอกข้อมูล!A7</f>
        <v>ราคาพาณิชย์ เดือน</v>
      </c>
      <c r="K8" s="258" t="str">
        <f>กรอกข้อมูล!B7</f>
        <v xml:space="preserve">  เมษายน 2567</v>
      </c>
      <c r="L8" s="254"/>
      <c r="O8" s="267"/>
      <c r="P8" s="267"/>
    </row>
    <row r="9" spans="1:21" ht="21.95" customHeight="1" x14ac:dyDescent="0.5">
      <c r="A9" s="1121" t="s">
        <v>0</v>
      </c>
      <c r="B9" s="1121" t="s">
        <v>1</v>
      </c>
      <c r="C9" s="1121"/>
      <c r="D9" s="1121" t="s">
        <v>13</v>
      </c>
      <c r="E9" s="268" t="s">
        <v>63</v>
      </c>
      <c r="F9" s="268" t="s">
        <v>173</v>
      </c>
      <c r="G9" s="268" t="s">
        <v>63</v>
      </c>
      <c r="H9" s="268" t="s">
        <v>273</v>
      </c>
      <c r="I9" s="268" t="s">
        <v>275</v>
      </c>
      <c r="J9" s="1124" t="s">
        <v>15</v>
      </c>
      <c r="K9" s="1117" t="s">
        <v>11</v>
      </c>
      <c r="L9" s="254"/>
    </row>
    <row r="10" spans="1:21" ht="21.95" customHeight="1" x14ac:dyDescent="0.5">
      <c r="A10" s="1122"/>
      <c r="B10" s="1122"/>
      <c r="C10" s="1122"/>
      <c r="D10" s="1122"/>
      <c r="E10" s="269" t="s">
        <v>14</v>
      </c>
      <c r="F10" s="269" t="s">
        <v>271</v>
      </c>
      <c r="G10" s="269" t="s">
        <v>271</v>
      </c>
      <c r="H10" s="269" t="s">
        <v>274</v>
      </c>
      <c r="I10" s="269" t="s">
        <v>276</v>
      </c>
      <c r="J10" s="1125"/>
      <c r="K10" s="1118"/>
    </row>
    <row r="11" spans="1:21" ht="21.95" customHeight="1" x14ac:dyDescent="0.5">
      <c r="A11" s="1123"/>
      <c r="B11" s="1123"/>
      <c r="C11" s="1123"/>
      <c r="D11" s="1123"/>
      <c r="E11" s="270" t="s">
        <v>16</v>
      </c>
      <c r="F11" s="270" t="s">
        <v>272</v>
      </c>
      <c r="G11" s="270" t="s">
        <v>16</v>
      </c>
      <c r="H11" s="270" t="s">
        <v>16</v>
      </c>
      <c r="I11" s="270" t="s">
        <v>16</v>
      </c>
      <c r="J11" s="270" t="s">
        <v>16</v>
      </c>
      <c r="K11" s="1119"/>
    </row>
    <row r="12" spans="1:21" ht="21" hidden="1" customHeight="1" x14ac:dyDescent="0.5">
      <c r="A12" s="271">
        <v>1</v>
      </c>
      <c r="B12" s="272" t="s">
        <v>295</v>
      </c>
      <c r="C12" s="273"/>
      <c r="D12" s="274"/>
      <c r="E12" s="275"/>
      <c r="F12" s="276"/>
      <c r="G12" s="276"/>
      <c r="H12" s="276"/>
      <c r="I12" s="276"/>
      <c r="J12" s="277">
        <f>ROUND(SUM(J13:J14)/4,2)</f>
        <v>14737.17</v>
      </c>
      <c r="K12" s="278" t="s">
        <v>297</v>
      </c>
    </row>
    <row r="13" spans="1:21" ht="21" hidden="1" customHeight="1" x14ac:dyDescent="0.5">
      <c r="A13" s="279"/>
      <c r="B13" s="280" t="s">
        <v>279</v>
      </c>
      <c r="C13" s="281" t="s">
        <v>277</v>
      </c>
      <c r="D13" s="282" t="s">
        <v>52</v>
      </c>
      <c r="E13" s="283">
        <v>26521.84</v>
      </c>
      <c r="F13" s="284">
        <v>0</v>
      </c>
      <c r="G13" s="284">
        <v>0</v>
      </c>
      <c r="H13" s="284">
        <v>80</v>
      </c>
      <c r="I13" s="284">
        <v>4100</v>
      </c>
      <c r="J13" s="284">
        <f>ROUND(E13+G13+H13+I13,2)</f>
        <v>30701.84</v>
      </c>
      <c r="K13" s="285" t="s">
        <v>311</v>
      </c>
      <c r="L13" s="242">
        <v>0.222</v>
      </c>
      <c r="M13" s="250">
        <f>E13/1000*L13*10</f>
        <v>58.87848480000001</v>
      </c>
    </row>
    <row r="14" spans="1:21" ht="21" hidden="1" customHeight="1" x14ac:dyDescent="0.5">
      <c r="A14" s="279"/>
      <c r="B14" s="280" t="s">
        <v>279</v>
      </c>
      <c r="C14" s="281" t="s">
        <v>278</v>
      </c>
      <c r="D14" s="282" t="s">
        <v>52</v>
      </c>
      <c r="E14" s="283">
        <v>24066.82</v>
      </c>
      <c r="F14" s="284">
        <v>0</v>
      </c>
      <c r="G14" s="284">
        <v>0</v>
      </c>
      <c r="H14" s="284">
        <v>80</v>
      </c>
      <c r="I14" s="284">
        <v>4100</v>
      </c>
      <c r="J14" s="284">
        <f>ROUND(E14+G14+H14+I14,2)</f>
        <v>28246.82</v>
      </c>
      <c r="K14" s="285" t="s">
        <v>311</v>
      </c>
      <c r="L14" s="242">
        <v>0.499</v>
      </c>
      <c r="M14" s="250">
        <f t="shared" ref="M14:M19" si="0">E14/1000*L14*10</f>
        <v>120.0934318</v>
      </c>
    </row>
    <row r="15" spans="1:21" ht="21" hidden="1" customHeight="1" x14ac:dyDescent="0.5">
      <c r="A15" s="279">
        <v>2</v>
      </c>
      <c r="B15" s="286" t="s">
        <v>298</v>
      </c>
      <c r="C15" s="281"/>
      <c r="D15" s="282" t="s">
        <v>52</v>
      </c>
      <c r="E15" s="283"/>
      <c r="F15" s="284"/>
      <c r="G15" s="284"/>
      <c r="H15" s="284"/>
      <c r="I15" s="284"/>
      <c r="J15" s="287">
        <f>ROUND(SUM(J16:J19)/4,2)</f>
        <v>26996.39</v>
      </c>
      <c r="K15" s="285" t="s">
        <v>297</v>
      </c>
      <c r="M15" s="250">
        <f t="shared" si="0"/>
        <v>0</v>
      </c>
    </row>
    <row r="16" spans="1:21" ht="21" hidden="1" customHeight="1" x14ac:dyDescent="0.5">
      <c r="A16" s="279"/>
      <c r="B16" s="280" t="s">
        <v>279</v>
      </c>
      <c r="C16" s="281" t="s">
        <v>280</v>
      </c>
      <c r="D16" s="282" t="s">
        <v>52</v>
      </c>
      <c r="E16" s="283">
        <v>23013.66</v>
      </c>
      <c r="F16" s="284">
        <v>0</v>
      </c>
      <c r="G16" s="284">
        <v>0</v>
      </c>
      <c r="H16" s="284">
        <v>80</v>
      </c>
      <c r="I16" s="284">
        <v>3300</v>
      </c>
      <c r="J16" s="284">
        <f>ROUND(E16+G16+H16+I16,2)</f>
        <v>26393.66</v>
      </c>
      <c r="K16" s="285" t="s">
        <v>311</v>
      </c>
      <c r="L16" s="242">
        <v>0.88800000000000001</v>
      </c>
      <c r="M16" s="250">
        <f t="shared" si="0"/>
        <v>204.36130080000001</v>
      </c>
    </row>
    <row r="17" spans="1:13" ht="21" hidden="1" customHeight="1" x14ac:dyDescent="0.5">
      <c r="A17" s="279"/>
      <c r="B17" s="280" t="s">
        <v>279</v>
      </c>
      <c r="C17" s="281" t="s">
        <v>281</v>
      </c>
      <c r="D17" s="282" t="s">
        <v>52</v>
      </c>
      <c r="E17" s="283">
        <v>23596.59</v>
      </c>
      <c r="F17" s="284">
        <v>0</v>
      </c>
      <c r="G17" s="284">
        <v>0</v>
      </c>
      <c r="H17" s="284">
        <v>80</v>
      </c>
      <c r="I17" s="284">
        <v>3300</v>
      </c>
      <c r="J17" s="284">
        <f t="shared" ref="J17:J42" si="1">ROUND(E17+G17+H17+I17,2)</f>
        <v>26976.59</v>
      </c>
      <c r="K17" s="285" t="s">
        <v>311</v>
      </c>
      <c r="L17" s="242">
        <v>1.58</v>
      </c>
      <c r="M17" s="250">
        <f t="shared" si="0"/>
        <v>372.82612200000005</v>
      </c>
    </row>
    <row r="18" spans="1:13" ht="21" hidden="1" customHeight="1" x14ac:dyDescent="0.5">
      <c r="A18" s="279"/>
      <c r="B18" s="280" t="s">
        <v>279</v>
      </c>
      <c r="C18" s="281" t="s">
        <v>282</v>
      </c>
      <c r="D18" s="282" t="s">
        <v>52</v>
      </c>
      <c r="E18" s="283">
        <v>24330.9</v>
      </c>
      <c r="F18" s="284">
        <v>0</v>
      </c>
      <c r="G18" s="284">
        <v>0</v>
      </c>
      <c r="H18" s="284">
        <v>80</v>
      </c>
      <c r="I18" s="284">
        <v>2900</v>
      </c>
      <c r="J18" s="284">
        <f t="shared" si="1"/>
        <v>27310.9</v>
      </c>
      <c r="K18" s="285" t="s">
        <v>311</v>
      </c>
      <c r="L18" s="242">
        <v>2.4700000000000002</v>
      </c>
      <c r="M18" s="250">
        <f t="shared" si="0"/>
        <v>600.97323000000006</v>
      </c>
    </row>
    <row r="19" spans="1:13" ht="21" hidden="1" customHeight="1" x14ac:dyDescent="0.5">
      <c r="A19" s="279"/>
      <c r="B19" s="280" t="s">
        <v>279</v>
      </c>
      <c r="C19" s="281" t="s">
        <v>283</v>
      </c>
      <c r="D19" s="282" t="s">
        <v>52</v>
      </c>
      <c r="E19" s="283">
        <v>24324.42</v>
      </c>
      <c r="F19" s="284">
        <v>0</v>
      </c>
      <c r="G19" s="284">
        <v>0</v>
      </c>
      <c r="H19" s="284">
        <v>80</v>
      </c>
      <c r="I19" s="284">
        <v>2900</v>
      </c>
      <c r="J19" s="284">
        <f t="shared" si="1"/>
        <v>27304.42</v>
      </c>
      <c r="K19" s="285" t="s">
        <v>311</v>
      </c>
      <c r="L19" s="242">
        <v>3.85</v>
      </c>
      <c r="M19" s="250">
        <f t="shared" si="0"/>
        <v>936.49017000000003</v>
      </c>
    </row>
    <row r="20" spans="1:13" ht="21" hidden="1" customHeight="1" x14ac:dyDescent="0.5">
      <c r="A20" s="288" t="s">
        <v>404</v>
      </c>
      <c r="B20" s="286" t="s">
        <v>284</v>
      </c>
      <c r="C20" s="281"/>
      <c r="D20" s="282" t="s">
        <v>52</v>
      </c>
      <c r="E20" s="283">
        <v>46.73</v>
      </c>
      <c r="F20" s="284">
        <v>0</v>
      </c>
      <c r="G20" s="284">
        <v>0</v>
      </c>
      <c r="H20" s="284">
        <v>0</v>
      </c>
      <c r="I20" s="284">
        <v>0</v>
      </c>
      <c r="J20" s="284">
        <f t="shared" si="1"/>
        <v>46.73</v>
      </c>
      <c r="K20" s="285" t="s">
        <v>312</v>
      </c>
    </row>
    <row r="21" spans="1:13" ht="21" hidden="1" customHeight="1" x14ac:dyDescent="0.5">
      <c r="A21" s="288" t="s">
        <v>299</v>
      </c>
      <c r="B21" s="286" t="s">
        <v>296</v>
      </c>
      <c r="C21" s="281"/>
      <c r="D21" s="282" t="s">
        <v>17</v>
      </c>
      <c r="E21" s="289">
        <v>32.090000000000003</v>
      </c>
      <c r="F21" s="284">
        <v>0</v>
      </c>
      <c r="G21" s="284">
        <v>0</v>
      </c>
      <c r="H21" s="284">
        <v>0</v>
      </c>
      <c r="I21" s="284">
        <v>5</v>
      </c>
      <c r="J21" s="284">
        <f t="shared" si="1"/>
        <v>37.090000000000003</v>
      </c>
      <c r="K21" s="285" t="s">
        <v>311</v>
      </c>
    </row>
    <row r="22" spans="1:13" ht="21" customHeight="1" x14ac:dyDescent="0.5">
      <c r="A22" s="288">
        <v>1</v>
      </c>
      <c r="B22" s="290" t="s">
        <v>715</v>
      </c>
      <c r="C22" s="281"/>
      <c r="D22" s="282" t="s">
        <v>52</v>
      </c>
      <c r="E22" s="283">
        <v>3093.46</v>
      </c>
      <c r="F22" s="284">
        <v>0</v>
      </c>
      <c r="G22" s="284">
        <v>0</v>
      </c>
      <c r="H22" s="284">
        <v>50</v>
      </c>
      <c r="I22" s="284">
        <v>0</v>
      </c>
      <c r="J22" s="284">
        <f t="shared" si="1"/>
        <v>3143.46</v>
      </c>
      <c r="K22" s="285" t="s">
        <v>311</v>
      </c>
      <c r="L22" s="250">
        <f>E22/20</f>
        <v>154.673</v>
      </c>
    </row>
    <row r="23" spans="1:13" ht="21" hidden="1" customHeight="1" x14ac:dyDescent="0.5">
      <c r="A23" s="288" t="s">
        <v>301</v>
      </c>
      <c r="B23" s="286" t="s">
        <v>290</v>
      </c>
      <c r="C23" s="281"/>
      <c r="D23" s="282" t="s">
        <v>52</v>
      </c>
      <c r="E23" s="283">
        <v>3271.03</v>
      </c>
      <c r="F23" s="284">
        <v>0</v>
      </c>
      <c r="G23" s="284">
        <v>0</v>
      </c>
      <c r="H23" s="284">
        <v>50</v>
      </c>
      <c r="I23" s="284">
        <v>0</v>
      </c>
      <c r="J23" s="284">
        <f t="shared" si="1"/>
        <v>3321.03</v>
      </c>
      <c r="K23" s="285" t="s">
        <v>311</v>
      </c>
    </row>
    <row r="24" spans="1:13" ht="21" customHeight="1" x14ac:dyDescent="0.5">
      <c r="A24" s="288">
        <v>2</v>
      </c>
      <c r="B24" s="286" t="s">
        <v>291</v>
      </c>
      <c r="C24" s="281"/>
      <c r="D24" s="282" t="s">
        <v>18</v>
      </c>
      <c r="E24" s="283">
        <v>210.28</v>
      </c>
      <c r="F24" s="284">
        <v>20</v>
      </c>
      <c r="G24" s="284">
        <f>IF($M$3=1,IF(F24&lt;=200,VLOOKUP(F24,'S2'!B$5:'S2'!F$204,3),IF(F24&gt;200,(F24-200)*'S2'!D$205+'S2'!D$204)),IF($M$3=2,IF(F24&lt;=200,VLOOKUP(F24,'S2'!B$5:'S2'!F$204,5),IF(F24&gt;200,(F24-200)*'S2'!F$205+'S2'!F$204))))</f>
        <v>73.63</v>
      </c>
      <c r="H24" s="284">
        <v>0</v>
      </c>
      <c r="I24" s="284">
        <v>0</v>
      </c>
      <c r="J24" s="284">
        <f t="shared" si="1"/>
        <v>283.91000000000003</v>
      </c>
      <c r="K24" s="285" t="s">
        <v>311</v>
      </c>
    </row>
    <row r="25" spans="1:13" ht="21" customHeight="1" x14ac:dyDescent="0.5">
      <c r="A25" s="288">
        <v>3</v>
      </c>
      <c r="B25" s="286" t="s">
        <v>292</v>
      </c>
      <c r="C25" s="281"/>
      <c r="D25" s="282" t="s">
        <v>18</v>
      </c>
      <c r="E25" s="283">
        <v>350.47</v>
      </c>
      <c r="F25" s="284">
        <f>F24</f>
        <v>20</v>
      </c>
      <c r="G25" s="284">
        <f>IF($M$3=1,IF(F25&lt;=200,VLOOKUP(F25,'S2'!B$5:'S2'!F$204,3),IF(F25&gt;200,(F25-200)*'S2'!D$205+'S2'!D$204)),IF($M$3=2,IF(F25&lt;=200,VLOOKUP(F25,'S2'!B$5:'S2'!F$204,5),IF(F25&gt;200,(F25-200)*'S2'!F$205+'S2'!F$204))))</f>
        <v>73.63</v>
      </c>
      <c r="H25" s="284">
        <v>0</v>
      </c>
      <c r="I25" s="284">
        <v>0</v>
      </c>
      <c r="J25" s="284">
        <f t="shared" si="1"/>
        <v>424.1</v>
      </c>
      <c r="K25" s="285" t="s">
        <v>311</v>
      </c>
    </row>
    <row r="26" spans="1:13" ht="21" customHeight="1" x14ac:dyDescent="0.5">
      <c r="A26" s="288">
        <v>4</v>
      </c>
      <c r="B26" s="286" t="s">
        <v>293</v>
      </c>
      <c r="C26" s="281"/>
      <c r="D26" s="282" t="s">
        <v>18</v>
      </c>
      <c r="E26" s="283">
        <v>168.22</v>
      </c>
      <c r="F26" s="284">
        <f>F25</f>
        <v>20</v>
      </c>
      <c r="G26" s="284">
        <f>IF($M$3=1,IF(F26&lt;=200,VLOOKUP(F26,'S2'!B$5:'S2'!F$204,3),IF(F26&gt;200,(F26-200)*'S2'!D$205+'S2'!D$204)),IF($M$3=2,IF(F26&lt;=200,VLOOKUP(F26,'S2'!B$5:'S2'!F$204,5),IF(F26&gt;200,(F26-200)*'S2'!F$205+'S2'!F$204))))</f>
        <v>73.63</v>
      </c>
      <c r="H26" s="284">
        <v>0</v>
      </c>
      <c r="I26" s="284">
        <v>0</v>
      </c>
      <c r="J26" s="284">
        <f t="shared" si="1"/>
        <v>241.85</v>
      </c>
      <c r="K26" s="285" t="s">
        <v>311</v>
      </c>
    </row>
    <row r="27" spans="1:13" ht="21" customHeight="1" x14ac:dyDescent="0.5">
      <c r="A27" s="288">
        <v>5</v>
      </c>
      <c r="B27" s="286" t="s">
        <v>682</v>
      </c>
      <c r="C27" s="281"/>
      <c r="D27" s="282" t="s">
        <v>18</v>
      </c>
      <c r="E27" s="283">
        <v>694.86</v>
      </c>
      <c r="F27" s="284">
        <f>F30</f>
        <v>15</v>
      </c>
      <c r="G27" s="284">
        <f>G30</f>
        <v>55.66</v>
      </c>
      <c r="H27" s="284">
        <v>0</v>
      </c>
      <c r="I27" s="284">
        <v>0</v>
      </c>
      <c r="J27" s="284">
        <f t="shared" si="1"/>
        <v>750.52</v>
      </c>
      <c r="K27" s="285" t="s">
        <v>311</v>
      </c>
    </row>
    <row r="28" spans="1:13" ht="21" customHeight="1" x14ac:dyDescent="0.5">
      <c r="A28" s="288">
        <v>6</v>
      </c>
      <c r="B28" s="286" t="s">
        <v>24</v>
      </c>
      <c r="C28" s="281"/>
      <c r="D28" s="282" t="s">
        <v>18</v>
      </c>
      <c r="E28" s="283">
        <f>ค่าหิน!C32</f>
        <v>436.45</v>
      </c>
      <c r="F28" s="284">
        <f>F30</f>
        <v>15</v>
      </c>
      <c r="G28" s="284">
        <f>G27</f>
        <v>55.66</v>
      </c>
      <c r="H28" s="284">
        <v>0</v>
      </c>
      <c r="I28" s="284">
        <v>0</v>
      </c>
      <c r="J28" s="284">
        <f t="shared" si="1"/>
        <v>492.11</v>
      </c>
      <c r="K28" s="285" t="s">
        <v>311</v>
      </c>
    </row>
    <row r="29" spans="1:13" ht="21" customHeight="1" x14ac:dyDescent="0.5">
      <c r="A29" s="288">
        <v>7</v>
      </c>
      <c r="B29" s="286" t="s">
        <v>294</v>
      </c>
      <c r="C29" s="281"/>
      <c r="D29" s="282" t="s">
        <v>18</v>
      </c>
      <c r="E29" s="283">
        <v>549.53</v>
      </c>
      <c r="F29" s="284">
        <f>F31</f>
        <v>15</v>
      </c>
      <c r="G29" s="284">
        <f>G28</f>
        <v>55.66</v>
      </c>
      <c r="H29" s="284">
        <v>0</v>
      </c>
      <c r="I29" s="284">
        <v>0</v>
      </c>
      <c r="J29" s="284">
        <f t="shared" si="1"/>
        <v>605.19000000000005</v>
      </c>
      <c r="K29" s="285" t="s">
        <v>311</v>
      </c>
    </row>
    <row r="30" spans="1:13" ht="21" customHeight="1" x14ac:dyDescent="0.5">
      <c r="A30" s="288">
        <v>8</v>
      </c>
      <c r="B30" s="286" t="s">
        <v>31</v>
      </c>
      <c r="C30" s="281"/>
      <c r="D30" s="282" t="s">
        <v>18</v>
      </c>
      <c r="E30" s="284">
        <f>ค่าหิน!C33</f>
        <v>390</v>
      </c>
      <c r="F30" s="284">
        <f>ค่าหิน!D32</f>
        <v>15</v>
      </c>
      <c r="G30" s="284">
        <f>ค่าหิน!E32</f>
        <v>55.66</v>
      </c>
      <c r="H30" s="284">
        <v>0</v>
      </c>
      <c r="I30" s="284">
        <v>0</v>
      </c>
      <c r="J30" s="284">
        <f t="shared" si="1"/>
        <v>445.66</v>
      </c>
      <c r="K30" s="291" t="str">
        <f>ค่าหิน!G32</f>
        <v>สืบราคาโรงโม่ บจก.เอสโตน อ.แม่จัน</v>
      </c>
    </row>
    <row r="31" spans="1:13" ht="21" customHeight="1" x14ac:dyDescent="0.5">
      <c r="A31" s="288">
        <v>9</v>
      </c>
      <c r="B31" s="286" t="s">
        <v>80</v>
      </c>
      <c r="C31" s="281"/>
      <c r="D31" s="282" t="s">
        <v>18</v>
      </c>
      <c r="E31" s="284">
        <f>ค่าหิน!C34</f>
        <v>562.79999999999995</v>
      </c>
      <c r="F31" s="284">
        <f>ค่าหิน!D33</f>
        <v>15</v>
      </c>
      <c r="G31" s="284">
        <f>ค่าหิน!E33</f>
        <v>55.66</v>
      </c>
      <c r="H31" s="284">
        <v>0</v>
      </c>
      <c r="I31" s="284">
        <v>0</v>
      </c>
      <c r="J31" s="284">
        <f t="shared" si="1"/>
        <v>618.46</v>
      </c>
      <c r="K31" s="291" t="str">
        <f>ค่าหิน!G33</f>
        <v>สืบราคาโรงโม่ บจก.เอสโตน อ.แม่จัน</v>
      </c>
    </row>
    <row r="32" spans="1:13" ht="21" customHeight="1" x14ac:dyDescent="0.5">
      <c r="A32" s="288">
        <v>10</v>
      </c>
      <c r="B32" s="286" t="s">
        <v>81</v>
      </c>
      <c r="C32" s="281"/>
      <c r="D32" s="282" t="s">
        <v>18</v>
      </c>
      <c r="E32" s="284">
        <f>ค่าหิน!C35</f>
        <v>562.79999999999995</v>
      </c>
      <c r="F32" s="284">
        <f>ค่าหิน!D34</f>
        <v>15</v>
      </c>
      <c r="G32" s="284">
        <f>ค่าหิน!E34</f>
        <v>55.66</v>
      </c>
      <c r="H32" s="284">
        <v>0</v>
      </c>
      <c r="I32" s="284">
        <v>0</v>
      </c>
      <c r="J32" s="284">
        <f t="shared" si="1"/>
        <v>618.46</v>
      </c>
      <c r="K32" s="291" t="str">
        <f>ค่าหิน!G34</f>
        <v>สืบราคาโรงโม่ บจก.เอสโตน อ.แม่จัน</v>
      </c>
    </row>
    <row r="33" spans="1:11" ht="21" customHeight="1" x14ac:dyDescent="0.5">
      <c r="A33" s="288">
        <v>11</v>
      </c>
      <c r="B33" s="286" t="s">
        <v>82</v>
      </c>
      <c r="C33" s="281"/>
      <c r="D33" s="282" t="s">
        <v>18</v>
      </c>
      <c r="E33" s="289">
        <f>ค่าหิน!C36</f>
        <v>478.8</v>
      </c>
      <c r="F33" s="284">
        <f>ค่าหิน!D35</f>
        <v>15</v>
      </c>
      <c r="G33" s="284">
        <f>ค่าหิน!E35</f>
        <v>55.66</v>
      </c>
      <c r="H33" s="284">
        <v>0</v>
      </c>
      <c r="I33" s="284">
        <v>0</v>
      </c>
      <c r="J33" s="284">
        <f t="shared" si="1"/>
        <v>534.46</v>
      </c>
      <c r="K33" s="291" t="str">
        <f>ค่าหิน!G35</f>
        <v>สืบราคาโรงโม่ บจก.เอสโตน อ.แม่จัน</v>
      </c>
    </row>
    <row r="34" spans="1:11" ht="21" customHeight="1" x14ac:dyDescent="0.5">
      <c r="A34" s="288">
        <v>12</v>
      </c>
      <c r="B34" s="286" t="s">
        <v>83</v>
      </c>
      <c r="C34" s="281"/>
      <c r="D34" s="282" t="s">
        <v>18</v>
      </c>
      <c r="E34" s="289">
        <f>ค่าหิน!C37</f>
        <v>460</v>
      </c>
      <c r="F34" s="284">
        <f>ค่าหิน!D36</f>
        <v>15</v>
      </c>
      <c r="G34" s="284">
        <f>ค่าหิน!E36</f>
        <v>55.66</v>
      </c>
      <c r="H34" s="284">
        <v>0</v>
      </c>
      <c r="I34" s="284">
        <v>0</v>
      </c>
      <c r="J34" s="284">
        <f t="shared" si="1"/>
        <v>515.66</v>
      </c>
      <c r="K34" s="291" t="str">
        <f>ค่าหิน!G36</f>
        <v>สืบราคาโรงโม่ บจก.เอสโตน อ.แม่จัน</v>
      </c>
    </row>
    <row r="35" spans="1:11" ht="21" customHeight="1" x14ac:dyDescent="0.5">
      <c r="A35" s="288">
        <v>13</v>
      </c>
      <c r="B35" s="286" t="s">
        <v>103</v>
      </c>
      <c r="C35" s="281"/>
      <c r="D35" s="282" t="s">
        <v>18</v>
      </c>
      <c r="E35" s="289">
        <f>ราคาต้นทุน!L13</f>
        <v>11.666666666666666</v>
      </c>
      <c r="F35" s="284">
        <f>กรอกข้อมูล!D17</f>
        <v>10</v>
      </c>
      <c r="G35" s="284">
        <f>IF($M$3=1,IF(F35&lt;=200,VLOOKUP(F35,'S2'!B$5:'S2'!F$204,3),IF(F35&gt;200,(F35-200)*'S2'!D$205+'S2'!D$204)),IF($M$3=2,IF(F35&lt;=200,VLOOKUP(F35,'S2'!B$5:'S2'!F$204,5),IF(F35&gt;200,(F35-200)*'S2'!F$205+'S2'!F$204))))</f>
        <v>37.700000000000003</v>
      </c>
      <c r="H35" s="284">
        <v>0</v>
      </c>
      <c r="I35" s="284">
        <v>0</v>
      </c>
      <c r="J35" s="284">
        <f t="shared" si="1"/>
        <v>49.37</v>
      </c>
      <c r="K35" s="285" t="s">
        <v>316</v>
      </c>
    </row>
    <row r="36" spans="1:11" ht="21" customHeight="1" x14ac:dyDescent="0.5">
      <c r="A36" s="288">
        <v>14</v>
      </c>
      <c r="B36" s="286" t="s">
        <v>5</v>
      </c>
      <c r="C36" s="281"/>
      <c r="D36" s="282" t="s">
        <v>18</v>
      </c>
      <c r="E36" s="289">
        <f>ราคาต้นทุน!L37</f>
        <v>11.666666666666666</v>
      </c>
      <c r="F36" s="284">
        <f>กรอกข้อมูล!D18</f>
        <v>20</v>
      </c>
      <c r="G36" s="284">
        <f>IF($M$3=1,IF(F36&lt;=200,VLOOKUP(F36,'S2'!B$5:'S2'!F$204,3),IF(F36&gt;200,(F36-200)*'S2'!D$205+'S2'!D$204)),IF($M$3=2,IF(F36&lt;=200,VLOOKUP(F36,'S2'!B$5:'S2'!F$204,5),IF(F36&gt;200,(F36-200)*'S2'!F$205+'S2'!F$204))))</f>
        <v>73.63</v>
      </c>
      <c r="H36" s="284">
        <v>0</v>
      </c>
      <c r="I36" s="284">
        <v>0</v>
      </c>
      <c r="J36" s="284">
        <f t="shared" si="1"/>
        <v>85.3</v>
      </c>
      <c r="K36" s="285" t="s">
        <v>316</v>
      </c>
    </row>
    <row r="37" spans="1:11" ht="21" customHeight="1" x14ac:dyDescent="0.5">
      <c r="A37" s="288">
        <v>15</v>
      </c>
      <c r="B37" s="286" t="s">
        <v>285</v>
      </c>
      <c r="C37" s="281"/>
      <c r="D37" s="282" t="s">
        <v>52</v>
      </c>
      <c r="E37" s="289">
        <v>26820</v>
      </c>
      <c r="F37" s="284">
        <f>กรอกข้อมูล!D15</f>
        <v>741</v>
      </c>
      <c r="G37" s="292">
        <f>IF(F37=0,0,IF($M$4=1,IF(F37&lt;=200,VLOOKUP(F37,'S2'!$B$5:'S2'!$F$204,2),IF(F37&gt;200,(F37-200)*'S2'!$C$205+'S2'!$C$204)),IF($M$4=2,IF(F37&lt;=200,VLOOKUP(F37,'S2'!$B$5:'S2'!$F$204,4),IF(F37&gt;200,(F37-200)*'S2'!$E$205+'S2'!$E$204)))))</f>
        <v>1193.0600000000002</v>
      </c>
      <c r="H37" s="284">
        <v>35</v>
      </c>
      <c r="I37" s="284">
        <v>0</v>
      </c>
      <c r="J37" s="284">
        <f>ROUND(E37+G37+H37+I37,2)</f>
        <v>28048.06</v>
      </c>
      <c r="K37" s="285" t="s">
        <v>313</v>
      </c>
    </row>
    <row r="38" spans="1:11" ht="21" customHeight="1" x14ac:dyDescent="0.5">
      <c r="A38" s="288">
        <v>16</v>
      </c>
      <c r="B38" s="286" t="s">
        <v>286</v>
      </c>
      <c r="C38" s="281"/>
      <c r="D38" s="282" t="s">
        <v>52</v>
      </c>
      <c r="E38" s="289">
        <v>28355</v>
      </c>
      <c r="F38" s="284">
        <f t="shared" ref="F38:G42" si="2">F37</f>
        <v>741</v>
      </c>
      <c r="G38" s="284">
        <f t="shared" si="2"/>
        <v>1193.0600000000002</v>
      </c>
      <c r="H38" s="284">
        <v>25</v>
      </c>
      <c r="I38" s="284">
        <v>0</v>
      </c>
      <c r="J38" s="284">
        <f t="shared" si="1"/>
        <v>29573.06</v>
      </c>
      <c r="K38" s="285" t="s">
        <v>313</v>
      </c>
    </row>
    <row r="39" spans="1:11" ht="21" hidden="1" customHeight="1" x14ac:dyDescent="0.5">
      <c r="A39" s="288" t="s">
        <v>483</v>
      </c>
      <c r="B39" s="286" t="s">
        <v>287</v>
      </c>
      <c r="C39" s="281"/>
      <c r="D39" s="282" t="s">
        <v>52</v>
      </c>
      <c r="E39" s="289">
        <v>32550</v>
      </c>
      <c r="F39" s="284">
        <f t="shared" si="2"/>
        <v>741</v>
      </c>
      <c r="G39" s="284">
        <f t="shared" si="2"/>
        <v>1193.0600000000002</v>
      </c>
      <c r="H39" s="284">
        <v>25</v>
      </c>
      <c r="I39" s="284">
        <v>0</v>
      </c>
      <c r="J39" s="284">
        <f t="shared" si="1"/>
        <v>33768.06</v>
      </c>
      <c r="K39" s="285" t="s">
        <v>313</v>
      </c>
    </row>
    <row r="40" spans="1:11" ht="21" customHeight="1" x14ac:dyDescent="0.5">
      <c r="A40" s="288">
        <v>17</v>
      </c>
      <c r="B40" s="286" t="s">
        <v>288</v>
      </c>
      <c r="C40" s="281"/>
      <c r="D40" s="282" t="s">
        <v>52</v>
      </c>
      <c r="E40" s="289">
        <v>25103.33</v>
      </c>
      <c r="F40" s="284">
        <f t="shared" si="2"/>
        <v>741</v>
      </c>
      <c r="G40" s="284">
        <f t="shared" si="2"/>
        <v>1193.0600000000002</v>
      </c>
      <c r="H40" s="284">
        <v>25</v>
      </c>
      <c r="I40" s="284">
        <v>0</v>
      </c>
      <c r="J40" s="284">
        <f t="shared" si="1"/>
        <v>26321.39</v>
      </c>
      <c r="K40" s="285" t="s">
        <v>313</v>
      </c>
    </row>
    <row r="41" spans="1:11" ht="21" customHeight="1" x14ac:dyDescent="0.5">
      <c r="A41" s="288">
        <v>18</v>
      </c>
      <c r="B41" s="286" t="s">
        <v>681</v>
      </c>
      <c r="C41" s="281"/>
      <c r="D41" s="282" t="s">
        <v>52</v>
      </c>
      <c r="E41" s="289">
        <v>31130</v>
      </c>
      <c r="F41" s="284">
        <f t="shared" si="2"/>
        <v>741</v>
      </c>
      <c r="G41" s="284">
        <f t="shared" si="2"/>
        <v>1193.0600000000002</v>
      </c>
      <c r="H41" s="284">
        <v>35</v>
      </c>
      <c r="I41" s="284">
        <v>0</v>
      </c>
      <c r="J41" s="284">
        <f t="shared" si="1"/>
        <v>32358.06</v>
      </c>
      <c r="K41" s="285" t="s">
        <v>313</v>
      </c>
    </row>
    <row r="42" spans="1:11" ht="21" hidden="1" customHeight="1" x14ac:dyDescent="0.5">
      <c r="A42" s="288" t="s">
        <v>486</v>
      </c>
      <c r="B42" s="286" t="s">
        <v>289</v>
      </c>
      <c r="C42" s="281"/>
      <c r="D42" s="282" t="s">
        <v>52</v>
      </c>
      <c r="E42" s="289">
        <v>37700</v>
      </c>
      <c r="F42" s="284">
        <f t="shared" si="2"/>
        <v>741</v>
      </c>
      <c r="G42" s="284">
        <f t="shared" si="2"/>
        <v>1193.0600000000002</v>
      </c>
      <c r="H42" s="284">
        <v>25</v>
      </c>
      <c r="I42" s="284">
        <v>0</v>
      </c>
      <c r="J42" s="284">
        <f t="shared" si="1"/>
        <v>38918.06</v>
      </c>
      <c r="K42" s="285" t="s">
        <v>311</v>
      </c>
    </row>
    <row r="43" spans="1:11" ht="21" customHeight="1" x14ac:dyDescent="0.5">
      <c r="A43" s="288"/>
      <c r="B43" s="293"/>
      <c r="C43" s="294"/>
      <c r="D43" s="282"/>
      <c r="E43" s="295"/>
      <c r="F43" s="284"/>
      <c r="G43" s="284"/>
      <c r="H43" s="284"/>
      <c r="I43" s="284"/>
      <c r="J43" s="284"/>
      <c r="K43" s="285"/>
    </row>
    <row r="44" spans="1:11" ht="21" customHeight="1" x14ac:dyDescent="0.5">
      <c r="A44" s="296"/>
      <c r="B44" s="297"/>
      <c r="C44" s="298"/>
      <c r="D44" s="299"/>
      <c r="E44" s="300"/>
      <c r="F44" s="301"/>
      <c r="G44" s="301"/>
      <c r="H44" s="301"/>
      <c r="I44" s="301"/>
      <c r="J44" s="301"/>
      <c r="K44" s="302"/>
    </row>
    <row r="45" spans="1:11" ht="21" customHeight="1" x14ac:dyDescent="0.5">
      <c r="A45" s="303"/>
      <c r="B45" s="304"/>
      <c r="C45" s="305"/>
      <c r="D45" s="306"/>
      <c r="E45" s="307"/>
      <c r="F45" s="308"/>
      <c r="G45" s="308"/>
      <c r="H45" s="308"/>
      <c r="I45" s="308"/>
      <c r="J45" s="308"/>
      <c r="K45" s="309"/>
    </row>
    <row r="46" spans="1:11" ht="21" customHeight="1" x14ac:dyDescent="0.5">
      <c r="A46" s="310"/>
      <c r="B46" s="311"/>
      <c r="C46" s="312"/>
      <c r="D46" s="313"/>
      <c r="E46" s="314"/>
      <c r="F46" s="315"/>
      <c r="G46" s="315"/>
      <c r="H46" s="315"/>
      <c r="I46" s="315"/>
      <c r="J46" s="315"/>
      <c r="K46" s="316"/>
    </row>
    <row r="47" spans="1:11" ht="21" customHeight="1" x14ac:dyDescent="0.5">
      <c r="A47" s="310"/>
      <c r="B47" s="311"/>
      <c r="C47" s="312"/>
      <c r="D47" s="313"/>
      <c r="E47" s="314"/>
      <c r="F47" s="315"/>
      <c r="G47" s="315"/>
      <c r="H47" s="315"/>
      <c r="I47" s="315"/>
      <c r="J47" s="315"/>
      <c r="K47" s="316"/>
    </row>
    <row r="48" spans="1:11" ht="21" customHeight="1" x14ac:dyDescent="0.5">
      <c r="A48" s="317"/>
      <c r="B48" s="318"/>
      <c r="C48" s="319"/>
      <c r="D48" s="320"/>
      <c r="E48" s="321"/>
      <c r="F48" s="321"/>
      <c r="G48" s="321"/>
      <c r="H48" s="321"/>
      <c r="I48" s="321"/>
      <c r="J48" s="321"/>
      <c r="K48" s="322"/>
    </row>
  </sheetData>
  <mergeCells count="7">
    <mergeCell ref="K9:K11"/>
    <mergeCell ref="A1:K1"/>
    <mergeCell ref="A2:K2"/>
    <mergeCell ref="A9:A11"/>
    <mergeCell ref="D9:D11"/>
    <mergeCell ref="J9:J10"/>
    <mergeCell ref="B9:C11"/>
  </mergeCells>
  <printOptions horizontalCentered="1"/>
  <pageMargins left="0.31496062992125984" right="0.31496062992125984" top="0.31496062992125984" bottom="0.39370078740157483" header="0.31496062992125984" footer="0.31496062992125984"/>
  <pageSetup paperSize="9" scale="80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84"/>
  <sheetViews>
    <sheetView view="pageBreakPreview" topLeftCell="A7" zoomScaleSheetLayoutView="100" workbookViewId="0">
      <selection activeCell="D13" sqref="D13"/>
    </sheetView>
  </sheetViews>
  <sheetFormatPr defaultColWidth="9.140625" defaultRowHeight="26.1" customHeight="1" x14ac:dyDescent="0.5"/>
  <cols>
    <col min="1" max="1" width="9.140625" style="346"/>
    <col min="2" max="2" width="39" style="346" customWidth="1"/>
    <col min="3" max="3" width="9.140625" style="346"/>
    <col min="4" max="4" width="19.85546875" style="346" customWidth="1"/>
    <col min="5" max="6" width="9.140625" style="346"/>
    <col min="7" max="7" width="13.42578125" style="346" customWidth="1"/>
    <col min="8" max="8" width="10.85546875" style="346" customWidth="1"/>
    <col min="9" max="9" width="12.28515625" style="199" customWidth="1"/>
    <col min="10" max="10" width="18" style="199" customWidth="1"/>
    <col min="11" max="11" width="7.5703125" style="326" customWidth="1"/>
    <col min="12" max="16" width="8.140625" style="208" customWidth="1"/>
    <col min="17" max="17" width="8.140625" style="326" customWidth="1"/>
    <col min="18" max="18" width="8.140625" style="208" customWidth="1"/>
    <col min="19" max="20" width="8.140625" style="326" customWidth="1"/>
    <col min="21" max="22" width="8.140625" style="208" customWidth="1"/>
    <col min="23" max="23" width="8.140625" style="326" customWidth="1"/>
    <col min="24" max="24" width="8.140625" style="208" customWidth="1"/>
    <col min="25" max="26" width="8.140625" style="326" customWidth="1"/>
    <col min="27" max="28" width="8.140625" style="208" customWidth="1"/>
    <col min="29" max="29" width="8.140625" style="326" customWidth="1"/>
    <col min="30" max="30" width="8.140625" style="208" customWidth="1"/>
    <col min="31" max="32" width="8.140625" style="326" customWidth="1"/>
    <col min="33" max="34" width="8.140625" style="208" customWidth="1"/>
    <col min="35" max="36" width="16.140625" style="208" customWidth="1"/>
    <col min="37" max="37" width="9" style="208" customWidth="1"/>
    <col min="38" max="38" width="2.85546875" style="208" customWidth="1"/>
    <col min="39" max="16384" width="9.140625" style="175"/>
  </cols>
  <sheetData>
    <row r="1" spans="1:38" ht="30" customHeight="1" thickBot="1" x14ac:dyDescent="0.6">
      <c r="A1" s="1132" t="str">
        <f>"ตารางแสดงการคำนวนหาค่า "&amp;A6</f>
        <v>ตารางแสดงการคำนวนหาค่า  Factor F งานทาง</v>
      </c>
      <c r="B1" s="1132"/>
      <c r="C1" s="1132"/>
      <c r="D1" s="1132"/>
      <c r="E1" s="1132"/>
      <c r="F1" s="1132"/>
      <c r="G1" s="1132"/>
      <c r="H1" s="325"/>
    </row>
    <row r="2" spans="1:38" ht="30" customHeight="1" thickBot="1" x14ac:dyDescent="0.55000000000000004">
      <c r="A2" s="1133" t="str">
        <f>"โครงการ "&amp;ปร.งานทาง!C3</f>
        <v>โครงการ ซ่อมสร้างถนนลาดยางแอสฟัลต์ติกคอนกรีต  สายทาง 1089  ตำบลป่าตึง อำเภอแม่จัน จังหวัดเชียงราย</v>
      </c>
      <c r="B2" s="1133"/>
      <c r="C2" s="1133"/>
      <c r="D2" s="1133"/>
      <c r="E2" s="1133"/>
      <c r="F2" s="1133"/>
      <c r="G2" s="1133"/>
      <c r="H2" s="327"/>
      <c r="I2" s="1134" t="s">
        <v>188</v>
      </c>
      <c r="J2" s="1135"/>
      <c r="K2" s="1126" t="s">
        <v>189</v>
      </c>
      <c r="L2" s="1127"/>
      <c r="M2" s="1127"/>
      <c r="N2" s="1127"/>
      <c r="O2" s="1127"/>
      <c r="P2" s="1128"/>
      <c r="Q2" s="1126" t="s">
        <v>190</v>
      </c>
      <c r="R2" s="1127"/>
      <c r="S2" s="1127"/>
      <c r="T2" s="1127"/>
      <c r="U2" s="1127"/>
      <c r="V2" s="1128"/>
      <c r="W2" s="1126" t="s">
        <v>191</v>
      </c>
      <c r="X2" s="1127"/>
      <c r="Y2" s="1127"/>
      <c r="Z2" s="1127"/>
      <c r="AA2" s="1127"/>
      <c r="AB2" s="1128"/>
      <c r="AC2" s="1126" t="s">
        <v>192</v>
      </c>
      <c r="AD2" s="1127"/>
      <c r="AE2" s="1127"/>
      <c r="AF2" s="1127"/>
      <c r="AG2" s="1127"/>
      <c r="AH2" s="1128"/>
      <c r="AI2" s="328"/>
      <c r="AJ2" s="328"/>
      <c r="AK2" s="328"/>
      <c r="AL2" s="329"/>
    </row>
    <row r="3" spans="1:38" ht="30" customHeight="1" x14ac:dyDescent="0.5">
      <c r="A3" s="1129" t="str">
        <f>กรอกข้อมูล!B5</f>
        <v xml:space="preserve">หน้าโรงเรียนศุภปัญญา  หมู่ 4 ตำบลป่าตึง อำเภอแม่จัน จังหวัดเชียงราย </v>
      </c>
      <c r="B3" s="1129"/>
      <c r="C3" s="1129"/>
      <c r="D3" s="1129"/>
      <c r="E3" s="1129"/>
      <c r="F3" s="1129"/>
      <c r="G3" s="1129"/>
      <c r="H3" s="330"/>
      <c r="I3" s="331" t="s">
        <v>193</v>
      </c>
      <c r="J3" s="332" t="s">
        <v>194</v>
      </c>
      <c r="K3" s="333">
        <v>0</v>
      </c>
      <c r="L3" s="334">
        <v>1.3090999999999999</v>
      </c>
      <c r="M3" s="335">
        <f t="shared" ref="M3:M13" si="0">IF($J$11&gt;=K3,K3,0)</f>
        <v>0</v>
      </c>
      <c r="N3" s="335">
        <f>IF($J$11&gt;=K3,K5,0)</f>
        <v>0.5</v>
      </c>
      <c r="O3" s="336">
        <f t="shared" ref="O3:O13" si="1">IF(K3=$M$14,L3,0)</f>
        <v>0</v>
      </c>
      <c r="P3" s="337">
        <f>IF(K3=$N$14,L3,0)</f>
        <v>0</v>
      </c>
      <c r="Q3" s="338">
        <v>0</v>
      </c>
      <c r="R3" s="334">
        <v>1.3848</v>
      </c>
      <c r="S3" s="339">
        <f>IF($J$11&gt;=Q3,Q3,0)</f>
        <v>0</v>
      </c>
      <c r="T3" s="339">
        <f>IF($J$11&gt;=Q3,Q5,0)</f>
        <v>5</v>
      </c>
      <c r="U3" s="336">
        <f>IF(Q3=$S$14,R3,0)</f>
        <v>1.3848</v>
      </c>
      <c r="V3" s="337">
        <f>IF(Q3=$T$14,R3,0)</f>
        <v>0</v>
      </c>
      <c r="W3" s="338">
        <v>0</v>
      </c>
      <c r="X3" s="334">
        <v>1.2799</v>
      </c>
      <c r="Y3" s="339">
        <f t="shared" ref="Y3:Y11" si="2">IF($J$11&gt;=W3,W3,0)</f>
        <v>0</v>
      </c>
      <c r="Z3" s="339">
        <f>IF($J$11&gt;=W3,W5,0)</f>
        <v>5</v>
      </c>
      <c r="AA3" s="336">
        <f t="shared" ref="AA3:AA11" si="3">IF(W3=$Y$14,X3,0)</f>
        <v>1.2799</v>
      </c>
      <c r="AB3" s="337">
        <f t="shared" ref="AB3:AB11" si="4">IF(W3=$Z$14,X3,0)</f>
        <v>0</v>
      </c>
      <c r="AC3" s="338">
        <v>0</v>
      </c>
      <c r="AD3" s="334">
        <v>1.3589</v>
      </c>
      <c r="AE3" s="339">
        <f>IF($J$11&gt;=AC3,AC3,0)</f>
        <v>0</v>
      </c>
      <c r="AF3" s="339">
        <f>IF($J$11&gt;=AC3,AC5,0)</f>
        <v>5</v>
      </c>
      <c r="AG3" s="336">
        <f>IF(AC3=$AE$14,AD3,0)</f>
        <v>1.3589</v>
      </c>
      <c r="AH3" s="337">
        <f>IF(AC3=$AF$14,AD3,0)</f>
        <v>0</v>
      </c>
      <c r="AI3" s="340"/>
      <c r="AJ3" s="340"/>
      <c r="AK3" s="340"/>
      <c r="AL3" s="341"/>
    </row>
    <row r="4" spans="1:38" ht="30" customHeight="1" thickBot="1" x14ac:dyDescent="0.55000000000000004">
      <c r="A4" s="1129" t="str">
        <f>ปร.งานทาง!C6</f>
        <v>รายละเอียดตามประมาณการงานก่อสร้างและตามแบบแปลนที่ อบต.ป่าตึง กำหนด</v>
      </c>
      <c r="B4" s="1129"/>
      <c r="C4" s="1129"/>
      <c r="D4" s="1129"/>
      <c r="E4" s="1129"/>
      <c r="F4" s="1129"/>
      <c r="G4" s="1129"/>
      <c r="H4" s="330"/>
      <c r="I4" s="331"/>
      <c r="J4" s="332"/>
      <c r="K4" s="333"/>
      <c r="L4" s="334"/>
      <c r="M4" s="335"/>
      <c r="N4" s="335"/>
      <c r="O4" s="336"/>
      <c r="P4" s="337"/>
      <c r="Q4" s="338"/>
      <c r="R4" s="334"/>
      <c r="S4" s="339"/>
      <c r="T4" s="339"/>
      <c r="U4" s="336"/>
      <c r="V4" s="337"/>
      <c r="W4" s="338"/>
      <c r="X4" s="334"/>
      <c r="Y4" s="339"/>
      <c r="Z4" s="339"/>
      <c r="AA4" s="336"/>
      <c r="AB4" s="337"/>
      <c r="AC4" s="338"/>
      <c r="AD4" s="334"/>
      <c r="AE4" s="339"/>
      <c r="AF4" s="339"/>
      <c r="AG4" s="336"/>
      <c r="AH4" s="337"/>
      <c r="AI4" s="340"/>
      <c r="AJ4" s="340"/>
      <c r="AK4" s="340"/>
      <c r="AL4" s="341"/>
    </row>
    <row r="5" spans="1:38" ht="30" customHeight="1" thickBot="1" x14ac:dyDescent="0.55000000000000004">
      <c r="A5" s="1130" t="s">
        <v>666</v>
      </c>
      <c r="B5" s="1130"/>
      <c r="C5" s="1130"/>
      <c r="D5" s="1130"/>
      <c r="E5" s="1130"/>
      <c r="F5" s="1130"/>
      <c r="G5" s="1130"/>
      <c r="H5" s="342"/>
      <c r="I5" s="343">
        <v>2</v>
      </c>
      <c r="J5" s="344">
        <f>ปร.5!F24</f>
        <v>616495.84000000008</v>
      </c>
      <c r="K5" s="333">
        <v>0.5</v>
      </c>
      <c r="L5" s="334">
        <f>L3</f>
        <v>1.3090999999999999</v>
      </c>
      <c r="M5" s="335">
        <f t="shared" si="0"/>
        <v>0.5</v>
      </c>
      <c r="N5" s="335">
        <f t="shared" ref="N5:N13" si="5">IF($J$11&gt;=K5,K6,0)</f>
        <v>1</v>
      </c>
      <c r="O5" s="336">
        <f t="shared" si="1"/>
        <v>1.3090999999999999</v>
      </c>
      <c r="P5" s="337">
        <f>IF(K5=$N$14,L5,0)</f>
        <v>0</v>
      </c>
      <c r="Q5" s="338">
        <v>5</v>
      </c>
      <c r="R5" s="334">
        <f>R3</f>
        <v>1.3848</v>
      </c>
      <c r="S5" s="339">
        <f>IF($J$11&gt;=Q5,Q5,0)</f>
        <v>0</v>
      </c>
      <c r="T5" s="339">
        <f>IF($J$11&gt;=Q5,Q6,0)</f>
        <v>0</v>
      </c>
      <c r="U5" s="336">
        <f>IF(Q5=$S$14,R5,0)</f>
        <v>0</v>
      </c>
      <c r="V5" s="337">
        <f>IF(Q5=$T$14,R5,0)</f>
        <v>1.3848</v>
      </c>
      <c r="W5" s="338">
        <v>5</v>
      </c>
      <c r="X5" s="334">
        <f>X3</f>
        <v>1.2799</v>
      </c>
      <c r="Y5" s="339">
        <f t="shared" si="2"/>
        <v>0</v>
      </c>
      <c r="Z5" s="339">
        <f t="shared" ref="Z5:Z11" si="6">IF($J$11&gt;=W5,W6,0)</f>
        <v>0</v>
      </c>
      <c r="AA5" s="336">
        <f t="shared" si="3"/>
        <v>0</v>
      </c>
      <c r="AB5" s="337">
        <f t="shared" si="4"/>
        <v>1.2799</v>
      </c>
      <c r="AC5" s="338">
        <v>5</v>
      </c>
      <c r="AD5" s="334">
        <f>AD3</f>
        <v>1.3589</v>
      </c>
      <c r="AE5" s="339">
        <f>IF($J$11&gt;=AC5,AC5,0)</f>
        <v>0</v>
      </c>
      <c r="AF5" s="339">
        <f>IF($J$11&gt;=AC5,AC6,0)</f>
        <v>0</v>
      </c>
      <c r="AG5" s="336">
        <f>IF(AC5=$AE$14,AD5,0)</f>
        <v>0</v>
      </c>
      <c r="AH5" s="337">
        <f>IF(AC5=$AF$14,AD5,0)</f>
        <v>1.3589</v>
      </c>
      <c r="AI5" s="340"/>
      <c r="AJ5" s="340"/>
      <c r="AK5" s="340"/>
      <c r="AL5" s="341"/>
    </row>
    <row r="6" spans="1:38" ht="26.1" customHeight="1" x14ac:dyDescent="0.5">
      <c r="A6" s="345" t="str">
        <f>" Factor F งาน"&amp;IF(I5=1,J6,IF(I5=2,J7,IF(I5=3,J8,IF(I5=4,J9,0))))</f>
        <v xml:space="preserve"> Factor F งานทาง</v>
      </c>
      <c r="I6" s="347">
        <v>1</v>
      </c>
      <c r="J6" s="348" t="s">
        <v>195</v>
      </c>
      <c r="K6" s="333">
        <v>1</v>
      </c>
      <c r="L6" s="334">
        <v>1.367</v>
      </c>
      <c r="M6" s="335">
        <f t="shared" si="0"/>
        <v>0</v>
      </c>
      <c r="N6" s="335">
        <f t="shared" si="5"/>
        <v>0</v>
      </c>
      <c r="O6" s="336">
        <f t="shared" si="1"/>
        <v>0</v>
      </c>
      <c r="P6" s="337">
        <f t="shared" ref="P6:P13" si="7">IF(K6=$N$14,L6,0)</f>
        <v>1.367</v>
      </c>
      <c r="Q6" s="338">
        <v>10</v>
      </c>
      <c r="R6" s="334">
        <v>1.3345</v>
      </c>
      <c r="S6" s="339">
        <f>IF($J$11&gt;=Q6,Q6,0)</f>
        <v>0</v>
      </c>
      <c r="T6" s="339">
        <f>IF($J$11&gt;=Q6,Q7,0)</f>
        <v>0</v>
      </c>
      <c r="U6" s="336">
        <f>IF(Q6=$S$14,R6,0)</f>
        <v>0</v>
      </c>
      <c r="V6" s="337">
        <f>IF(Q6=$T$14,R6,0)</f>
        <v>0</v>
      </c>
      <c r="W6" s="338">
        <v>10</v>
      </c>
      <c r="X6" s="334">
        <v>1.2463</v>
      </c>
      <c r="Y6" s="339">
        <f t="shared" si="2"/>
        <v>0</v>
      </c>
      <c r="Z6" s="339">
        <f t="shared" si="6"/>
        <v>0</v>
      </c>
      <c r="AA6" s="336">
        <f t="shared" si="3"/>
        <v>0</v>
      </c>
      <c r="AB6" s="337">
        <f t="shared" si="4"/>
        <v>0</v>
      </c>
      <c r="AC6" s="338">
        <v>10</v>
      </c>
      <c r="AD6" s="334">
        <v>1.3271999999999999</v>
      </c>
      <c r="AE6" s="339">
        <f>IF($J$11&gt;=AC6,AC6,0)</f>
        <v>0</v>
      </c>
      <c r="AF6" s="339">
        <f>IF($J$11&gt;=AC6,AC7,0)</f>
        <v>0</v>
      </c>
      <c r="AG6" s="336">
        <f>IF(AC6=$AE$14,AD6,0)</f>
        <v>0</v>
      </c>
      <c r="AH6" s="337">
        <f>IF(AC6=$AF$14,AD6,0)</f>
        <v>0</v>
      </c>
      <c r="AI6" s="340"/>
      <c r="AJ6" s="340"/>
      <c r="AK6" s="340"/>
      <c r="AL6" s="341"/>
    </row>
    <row r="7" spans="1:38" ht="26.1" customHeight="1" x14ac:dyDescent="0.5">
      <c r="B7" s="349" t="s">
        <v>196</v>
      </c>
      <c r="I7" s="350">
        <v>2</v>
      </c>
      <c r="J7" s="351" t="s">
        <v>197</v>
      </c>
      <c r="K7" s="333">
        <v>2</v>
      </c>
      <c r="L7" s="334">
        <v>1.3050999999999999</v>
      </c>
      <c r="M7" s="335">
        <f t="shared" si="0"/>
        <v>0</v>
      </c>
      <c r="N7" s="335">
        <f t="shared" si="5"/>
        <v>0</v>
      </c>
      <c r="O7" s="336">
        <f t="shared" si="1"/>
        <v>0</v>
      </c>
      <c r="P7" s="337">
        <f t="shared" si="7"/>
        <v>0</v>
      </c>
      <c r="Q7" s="338">
        <v>20</v>
      </c>
      <c r="R7" s="334">
        <v>1.2742</v>
      </c>
      <c r="S7" s="339">
        <f>IF($J$11&gt;=Q7,Q7,0)</f>
        <v>0</v>
      </c>
      <c r="T7" s="339">
        <f>IF($J$11&gt;=Q7,Q8,0)</f>
        <v>0</v>
      </c>
      <c r="U7" s="336">
        <f>IF(Q7=$S$14,R7,0)</f>
        <v>0</v>
      </c>
      <c r="V7" s="337">
        <f>IF(Q7=$T$14,R7,0)</f>
        <v>0</v>
      </c>
      <c r="W7" s="338">
        <v>15</v>
      </c>
      <c r="X7" s="334">
        <v>1.2392000000000001</v>
      </c>
      <c r="Y7" s="339">
        <f t="shared" si="2"/>
        <v>0</v>
      </c>
      <c r="Z7" s="339">
        <f t="shared" si="6"/>
        <v>0</v>
      </c>
      <c r="AA7" s="336">
        <f t="shared" si="3"/>
        <v>0</v>
      </c>
      <c r="AB7" s="337">
        <f t="shared" si="4"/>
        <v>0</v>
      </c>
      <c r="AC7" s="338">
        <v>30</v>
      </c>
      <c r="AD7" s="334">
        <v>1.2843</v>
      </c>
      <c r="AE7" s="339">
        <f>IF($J$11&gt;=AC7,AC7,0)</f>
        <v>0</v>
      </c>
      <c r="AF7" s="339">
        <f>IF($J$11&gt;=AC7,AC8,0)</f>
        <v>0</v>
      </c>
      <c r="AG7" s="336">
        <f>IF(AC7=$AE$14,AD7,0)</f>
        <v>0</v>
      </c>
      <c r="AH7" s="337">
        <f>IF(AC7=$AF$14,AD7,0)</f>
        <v>0</v>
      </c>
      <c r="AI7" s="340"/>
      <c r="AJ7" s="340"/>
      <c r="AK7" s="340"/>
      <c r="AL7" s="341"/>
    </row>
    <row r="8" spans="1:38" ht="26.1" customHeight="1" x14ac:dyDescent="0.5">
      <c r="B8" s="352">
        <v>0</v>
      </c>
      <c r="I8" s="350">
        <v>3</v>
      </c>
      <c r="J8" s="351" t="s">
        <v>198</v>
      </c>
      <c r="K8" s="333">
        <v>5</v>
      </c>
      <c r="L8" s="334">
        <v>1.302</v>
      </c>
      <c r="M8" s="335">
        <f t="shared" si="0"/>
        <v>0</v>
      </c>
      <c r="N8" s="335">
        <f t="shared" si="5"/>
        <v>0</v>
      </c>
      <c r="O8" s="336">
        <f t="shared" si="1"/>
        <v>0</v>
      </c>
      <c r="P8" s="337">
        <f t="shared" si="7"/>
        <v>0</v>
      </c>
      <c r="Q8" s="338">
        <v>30</v>
      </c>
      <c r="R8" s="334">
        <v>1.2394000000000001</v>
      </c>
      <c r="S8" s="339">
        <f>IF($J$11&gt;=Q8,Q8,0)</f>
        <v>0</v>
      </c>
      <c r="T8" s="339">
        <f>IF($J$11&gt;=Q8,Q9,0)</f>
        <v>0</v>
      </c>
      <c r="U8" s="336">
        <f>IF(Q8=$S$14,R8,0)</f>
        <v>0</v>
      </c>
      <c r="V8" s="337">
        <f>IF(Q8=$T$14,R8,0)</f>
        <v>0</v>
      </c>
      <c r="W8" s="338">
        <v>20</v>
      </c>
      <c r="X8" s="334">
        <v>1.2321</v>
      </c>
      <c r="Y8" s="339">
        <f t="shared" si="2"/>
        <v>0</v>
      </c>
      <c r="Z8" s="339">
        <f t="shared" si="6"/>
        <v>0</v>
      </c>
      <c r="AA8" s="336">
        <f t="shared" si="3"/>
        <v>0</v>
      </c>
      <c r="AB8" s="337">
        <f t="shared" si="4"/>
        <v>0</v>
      </c>
      <c r="AC8" s="338">
        <v>40</v>
      </c>
      <c r="AD8" s="334">
        <v>1.2704</v>
      </c>
      <c r="AE8" s="339">
        <f>IF($J$11&gt;=AC8,AC8,0)</f>
        <v>0</v>
      </c>
      <c r="AF8" s="339">
        <f>IF($J$11&gt;=AC8,AC9,0)</f>
        <v>0</v>
      </c>
      <c r="AG8" s="336">
        <f>IF(AC8=$AE$14,AD8,0)</f>
        <v>0</v>
      </c>
      <c r="AH8" s="337">
        <f>IF(AC8=$AF$14,AD8,0)</f>
        <v>0</v>
      </c>
      <c r="AI8" s="340"/>
      <c r="AJ8" s="340"/>
      <c r="AK8" s="340"/>
      <c r="AL8" s="341"/>
    </row>
    <row r="9" spans="1:38" ht="26.1" customHeight="1" thickBot="1" x14ac:dyDescent="0.55000000000000004">
      <c r="B9" s="353">
        <v>0</v>
      </c>
      <c r="I9" s="354">
        <v>4</v>
      </c>
      <c r="J9" s="355" t="s">
        <v>199</v>
      </c>
      <c r="K9" s="333">
        <v>10</v>
      </c>
      <c r="L9" s="334">
        <v>1.296</v>
      </c>
      <c r="M9" s="335">
        <f t="shared" si="0"/>
        <v>0</v>
      </c>
      <c r="N9" s="335">
        <f t="shared" si="5"/>
        <v>0</v>
      </c>
      <c r="O9" s="336">
        <f t="shared" si="1"/>
        <v>0</v>
      </c>
      <c r="P9" s="337">
        <f t="shared" si="7"/>
        <v>0</v>
      </c>
      <c r="Q9" s="338">
        <v>40</v>
      </c>
      <c r="R9" s="334">
        <v>1.2342</v>
      </c>
      <c r="S9" s="339">
        <f>IF($J$11&gt;=Q9,Q9,0)</f>
        <v>0</v>
      </c>
      <c r="T9" s="339">
        <f>IF($J$11&gt;=Q9,Q10,0)</f>
        <v>0</v>
      </c>
      <c r="U9" s="336">
        <f>IF(Q9=$S$14,R9,0)</f>
        <v>0</v>
      </c>
      <c r="V9" s="337">
        <f>IF(Q9=$T$14,R9,0)</f>
        <v>0</v>
      </c>
      <c r="W9" s="338">
        <v>25</v>
      </c>
      <c r="X9" s="334">
        <v>1.2161999999999999</v>
      </c>
      <c r="Y9" s="339">
        <f t="shared" si="2"/>
        <v>0</v>
      </c>
      <c r="Z9" s="339">
        <f t="shared" si="6"/>
        <v>0</v>
      </c>
      <c r="AA9" s="336">
        <f t="shared" si="3"/>
        <v>0</v>
      </c>
      <c r="AB9" s="337">
        <f t="shared" si="4"/>
        <v>0</v>
      </c>
      <c r="AC9" s="338"/>
      <c r="AD9" s="356"/>
      <c r="AE9" s="339"/>
      <c r="AF9" s="339"/>
      <c r="AG9" s="336"/>
      <c r="AH9" s="337"/>
      <c r="AI9" s="340"/>
      <c r="AJ9" s="340"/>
      <c r="AK9" s="340"/>
      <c r="AL9" s="341"/>
    </row>
    <row r="10" spans="1:38" ht="26.1" customHeight="1" thickBot="1" x14ac:dyDescent="0.55000000000000004">
      <c r="B10" s="357">
        <v>7</v>
      </c>
      <c r="I10" s="358"/>
      <c r="J10" s="359"/>
      <c r="K10" s="333">
        <v>15</v>
      </c>
      <c r="L10" s="334">
        <v>1.2611000000000001</v>
      </c>
      <c r="M10" s="335">
        <f t="shared" si="0"/>
        <v>0</v>
      </c>
      <c r="N10" s="335">
        <f t="shared" si="5"/>
        <v>0</v>
      </c>
      <c r="O10" s="336">
        <f t="shared" si="1"/>
        <v>0</v>
      </c>
      <c r="P10" s="337">
        <f t="shared" si="7"/>
        <v>0</v>
      </c>
      <c r="Q10" s="338"/>
      <c r="R10" s="356"/>
      <c r="S10" s="339"/>
      <c r="T10" s="339"/>
      <c r="U10" s="336"/>
      <c r="V10" s="337"/>
      <c r="W10" s="338">
        <v>30</v>
      </c>
      <c r="X10" s="334">
        <v>1.2150000000000001</v>
      </c>
      <c r="Y10" s="339">
        <f t="shared" si="2"/>
        <v>0</v>
      </c>
      <c r="Z10" s="339">
        <f t="shared" si="6"/>
        <v>0</v>
      </c>
      <c r="AA10" s="336">
        <f t="shared" si="3"/>
        <v>0</v>
      </c>
      <c r="AB10" s="337">
        <f t="shared" si="4"/>
        <v>0</v>
      </c>
      <c r="AC10" s="338"/>
      <c r="AD10" s="356"/>
      <c r="AE10" s="339"/>
      <c r="AF10" s="339"/>
      <c r="AG10" s="336"/>
      <c r="AH10" s="337"/>
      <c r="AI10" s="340"/>
      <c r="AJ10" s="340"/>
      <c r="AK10" s="340"/>
      <c r="AL10" s="341"/>
    </row>
    <row r="11" spans="1:38" ht="26.1" customHeight="1" x14ac:dyDescent="0.5">
      <c r="B11" s="360">
        <v>7</v>
      </c>
      <c r="I11" s="361" t="s">
        <v>200</v>
      </c>
      <c r="J11" s="362">
        <f>J5/1000000</f>
        <v>0.61649584000000013</v>
      </c>
      <c r="K11" s="333">
        <v>20</v>
      </c>
      <c r="L11" s="334">
        <v>1.2535000000000001</v>
      </c>
      <c r="M11" s="335">
        <f t="shared" si="0"/>
        <v>0</v>
      </c>
      <c r="N11" s="335">
        <f t="shared" si="5"/>
        <v>0</v>
      </c>
      <c r="O11" s="336">
        <f t="shared" si="1"/>
        <v>0</v>
      </c>
      <c r="P11" s="337">
        <f t="shared" si="7"/>
        <v>0</v>
      </c>
      <c r="Q11" s="338"/>
      <c r="R11" s="356"/>
      <c r="S11" s="339"/>
      <c r="T11" s="339"/>
      <c r="U11" s="336"/>
      <c r="V11" s="337"/>
      <c r="W11" s="338">
        <v>35</v>
      </c>
      <c r="X11" s="334">
        <v>1.2096</v>
      </c>
      <c r="Y11" s="339">
        <f t="shared" si="2"/>
        <v>0</v>
      </c>
      <c r="Z11" s="339">
        <f t="shared" si="6"/>
        <v>0</v>
      </c>
      <c r="AA11" s="336">
        <f t="shared" si="3"/>
        <v>0</v>
      </c>
      <c r="AB11" s="337">
        <f t="shared" si="4"/>
        <v>0</v>
      </c>
      <c r="AC11" s="338"/>
      <c r="AD11" s="356"/>
      <c r="AE11" s="339"/>
      <c r="AF11" s="339"/>
      <c r="AG11" s="336"/>
      <c r="AH11" s="337"/>
      <c r="AI11" s="340"/>
      <c r="AJ11" s="340"/>
      <c r="AK11" s="340"/>
      <c r="AL11" s="341"/>
    </row>
    <row r="12" spans="1:38" ht="26.1" customHeight="1" x14ac:dyDescent="0.5">
      <c r="A12" s="345" t="s">
        <v>201</v>
      </c>
      <c r="C12" s="363"/>
      <c r="I12" s="364" t="s">
        <v>202</v>
      </c>
      <c r="J12" s="365">
        <f>AI15</f>
        <v>0</v>
      </c>
      <c r="K12" s="333">
        <v>25</v>
      </c>
      <c r="L12" s="334">
        <v>1.2264999999999999</v>
      </c>
      <c r="M12" s="335">
        <f t="shared" si="0"/>
        <v>0</v>
      </c>
      <c r="N12" s="335">
        <f t="shared" si="5"/>
        <v>0</v>
      </c>
      <c r="O12" s="336">
        <f t="shared" si="1"/>
        <v>0</v>
      </c>
      <c r="P12" s="337">
        <f t="shared" si="7"/>
        <v>0</v>
      </c>
      <c r="Q12" s="338"/>
      <c r="R12" s="356"/>
      <c r="S12" s="339"/>
      <c r="T12" s="339"/>
      <c r="U12" s="336"/>
      <c r="V12" s="337"/>
      <c r="W12" s="338"/>
      <c r="X12" s="356"/>
      <c r="Y12" s="339"/>
      <c r="Z12" s="339"/>
      <c r="AA12" s="336"/>
      <c r="AB12" s="337"/>
      <c r="AC12" s="338"/>
      <c r="AD12" s="356"/>
      <c r="AE12" s="339"/>
      <c r="AF12" s="339"/>
      <c r="AG12" s="336"/>
      <c r="AH12" s="337"/>
      <c r="AI12" s="340"/>
      <c r="AJ12" s="340"/>
      <c r="AK12" s="340"/>
      <c r="AL12" s="341"/>
    </row>
    <row r="13" spans="1:38" ht="26.1" customHeight="1" x14ac:dyDescent="0.5">
      <c r="A13" s="345" t="s">
        <v>203</v>
      </c>
      <c r="B13" s="346" t="s">
        <v>204</v>
      </c>
      <c r="C13" s="366" t="s">
        <v>8</v>
      </c>
      <c r="D13" s="367">
        <f>J5</f>
        <v>616495.84000000008</v>
      </c>
      <c r="I13" s="364" t="s">
        <v>205</v>
      </c>
      <c r="J13" s="365">
        <f>AJ15</f>
        <v>5000000</v>
      </c>
      <c r="K13" s="333">
        <v>30</v>
      </c>
      <c r="L13" s="334">
        <v>1.2181</v>
      </c>
      <c r="M13" s="335">
        <f t="shared" si="0"/>
        <v>0</v>
      </c>
      <c r="N13" s="335">
        <f t="shared" si="5"/>
        <v>0</v>
      </c>
      <c r="O13" s="336">
        <f t="shared" si="1"/>
        <v>0</v>
      </c>
      <c r="P13" s="337">
        <f t="shared" si="7"/>
        <v>0</v>
      </c>
      <c r="Q13" s="338"/>
      <c r="R13" s="356"/>
      <c r="S13" s="339"/>
      <c r="T13" s="339"/>
      <c r="U13" s="336"/>
      <c r="V13" s="337"/>
      <c r="W13" s="338"/>
      <c r="X13" s="356"/>
      <c r="Y13" s="339"/>
      <c r="Z13" s="339"/>
      <c r="AA13" s="336"/>
      <c r="AB13" s="337"/>
      <c r="AC13" s="338"/>
      <c r="AD13" s="356"/>
      <c r="AE13" s="339"/>
      <c r="AF13" s="339"/>
      <c r="AG13" s="336"/>
      <c r="AH13" s="337"/>
      <c r="AI13" s="340"/>
      <c r="AJ13" s="340"/>
      <c r="AK13" s="340"/>
      <c r="AL13" s="341"/>
    </row>
    <row r="14" spans="1:38" ht="26.1" customHeight="1" thickBot="1" x14ac:dyDescent="0.55000000000000004">
      <c r="B14" s="346" t="s">
        <v>206</v>
      </c>
      <c r="C14" s="366" t="s">
        <v>8</v>
      </c>
      <c r="D14" s="367">
        <f>J12</f>
        <v>0</v>
      </c>
      <c r="I14" s="364" t="s">
        <v>207</v>
      </c>
      <c r="J14" s="368">
        <f>AK15</f>
        <v>1.3848</v>
      </c>
      <c r="K14" s="369"/>
      <c r="L14" s="370"/>
      <c r="M14" s="371">
        <f>MAX(M3:M13)</f>
        <v>0.5</v>
      </c>
      <c r="N14" s="371">
        <f>MAX(N3:N13)</f>
        <v>1</v>
      </c>
      <c r="O14" s="370">
        <f>MAX(O3:O13)</f>
        <v>1.3090999999999999</v>
      </c>
      <c r="P14" s="370">
        <f>MAX(P3:P13)</f>
        <v>1.367</v>
      </c>
      <c r="Q14" s="369"/>
      <c r="R14" s="370"/>
      <c r="S14" s="369">
        <f>MAX(S3:S13)</f>
        <v>0</v>
      </c>
      <c r="T14" s="369">
        <f>MAX(T3:T13)</f>
        <v>5</v>
      </c>
      <c r="U14" s="370">
        <f>MAX(U3:U13)</f>
        <v>1.3848</v>
      </c>
      <c r="V14" s="370">
        <f>MAX(V3:V13)</f>
        <v>1.3848</v>
      </c>
      <c r="W14" s="369"/>
      <c r="X14" s="370"/>
      <c r="Y14" s="369">
        <f>MAX(Y3:Y13)</f>
        <v>0</v>
      </c>
      <c r="Z14" s="369">
        <f>MAX(Z3:Z13)</f>
        <v>5</v>
      </c>
      <c r="AA14" s="370">
        <f>MAX(AA3:AA13)</f>
        <v>1.2799</v>
      </c>
      <c r="AB14" s="370">
        <f>MAX(AB3:AB13)</f>
        <v>1.2799</v>
      </c>
      <c r="AC14" s="369"/>
      <c r="AD14" s="370"/>
      <c r="AE14" s="369">
        <f>MAX(AE3:AE13)</f>
        <v>0</v>
      </c>
      <c r="AF14" s="369">
        <f>MAX(AF3:AF13)</f>
        <v>5</v>
      </c>
      <c r="AG14" s="370">
        <f>MAX(AG3:AG13)</f>
        <v>1.3589</v>
      </c>
      <c r="AH14" s="370">
        <f>MAX(AH3:AH13)</f>
        <v>1.3589</v>
      </c>
      <c r="AI14" s="340"/>
      <c r="AJ14" s="340"/>
      <c r="AK14" s="340"/>
      <c r="AL14" s="341"/>
    </row>
    <row r="15" spans="1:38" ht="26.1" customHeight="1" thickBot="1" x14ac:dyDescent="0.55000000000000004">
      <c r="B15" s="346" t="s">
        <v>208</v>
      </c>
      <c r="C15" s="366" t="s">
        <v>8</v>
      </c>
      <c r="D15" s="367">
        <f>J13</f>
        <v>5000000</v>
      </c>
      <c r="I15" s="364" t="s">
        <v>209</v>
      </c>
      <c r="J15" s="368">
        <f>AL15</f>
        <v>1.3848</v>
      </c>
      <c r="K15" s="372"/>
      <c r="L15" s="373"/>
      <c r="M15" s="374">
        <f>IF(I5=1,M14,0)</f>
        <v>0</v>
      </c>
      <c r="N15" s="374">
        <f>IF(I5=1,N14,0)</f>
        <v>0</v>
      </c>
      <c r="O15" s="373">
        <f>IF(I5=1,O14,0)</f>
        <v>0</v>
      </c>
      <c r="P15" s="375">
        <f>IF(I5=1,P14,0)</f>
        <v>0</v>
      </c>
      <c r="Q15" s="376"/>
      <c r="R15" s="373"/>
      <c r="S15" s="372">
        <f>IF(I5=2,S14,0)</f>
        <v>0</v>
      </c>
      <c r="T15" s="372">
        <f>IF(I5=2,T14,0)</f>
        <v>5</v>
      </c>
      <c r="U15" s="373">
        <f>IF(I5=2,U14,0)</f>
        <v>1.3848</v>
      </c>
      <c r="V15" s="375">
        <f>IF(I5=2,V14,0)</f>
        <v>1.3848</v>
      </c>
      <c r="W15" s="376"/>
      <c r="X15" s="373"/>
      <c r="Y15" s="372">
        <f>IF(I5=3,Y14,0)</f>
        <v>0</v>
      </c>
      <c r="Z15" s="372">
        <f>IF(I5=3,Z14,0)</f>
        <v>0</v>
      </c>
      <c r="AA15" s="373">
        <f>IF(I5=3,AA14,0)</f>
        <v>0</v>
      </c>
      <c r="AB15" s="375">
        <f>IF(I5=3,AB14,0)</f>
        <v>0</v>
      </c>
      <c r="AC15" s="376"/>
      <c r="AD15" s="373"/>
      <c r="AE15" s="372">
        <f>IF(I5=4,AE14,0)</f>
        <v>0</v>
      </c>
      <c r="AF15" s="372">
        <f>IF(I5=4,AF14,0)</f>
        <v>0</v>
      </c>
      <c r="AG15" s="373">
        <f>IF(I5=4,AG14,0)</f>
        <v>0</v>
      </c>
      <c r="AH15" s="375">
        <f>IF(I5=4,AH14,0)</f>
        <v>0</v>
      </c>
      <c r="AI15" s="377">
        <f>(AE15+Y15+S15+M15)*1000000</f>
        <v>0</v>
      </c>
      <c r="AJ15" s="377">
        <f>(AF15+Z15+T15+N15)*1000000</f>
        <v>5000000</v>
      </c>
      <c r="AK15" s="373">
        <f>AG15+AA15+U15+O15</f>
        <v>1.3848</v>
      </c>
      <c r="AL15" s="375">
        <f>AH15+AB15+V15+P15</f>
        <v>1.3848</v>
      </c>
    </row>
    <row r="16" spans="1:38" ht="26.1" customHeight="1" thickBot="1" x14ac:dyDescent="0.55000000000000004">
      <c r="B16" s="346" t="s">
        <v>210</v>
      </c>
      <c r="C16" s="366" t="s">
        <v>8</v>
      </c>
      <c r="D16" s="378">
        <f>J14</f>
        <v>1.3848</v>
      </c>
      <c r="I16" s="379" t="s">
        <v>2</v>
      </c>
      <c r="J16" s="380">
        <f>ROUNDDOWN(J14-((J14-J15)*(J5-J12)/(J13-J12)),4)</f>
        <v>1.3848</v>
      </c>
      <c r="K16" s="381"/>
      <c r="L16" s="382"/>
      <c r="M16" s="382"/>
      <c r="N16" s="382"/>
      <c r="O16" s="382"/>
      <c r="P16" s="382"/>
      <c r="Q16" s="381"/>
      <c r="R16" s="382"/>
      <c r="S16" s="381"/>
      <c r="T16" s="381"/>
      <c r="U16" s="382"/>
      <c r="V16" s="382"/>
      <c r="W16" s="381"/>
      <c r="X16" s="382"/>
      <c r="Y16" s="381"/>
      <c r="Z16" s="381"/>
      <c r="AA16" s="382"/>
      <c r="AB16" s="382"/>
      <c r="AC16" s="381"/>
      <c r="AD16" s="382"/>
      <c r="AE16" s="381"/>
      <c r="AF16" s="381"/>
      <c r="AG16" s="382"/>
      <c r="AH16" s="382"/>
      <c r="AI16" s="382"/>
      <c r="AJ16" s="382"/>
      <c r="AK16" s="382"/>
      <c r="AL16" s="383"/>
    </row>
    <row r="17" spans="1:38" ht="26.1" customHeight="1" x14ac:dyDescent="0.5">
      <c r="B17" s="346" t="s">
        <v>211</v>
      </c>
      <c r="C17" s="366" t="s">
        <v>8</v>
      </c>
      <c r="D17" s="378">
        <f>J15</f>
        <v>1.3848</v>
      </c>
      <c r="I17" s="206"/>
      <c r="K17" s="384"/>
      <c r="Q17" s="384"/>
      <c r="S17" s="384"/>
      <c r="T17" s="384"/>
      <c r="W17" s="384"/>
      <c r="Y17" s="384"/>
      <c r="Z17" s="384"/>
      <c r="AC17" s="384"/>
      <c r="AE17" s="384"/>
      <c r="AF17" s="384"/>
      <c r="AL17" s="385"/>
    </row>
    <row r="18" spans="1:38" ht="26.1" customHeight="1" x14ac:dyDescent="0.5">
      <c r="A18" s="386" t="s">
        <v>212</v>
      </c>
      <c r="B18" s="387"/>
      <c r="C18" s="387"/>
      <c r="D18" s="387"/>
      <c r="E18" s="387"/>
      <c r="F18" s="387"/>
      <c r="G18" s="387"/>
      <c r="H18" s="387"/>
    </row>
    <row r="19" spans="1:38" ht="26.1" customHeight="1" x14ac:dyDescent="0.5">
      <c r="A19" s="1131" t="str">
        <f>"= "&amp;FIXED(D16,4)&amp;"-{("&amp;FIXED(D16,4)&amp;"-"&amp;FIXED(D17,4)&amp;")x("&amp;FIXED(D13,2)&amp;"-"&amp;FIXED(D14,2)&amp;")/("&amp;FIXED(D15,2)&amp;"-"&amp;FIXED(D14,2)&amp;")}"</f>
        <v>= 1.3848-{(1.3848-1.3848)x(616,495.84-0.00)/(5,000,000.00-0.00)}</v>
      </c>
      <c r="B19" s="1131"/>
      <c r="C19" s="1131"/>
      <c r="D19" s="1131"/>
      <c r="E19" s="1131"/>
      <c r="F19" s="1131"/>
      <c r="G19" s="1131"/>
      <c r="H19" s="387"/>
      <c r="K19" s="388"/>
      <c r="Q19" s="388"/>
      <c r="S19" s="388"/>
      <c r="T19" s="388"/>
      <c r="W19" s="388"/>
      <c r="Y19" s="388"/>
      <c r="Z19" s="388"/>
      <c r="AC19" s="388"/>
      <c r="AE19" s="388"/>
      <c r="AF19" s="388"/>
    </row>
    <row r="20" spans="1:38" ht="26.1" customHeight="1" thickBot="1" x14ac:dyDescent="0.55000000000000004">
      <c r="B20" s="389" t="s">
        <v>213</v>
      </c>
      <c r="C20" s="389" t="s">
        <v>8</v>
      </c>
      <c r="D20" s="390">
        <f>ROUNDDOWN(D16-((D16-D17)*(D13-D14)/(D15-D14)),4)</f>
        <v>1.3848</v>
      </c>
      <c r="K20" s="388"/>
      <c r="Q20" s="388"/>
      <c r="S20" s="388"/>
      <c r="T20" s="388"/>
      <c r="W20" s="388"/>
      <c r="Y20" s="388"/>
      <c r="Z20" s="388"/>
      <c r="AC20" s="388"/>
      <c r="AE20" s="388"/>
      <c r="AF20" s="388"/>
    </row>
    <row r="21" spans="1:38" ht="26.1" customHeight="1" thickTop="1" x14ac:dyDescent="0.5"/>
    <row r="27" spans="1:38" ht="26.1" customHeight="1" x14ac:dyDescent="0.5">
      <c r="K27" s="388"/>
      <c r="Q27" s="388"/>
      <c r="S27" s="388"/>
      <c r="T27" s="388"/>
      <c r="W27" s="388"/>
      <c r="Y27" s="388"/>
      <c r="Z27" s="388"/>
      <c r="AC27" s="388"/>
      <c r="AE27" s="388"/>
      <c r="AF27" s="388"/>
    </row>
    <row r="28" spans="1:38" ht="26.1" customHeight="1" x14ac:dyDescent="0.5">
      <c r="K28" s="388"/>
      <c r="Q28" s="388"/>
      <c r="S28" s="388"/>
      <c r="T28" s="388"/>
      <c r="W28" s="388"/>
      <c r="Y28" s="388"/>
      <c r="Z28" s="388"/>
      <c r="AC28" s="388"/>
      <c r="AE28" s="388"/>
      <c r="AF28" s="388"/>
    </row>
    <row r="29" spans="1:38" ht="26.1" customHeight="1" x14ac:dyDescent="0.5">
      <c r="I29" s="391"/>
      <c r="J29" s="392"/>
      <c r="K29" s="393"/>
      <c r="L29" s="394"/>
      <c r="M29" s="394"/>
      <c r="N29" s="394"/>
      <c r="O29" s="394"/>
      <c r="P29" s="394"/>
      <c r="Q29" s="393"/>
      <c r="R29" s="394"/>
      <c r="S29" s="393"/>
      <c r="T29" s="393"/>
      <c r="U29" s="394"/>
      <c r="V29" s="394"/>
      <c r="W29" s="393"/>
      <c r="X29" s="394"/>
      <c r="Y29" s="393"/>
      <c r="Z29" s="393"/>
      <c r="AA29" s="394"/>
      <c r="AB29" s="394"/>
      <c r="AC29" s="393"/>
      <c r="AD29" s="394"/>
      <c r="AE29" s="393"/>
      <c r="AF29" s="393"/>
      <c r="AG29" s="394"/>
      <c r="AH29" s="394"/>
      <c r="AI29" s="394"/>
      <c r="AJ29" s="394"/>
      <c r="AK29" s="394"/>
      <c r="AL29" s="394"/>
    </row>
    <row r="30" spans="1:38" ht="26.1" customHeight="1" x14ac:dyDescent="0.5">
      <c r="I30" s="391"/>
      <c r="J30" s="392"/>
      <c r="K30" s="393"/>
      <c r="L30" s="394"/>
      <c r="M30" s="394"/>
      <c r="N30" s="394"/>
      <c r="O30" s="394"/>
      <c r="P30" s="394"/>
      <c r="Q30" s="393"/>
      <c r="R30" s="394"/>
      <c r="S30" s="393"/>
      <c r="T30" s="393"/>
      <c r="U30" s="394"/>
      <c r="V30" s="394"/>
      <c r="W30" s="393"/>
      <c r="X30" s="394"/>
      <c r="Y30" s="393"/>
      <c r="Z30" s="393"/>
      <c r="AA30" s="394"/>
      <c r="AB30" s="394"/>
      <c r="AC30" s="393"/>
      <c r="AD30" s="394"/>
      <c r="AE30" s="393"/>
      <c r="AF30" s="393"/>
      <c r="AG30" s="394"/>
      <c r="AH30" s="394"/>
      <c r="AI30" s="394"/>
      <c r="AJ30" s="394"/>
      <c r="AK30" s="394"/>
      <c r="AL30" s="394"/>
    </row>
    <row r="31" spans="1:38" ht="26.1" customHeight="1" thickBot="1" x14ac:dyDescent="0.55000000000000004">
      <c r="A31" s="395"/>
      <c r="B31" s="395"/>
      <c r="C31" s="395"/>
      <c r="D31" s="395"/>
      <c r="E31" s="395"/>
      <c r="F31" s="395"/>
      <c r="G31" s="395"/>
      <c r="I31" s="391"/>
      <c r="J31" s="392"/>
      <c r="K31" s="393"/>
      <c r="L31" s="394"/>
      <c r="M31" s="394"/>
      <c r="N31" s="394"/>
      <c r="O31" s="394"/>
      <c r="P31" s="394"/>
      <c r="Q31" s="393"/>
      <c r="R31" s="394"/>
      <c r="S31" s="393"/>
      <c r="T31" s="393"/>
      <c r="U31" s="394"/>
      <c r="V31" s="394"/>
      <c r="W31" s="393"/>
      <c r="X31" s="394"/>
      <c r="Y31" s="393"/>
      <c r="Z31" s="393"/>
      <c r="AA31" s="394"/>
      <c r="AB31" s="394"/>
      <c r="AC31" s="393"/>
      <c r="AD31" s="394"/>
      <c r="AE31" s="393"/>
      <c r="AF31" s="393"/>
      <c r="AG31" s="394"/>
      <c r="AH31" s="394"/>
      <c r="AI31" s="394"/>
      <c r="AJ31" s="394"/>
      <c r="AK31" s="394"/>
      <c r="AL31" s="394"/>
    </row>
    <row r="32" spans="1:38" ht="26.1" customHeight="1" thickTop="1" x14ac:dyDescent="0.5"/>
    <row r="83" spans="11:32" ht="26.1" customHeight="1" x14ac:dyDescent="0.5">
      <c r="K83" s="388"/>
      <c r="Q83" s="388"/>
      <c r="S83" s="388"/>
      <c r="T83" s="388"/>
      <c r="W83" s="388"/>
      <c r="Y83" s="388"/>
      <c r="Z83" s="388"/>
      <c r="AC83" s="388"/>
      <c r="AE83" s="388"/>
      <c r="AF83" s="388"/>
    </row>
    <row r="84" spans="11:32" ht="26.1" customHeight="1" x14ac:dyDescent="0.5">
      <c r="K84" s="388"/>
      <c r="Q84" s="388"/>
      <c r="S84" s="388"/>
      <c r="T84" s="388"/>
      <c r="W84" s="388"/>
      <c r="Y84" s="388"/>
      <c r="Z84" s="388"/>
      <c r="AC84" s="388"/>
      <c r="AE84" s="388"/>
      <c r="AF84" s="388"/>
    </row>
  </sheetData>
  <mergeCells count="11">
    <mergeCell ref="A1:G1"/>
    <mergeCell ref="A2:G2"/>
    <mergeCell ref="I2:J2"/>
    <mergeCell ref="K2:P2"/>
    <mergeCell ref="Q2:V2"/>
    <mergeCell ref="AC2:AH2"/>
    <mergeCell ref="A3:G3"/>
    <mergeCell ref="A5:G5"/>
    <mergeCell ref="A19:G19"/>
    <mergeCell ref="A4:G4"/>
    <mergeCell ref="W2:AB2"/>
  </mergeCells>
  <printOptions horizontalCentered="1"/>
  <pageMargins left="0.42" right="0.4" top="0.75" bottom="0.75" header="0.3" footer="0.3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13</vt:i4>
      </vt:variant>
    </vt:vector>
  </HeadingPairs>
  <TitlesOfParts>
    <vt:vector size="25" baseType="lpstr">
      <vt:lpstr>S2</vt:lpstr>
      <vt:lpstr>S3</vt:lpstr>
      <vt:lpstr>ใบแจ้งปริมาณงานและราคา</vt:lpstr>
      <vt:lpstr>กรอกข้อมูล</vt:lpstr>
      <vt:lpstr>ปร.5</vt:lpstr>
      <vt:lpstr>ปร.งานทาง</vt:lpstr>
      <vt:lpstr>ราคาต้นทุน</vt:lpstr>
      <vt:lpstr>ราคาวัสดุ</vt:lpstr>
      <vt:lpstr>F</vt:lpstr>
      <vt:lpstr>ค่าหิน</vt:lpstr>
      <vt:lpstr>คำนวนขนส่งหิน</vt:lpstr>
      <vt:lpstr>คำนวนขนส่งยางอีกทอด</vt:lpstr>
      <vt:lpstr>F!Print_Area</vt:lpstr>
      <vt:lpstr>'S2'!Print_Area</vt:lpstr>
      <vt:lpstr>ค่าหิน!Print_Area</vt:lpstr>
      <vt:lpstr>คำนวนขนส่งยางอีกทอด!Print_Area</vt:lpstr>
      <vt:lpstr>คำนวนขนส่งหิน!Print_Area</vt:lpstr>
      <vt:lpstr>ใบแจ้งปริมาณงานและราคา!Print_Area</vt:lpstr>
      <vt:lpstr>ปร.5!Print_Area</vt:lpstr>
      <vt:lpstr>ปร.งานทาง!Print_Area</vt:lpstr>
      <vt:lpstr>ราคาต้นทุน!Print_Area</vt:lpstr>
      <vt:lpstr>ราคาวัสดุ!Print_Area</vt:lpstr>
      <vt:lpstr>ปร.งานทาง!Print_Titles</vt:lpstr>
      <vt:lpstr>ราคาต้นทุน!Print_Titles</vt:lpstr>
      <vt:lpstr>ราคาวัสดุ!Print_Titles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User</cp:lastModifiedBy>
  <cp:lastPrinted>2025-06-13T03:33:29Z</cp:lastPrinted>
  <dcterms:created xsi:type="dcterms:W3CDTF">1999-01-11T08:20:28Z</dcterms:created>
  <dcterms:modified xsi:type="dcterms:W3CDTF">2025-06-18T09:30:44Z</dcterms:modified>
</cp:coreProperties>
</file>