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งานเก็บ\งานประจำปีงบประมาณ 2567\ปรับปรุงถนนลาดยาง ม.1,2,3,5 ดอนพุด\"/>
    </mc:Choice>
  </mc:AlternateContent>
  <xr:revisionPtr revIDLastSave="0" documentId="8_{AC380FCD-5DB6-4014-B9B1-70470EB0CD37}" xr6:coauthVersionLast="43" xr6:coauthVersionMax="43" xr10:uidLastSave="{00000000-0000-0000-0000-000000000000}"/>
  <bookViews>
    <workbookView xWindow="-120" yWindow="-120" windowWidth="20730" windowHeight="11310" tabRatio="772" firstSheet="1" activeTab="2" xr2:uid="{00000000-000D-0000-FFFF-FFFF00000000}"/>
  </bookViews>
  <sheets>
    <sheet name="ปก" sheetId="39" state="hidden" r:id="rId1"/>
    <sheet name="Data" sheetId="34" r:id="rId2"/>
    <sheet name="ปร.5 (2)" sheetId="36" r:id="rId3"/>
    <sheet name="ปร.4 (2)" sheetId="35" r:id="rId4"/>
    <sheet name="F 7% ทาง(โม)" sheetId="50" r:id="rId5"/>
    <sheet name="S3" sheetId="14" r:id="rId6"/>
    <sheet name="ปร.4" sheetId="12" state="hidden" r:id="rId7"/>
    <sheet name="ปร.5" sheetId="32" state="hidden" r:id="rId8"/>
  </sheets>
  <externalReferences>
    <externalReference r:id="rId9"/>
  </externalReferences>
  <definedNames>
    <definedName name="__yp2">#REF!</definedName>
    <definedName name="_ml2" localSheetId="4">#REF!</definedName>
    <definedName name="_ml2">#REF!</definedName>
    <definedName name="_ML3" localSheetId="4">#REF!</definedName>
    <definedName name="_ML3">#REF!</definedName>
    <definedName name="_ML4" localSheetId="4">#N/A</definedName>
    <definedName name="_ML4">#N/A</definedName>
    <definedName name="_ml5" localSheetId="4">#N/A</definedName>
    <definedName name="_ml5">#N/A</definedName>
    <definedName name="_mla3" localSheetId="4">#N/A</definedName>
    <definedName name="_mla3">#N/A</definedName>
    <definedName name="_sp2" localSheetId="4">#REF!</definedName>
    <definedName name="_sp2">#REF!</definedName>
    <definedName name="_SP3" localSheetId="4">#REF!</definedName>
    <definedName name="_SP3">#REF!</definedName>
    <definedName name="_SP4" localSheetId="4">#N/A</definedName>
    <definedName name="_SP4">#N/A</definedName>
    <definedName name="_sp5" localSheetId="4">#N/A</definedName>
    <definedName name="_sp5">#N/A</definedName>
    <definedName name="_spa3" localSheetId="4">#N/A</definedName>
    <definedName name="_spa3">#N/A</definedName>
    <definedName name="_tc2" localSheetId="4">#REF!</definedName>
    <definedName name="_tc2">#REF!</definedName>
    <definedName name="_TC3" localSheetId="4">#REF!</definedName>
    <definedName name="_TC3">#REF!</definedName>
    <definedName name="_TC4" localSheetId="4">#N/A</definedName>
    <definedName name="_TC4">#N/A</definedName>
    <definedName name="_tc5" localSheetId="4">#N/A</definedName>
    <definedName name="_tc5">#N/A</definedName>
    <definedName name="_tca3" localSheetId="4">#N/A</definedName>
    <definedName name="_tca3">#N/A</definedName>
    <definedName name="_yp1" localSheetId="4">#REF!</definedName>
    <definedName name="_yp1">#REF!</definedName>
    <definedName name="_yp2" localSheetId="4">#REF!</definedName>
    <definedName name="_yp2">#REF!</definedName>
    <definedName name="av2.sp" localSheetId="4">#REF!</definedName>
    <definedName name="av2.sp">#REF!</definedName>
    <definedName name="AV3.SP" localSheetId="4">#REF!</definedName>
    <definedName name="AV3.SP">#REF!</definedName>
    <definedName name="av3.spa" localSheetId="4">#N/A</definedName>
    <definedName name="av3.spa">#N/A</definedName>
    <definedName name="AV4.SP" localSheetId="4">#N/A</definedName>
    <definedName name="AV4.SP">#N/A</definedName>
    <definedName name="av5.sp" localSheetId="4">#N/A</definedName>
    <definedName name="av5.sp">#N/A</definedName>
    <definedName name="D">#N/A</definedName>
    <definedName name="d_1" localSheetId="4">#REF!</definedName>
    <definedName name="d_1">#REF!</definedName>
    <definedName name="d_2" localSheetId="4">#REF!</definedName>
    <definedName name="d_2">#REF!</definedName>
    <definedName name="Data">#N/A</definedName>
    <definedName name="hour2" localSheetId="4">#REF!</definedName>
    <definedName name="hour2">#REF!</definedName>
    <definedName name="HOUR3" localSheetId="4">#REF!</definedName>
    <definedName name="HOUR3">#REF!</definedName>
    <definedName name="HOUR4" localSheetId="4">#N/A</definedName>
    <definedName name="HOUR4">#N/A</definedName>
    <definedName name="hour5" localSheetId="4">#N/A</definedName>
    <definedName name="hour5">#N/A</definedName>
    <definedName name="HOUR6" localSheetId="4">#REF!</definedName>
    <definedName name="HOUR6">#REF!</definedName>
    <definedName name="houra3" localSheetId="4">#N/A</definedName>
    <definedName name="houra3">#N/A</definedName>
    <definedName name="l">#N/A</definedName>
    <definedName name="oil">#N/A</definedName>
    <definedName name="P">#N/A</definedName>
    <definedName name="p_1" localSheetId="4">#REF!</definedName>
    <definedName name="p_1">#REF!</definedName>
    <definedName name="p_2" localSheetId="4">#REF!</definedName>
    <definedName name="p_2">#REF!</definedName>
    <definedName name="_xlnm.Print_Area" localSheetId="3">'ปร.4 (2)'!$A$1:$M$34</definedName>
    <definedName name="_xlnm.Print_Area" localSheetId="2">'ปร.5 (2)'!$A$3:$G$36</definedName>
    <definedName name="_xlnm.Print_Titles" localSheetId="3">'ปร.4 (2)'!$1:$9</definedName>
    <definedName name="rc_2" localSheetId="4">#REF!</definedName>
    <definedName name="rc_2">#REF!</definedName>
    <definedName name="RC_3" localSheetId="4">#REF!</definedName>
    <definedName name="RC_3">#REF!</definedName>
    <definedName name="RC_4" localSheetId="4">#N/A</definedName>
    <definedName name="RC_4">#N/A</definedName>
    <definedName name="rc_5" localSheetId="4">#N/A</definedName>
    <definedName name="rc_5">#N/A</definedName>
    <definedName name="rc_a3" localSheetId="4">#N/A</definedName>
    <definedName name="rc_a3">#N/A</definedName>
    <definedName name="time2" localSheetId="4">#REF!</definedName>
    <definedName name="time2">#REF!</definedName>
    <definedName name="TIME3" localSheetId="4">#REF!</definedName>
    <definedName name="TIME3">#REF!</definedName>
    <definedName name="TIME4" localSheetId="4">#N/A</definedName>
    <definedName name="TIME4">#N/A</definedName>
    <definedName name="time5" localSheetId="4">#N/A</definedName>
    <definedName name="time5">#N/A</definedName>
    <definedName name="TIME6" localSheetId="4">#REF!</definedName>
    <definedName name="TIME6">#REF!</definedName>
    <definedName name="timea3" localSheetId="4">#N/A</definedName>
    <definedName name="timea3">#N/A</definedName>
    <definedName name="x_1" localSheetId="4">#REF!</definedName>
    <definedName name="x_1">#REF!</definedName>
    <definedName name="x_2" localSheetId="4">#REF!</definedName>
    <definedName name="x_2">#REF!</definedName>
    <definedName name="Xc_1" localSheetId="4">#REF!</definedName>
    <definedName name="Xc_1">#REF!</definedName>
    <definedName name="Xc_2" localSheetId="4">#REF!</definedName>
    <definedName name="Xc_2">#REF!</definedName>
    <definedName name="xs_1" localSheetId="4">#REF!</definedName>
    <definedName name="xs_1">#REF!</definedName>
    <definedName name="xs_2" localSheetId="4">#REF!</definedName>
    <definedName name="xs_2">#REF!</definedName>
    <definedName name="y_1" localSheetId="4">#REF!</definedName>
    <definedName name="y_1">#REF!</definedName>
    <definedName name="y_2" localSheetId="4">#REF!</definedName>
    <definedName name="y_2">#REF!</definedName>
    <definedName name="Yc_1" localSheetId="4">#REF!</definedName>
    <definedName name="Yc_1">#REF!</definedName>
    <definedName name="yc_2" localSheetId="4">#REF!</definedName>
    <definedName name="yc_2">#REF!</definedName>
    <definedName name="ys_1" localSheetId="4">#REF!</definedName>
    <definedName name="ys_1">#REF!</definedName>
    <definedName name="ys_2" localSheetId="4">#REF!</definedName>
    <definedName name="ys_2">#REF!</definedName>
    <definedName name="ส3_1" localSheetId="4">#REF!</definedName>
    <definedName name="ส3_1">#REF!</definedName>
    <definedName name="ส3_2" localSheetId="4">#REF!</definedName>
    <definedName name="ส3_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" i="36" l="1"/>
  <c r="C2" i="34" l="1"/>
  <c r="G22" i="35"/>
  <c r="A4" i="35" l="1"/>
  <c r="I12" i="36"/>
  <c r="Q7" i="35"/>
  <c r="G10" i="36"/>
  <c r="F10" i="36"/>
  <c r="A28" i="35" l="1"/>
  <c r="A32" i="35" s="1"/>
  <c r="A24" i="35"/>
  <c r="Q10" i="35"/>
  <c r="Q12" i="35"/>
  <c r="G16" i="35" s="1"/>
  <c r="R17" i="35"/>
  <c r="S17" i="35" s="1"/>
  <c r="G18" i="35" s="1"/>
  <c r="R12" i="35" l="1"/>
  <c r="S12" i="35" s="1"/>
  <c r="G12" i="35" s="1"/>
  <c r="O18" i="35"/>
  <c r="R18" i="35" l="1"/>
  <c r="S18" i="35" s="1"/>
  <c r="G17" i="35" s="1"/>
  <c r="A3" i="35" l="1"/>
  <c r="A2" i="35"/>
  <c r="D8" i="36"/>
  <c r="I27" i="35" l="1"/>
  <c r="I26" i="35"/>
  <c r="I20" i="35" l="1"/>
  <c r="I16" i="35"/>
  <c r="I17" i="35"/>
  <c r="I18" i="35"/>
  <c r="A12" i="35"/>
  <c r="I24" i="35"/>
  <c r="I25" i="35"/>
  <c r="I33" i="35"/>
  <c r="A2" i="39"/>
  <c r="A9" i="36"/>
  <c r="A25" i="35"/>
  <c r="A26" i="35" s="1"/>
  <c r="A27" i="35" s="1"/>
  <c r="A19" i="35"/>
  <c r="I11" i="34"/>
  <c r="A33" i="35"/>
  <c r="A29" i="35"/>
  <c r="A30" i="35" s="1"/>
  <c r="A31" i="35" s="1"/>
  <c r="A15" i="35"/>
  <c r="D6" i="34"/>
  <c r="D5" i="34"/>
  <c r="D4" i="34"/>
  <c r="Q6" i="34"/>
  <c r="Q5" i="34"/>
  <c r="Q4" i="34"/>
  <c r="K6" i="35"/>
  <c r="D15" i="34"/>
  <c r="M6" i="35"/>
  <c r="I11" i="36"/>
  <c r="O8" i="35"/>
  <c r="I30" i="35"/>
  <c r="I31" i="35"/>
  <c r="B6" i="34"/>
  <c r="O5" i="35" s="1"/>
  <c r="L7" i="35"/>
  <c r="M7" i="35"/>
  <c r="K19" i="32"/>
  <c r="A3" i="39"/>
  <c r="A4" i="39"/>
  <c r="Q13" i="12"/>
  <c r="H119" i="12"/>
  <c r="K119" i="12" s="1"/>
  <c r="L119" i="12" s="1"/>
  <c r="H118" i="12"/>
  <c r="I118" i="12" s="1"/>
  <c r="H117" i="12"/>
  <c r="I117" i="12" s="1"/>
  <c r="H116" i="12"/>
  <c r="I116" i="12" s="1"/>
  <c r="H115" i="12"/>
  <c r="I115" i="12" s="1"/>
  <c r="H114" i="12"/>
  <c r="I114" i="12" s="1"/>
  <c r="H113" i="12"/>
  <c r="I113" i="12" s="1"/>
  <c r="H112" i="12"/>
  <c r="I112" i="12" s="1"/>
  <c r="H111" i="12"/>
  <c r="I111" i="12" s="1"/>
  <c r="H110" i="12"/>
  <c r="I110" i="12" s="1"/>
  <c r="H109" i="12"/>
  <c r="I109" i="12"/>
  <c r="H108" i="12"/>
  <c r="I108" i="12" s="1"/>
  <c r="H107" i="12"/>
  <c r="H106" i="12"/>
  <c r="H105" i="12"/>
  <c r="I105" i="12" s="1"/>
  <c r="H104" i="12"/>
  <c r="H103" i="12"/>
  <c r="I103" i="12" s="1"/>
  <c r="H88" i="12"/>
  <c r="I88" i="12"/>
  <c r="H87" i="12"/>
  <c r="I87" i="12" s="1"/>
  <c r="H86" i="12"/>
  <c r="I86" i="12" s="1"/>
  <c r="H85" i="12"/>
  <c r="I85" i="12" s="1"/>
  <c r="H84" i="12"/>
  <c r="I84" i="12" s="1"/>
  <c r="H83" i="12"/>
  <c r="H82" i="12"/>
  <c r="I82" i="12"/>
  <c r="H81" i="12"/>
  <c r="I81" i="12" s="1"/>
  <c r="H80" i="12"/>
  <c r="H79" i="12"/>
  <c r="I79" i="12" s="1"/>
  <c r="H78" i="12"/>
  <c r="I78" i="12" s="1"/>
  <c r="H77" i="12"/>
  <c r="H76" i="12"/>
  <c r="I76" i="12" s="1"/>
  <c r="H75" i="12"/>
  <c r="I75" i="12" s="1"/>
  <c r="H74" i="12"/>
  <c r="I74" i="12"/>
  <c r="H73" i="12"/>
  <c r="I73" i="12" s="1"/>
  <c r="H72" i="12"/>
  <c r="I72" i="12" s="1"/>
  <c r="H71" i="12"/>
  <c r="I71" i="12" s="1"/>
  <c r="H70" i="12"/>
  <c r="I70" i="12" s="1"/>
  <c r="H69" i="12"/>
  <c r="I69" i="12"/>
  <c r="H68" i="12"/>
  <c r="I68" i="12" s="1"/>
  <c r="H67" i="12"/>
  <c r="I67" i="12" s="1"/>
  <c r="H66" i="12"/>
  <c r="I66" i="12" s="1"/>
  <c r="H65" i="12"/>
  <c r="I65" i="12" s="1"/>
  <c r="H64" i="12"/>
  <c r="I64" i="12" s="1"/>
  <c r="H63" i="12"/>
  <c r="I63" i="12" s="1"/>
  <c r="H62" i="12"/>
  <c r="H33" i="12"/>
  <c r="K33" i="12" s="1"/>
  <c r="L33" i="12" s="1"/>
  <c r="F33" i="12"/>
  <c r="F119" i="12"/>
  <c r="G119" i="12"/>
  <c r="H35" i="12"/>
  <c r="I35" i="12" s="1"/>
  <c r="F11" i="12"/>
  <c r="F87" i="12"/>
  <c r="G87" i="12"/>
  <c r="H34" i="12"/>
  <c r="I34" i="12"/>
  <c r="F34" i="12"/>
  <c r="G33" i="12"/>
  <c r="I3" i="12"/>
  <c r="I99" i="12" s="1"/>
  <c r="J107" i="12"/>
  <c r="J106" i="12"/>
  <c r="J105" i="12"/>
  <c r="J104" i="12"/>
  <c r="K104" i="12" s="1"/>
  <c r="L104" i="12" s="1"/>
  <c r="C136" i="12"/>
  <c r="F20" i="12"/>
  <c r="G20" i="12"/>
  <c r="B31" i="32"/>
  <c r="B30" i="32"/>
  <c r="C28" i="32"/>
  <c r="K136" i="12"/>
  <c r="F10" i="32"/>
  <c r="D24" i="32" s="1"/>
  <c r="I7" i="32"/>
  <c r="D30" i="12"/>
  <c r="D24" i="12"/>
  <c r="F24" i="12" s="1"/>
  <c r="F74" i="12"/>
  <c r="G74" i="12"/>
  <c r="F63" i="12"/>
  <c r="F67" i="12"/>
  <c r="F68" i="12"/>
  <c r="I62" i="12"/>
  <c r="M31" i="12"/>
  <c r="M30" i="12"/>
  <c r="M25" i="12"/>
  <c r="M24" i="12"/>
  <c r="G6" i="32"/>
  <c r="I2" i="12"/>
  <c r="I98" i="12" s="1"/>
  <c r="I50" i="12"/>
  <c r="F7" i="12"/>
  <c r="G7" i="12"/>
  <c r="F8" i="12"/>
  <c r="G8" i="12"/>
  <c r="F9" i="12"/>
  <c r="G9" i="12"/>
  <c r="F10" i="12"/>
  <c r="G10" i="12"/>
  <c r="F17" i="12"/>
  <c r="G17" i="12"/>
  <c r="F18" i="12"/>
  <c r="G18" i="12"/>
  <c r="D25" i="12"/>
  <c r="G25" i="12" s="1"/>
  <c r="D31" i="12"/>
  <c r="G31" i="12" s="1"/>
  <c r="G34" i="12"/>
  <c r="F35" i="12"/>
  <c r="G35" i="12"/>
  <c r="F57" i="12"/>
  <c r="H57" i="12" s="1"/>
  <c r="I57" i="12" s="1"/>
  <c r="G57" i="12"/>
  <c r="F58" i="12"/>
  <c r="G58" i="12"/>
  <c r="F59" i="12"/>
  <c r="G59" i="12"/>
  <c r="H59" i="12"/>
  <c r="I59" i="12"/>
  <c r="F60" i="12"/>
  <c r="G60" i="12"/>
  <c r="H60" i="12"/>
  <c r="I60" i="12" s="1"/>
  <c r="F62" i="12"/>
  <c r="G62" i="12"/>
  <c r="G63" i="12"/>
  <c r="F64" i="12"/>
  <c r="G64" i="12"/>
  <c r="F65" i="12"/>
  <c r="G65" i="12"/>
  <c r="F66" i="12"/>
  <c r="G66" i="12"/>
  <c r="F77" i="12"/>
  <c r="G77" i="12"/>
  <c r="I77" i="12"/>
  <c r="G67" i="12"/>
  <c r="G68" i="12"/>
  <c r="F69" i="12"/>
  <c r="G69" i="12"/>
  <c r="F70" i="12"/>
  <c r="G70" i="12"/>
  <c r="F71" i="12"/>
  <c r="G71" i="12"/>
  <c r="F72" i="12"/>
  <c r="G72" i="12"/>
  <c r="F75" i="12"/>
  <c r="G75" i="12"/>
  <c r="F76" i="12"/>
  <c r="G76" i="12"/>
  <c r="F73" i="12"/>
  <c r="G73" i="12"/>
  <c r="F78" i="12"/>
  <c r="G78" i="12"/>
  <c r="F79" i="12"/>
  <c r="G79" i="12"/>
  <c r="F80" i="12"/>
  <c r="G80" i="12"/>
  <c r="I80" i="12"/>
  <c r="F81" i="12"/>
  <c r="G81" i="12"/>
  <c r="F82" i="12"/>
  <c r="G82" i="12"/>
  <c r="F83" i="12"/>
  <c r="G83" i="12"/>
  <c r="I83" i="12"/>
  <c r="F84" i="12"/>
  <c r="G84" i="12"/>
  <c r="F85" i="12"/>
  <c r="G85" i="12"/>
  <c r="F86" i="12"/>
  <c r="G86" i="12"/>
  <c r="F88" i="12"/>
  <c r="G88" i="12"/>
  <c r="F103" i="12"/>
  <c r="G103" i="12"/>
  <c r="F104" i="12"/>
  <c r="G104" i="12"/>
  <c r="F105" i="12"/>
  <c r="G105" i="12"/>
  <c r="F106" i="12"/>
  <c r="G106" i="12"/>
  <c r="F107" i="12"/>
  <c r="G107" i="12"/>
  <c r="F108" i="12"/>
  <c r="G108" i="12"/>
  <c r="F109" i="12"/>
  <c r="G109" i="12"/>
  <c r="F110" i="12"/>
  <c r="G110" i="12"/>
  <c r="F111" i="12"/>
  <c r="G111" i="12"/>
  <c r="F112" i="12"/>
  <c r="G112" i="12"/>
  <c r="F113" i="12"/>
  <c r="G113" i="12"/>
  <c r="F114" i="12"/>
  <c r="G114" i="12"/>
  <c r="F115" i="12"/>
  <c r="G115" i="12"/>
  <c r="F116" i="12"/>
  <c r="G116" i="12"/>
  <c r="F117" i="12"/>
  <c r="G117" i="12"/>
  <c r="F118" i="12"/>
  <c r="G118" i="12"/>
  <c r="A2" i="32"/>
  <c r="I3" i="32"/>
  <c r="C4" i="32"/>
  <c r="C5" i="32"/>
  <c r="L16" i="32"/>
  <c r="L17" i="32"/>
  <c r="L18" i="32"/>
  <c r="I106" i="12"/>
  <c r="I104" i="12"/>
  <c r="F27" i="12"/>
  <c r="F21" i="12"/>
  <c r="F22" i="12"/>
  <c r="F28" i="12"/>
  <c r="H17" i="12"/>
  <c r="K17" i="12" s="1"/>
  <c r="L17" i="12" s="1"/>
  <c r="P22" i="32"/>
  <c r="I107" i="12"/>
  <c r="C6" i="32"/>
  <c r="C7" i="35"/>
  <c r="B7" i="36"/>
  <c r="I51" i="12" l="1"/>
  <c r="F25" i="12"/>
  <c r="H25" i="12" s="1"/>
  <c r="I33" i="12"/>
  <c r="F31" i="12"/>
  <c r="H31" i="12" s="1"/>
  <c r="I29" i="35"/>
  <c r="I119" i="12"/>
  <c r="G24" i="12"/>
  <c r="K106" i="12"/>
  <c r="L106" i="12" s="1"/>
  <c r="A1" i="39"/>
  <c r="I12" i="35"/>
  <c r="C2" i="12"/>
  <c r="H58" i="12"/>
  <c r="I58" i="12" s="1"/>
  <c r="G30" i="12"/>
  <c r="F30" i="12"/>
  <c r="H24" i="12"/>
  <c r="K107" i="12"/>
  <c r="L107" i="12" s="1"/>
  <c r="K105" i="12"/>
  <c r="L105" i="12" s="1"/>
  <c r="D19" i="12"/>
  <c r="F19" i="12" s="1"/>
  <c r="D16" i="12"/>
  <c r="F13" i="12"/>
  <c r="G12" i="12"/>
  <c r="H10" i="12"/>
  <c r="G11" i="12"/>
  <c r="H11" i="12" s="1"/>
  <c r="I17" i="12"/>
  <c r="K31" i="12" l="1"/>
  <c r="L31" i="12" s="1"/>
  <c r="I31" i="12"/>
  <c r="I25" i="12"/>
  <c r="K25" i="12"/>
  <c r="L25" i="12" s="1"/>
  <c r="H30" i="12"/>
  <c r="I30" i="12" s="1"/>
  <c r="C98" i="12"/>
  <c r="C50" i="12"/>
  <c r="K24" i="12"/>
  <c r="L24" i="12" s="1"/>
  <c r="I24" i="12"/>
  <c r="C7" i="32"/>
  <c r="C3" i="12"/>
  <c r="G19" i="12"/>
  <c r="F16" i="12"/>
  <c r="G16" i="12"/>
  <c r="I10" i="12"/>
  <c r="K10" i="12"/>
  <c r="L10" i="12" s="1"/>
  <c r="H7" i="12"/>
  <c r="G27" i="12"/>
  <c r="H27" i="12" s="1"/>
  <c r="G21" i="12"/>
  <c r="H21" i="12" s="1"/>
  <c r="G22" i="12"/>
  <c r="H22" i="12" s="1"/>
  <c r="G28" i="12"/>
  <c r="H28" i="12" s="1"/>
  <c r="K11" i="12"/>
  <c r="L11" i="12" s="1"/>
  <c r="I11" i="12"/>
  <c r="H9" i="12"/>
  <c r="H8" i="12"/>
  <c r="G14" i="12"/>
  <c r="G15" i="12"/>
  <c r="K30" i="12" l="1"/>
  <c r="L30" i="12" s="1"/>
  <c r="C99" i="12"/>
  <c r="C51" i="12"/>
  <c r="I9" i="12"/>
  <c r="K9" i="12"/>
  <c r="L9" i="12" s="1"/>
  <c r="I22" i="12"/>
  <c r="K22" i="12"/>
  <c r="L22" i="12" s="1"/>
  <c r="I7" i="12"/>
  <c r="K7" i="12"/>
  <c r="L7" i="12" s="1"/>
  <c r="G13" i="12"/>
  <c r="H13" i="12" s="1"/>
  <c r="I21" i="12"/>
  <c r="K21" i="12"/>
  <c r="L21" i="12" s="1"/>
  <c r="K8" i="12"/>
  <c r="L8" i="12" s="1"/>
  <c r="I8" i="12"/>
  <c r="K28" i="12"/>
  <c r="L28" i="12" s="1"/>
  <c r="I28" i="12"/>
  <c r="I27" i="12"/>
  <c r="K27" i="12"/>
  <c r="L27" i="12" s="1"/>
  <c r="F14" i="12" l="1"/>
  <c r="H14" i="12" s="1"/>
  <c r="H16" i="12"/>
  <c r="F12" i="12"/>
  <c r="H12" i="12" s="1"/>
  <c r="K13" i="12"/>
  <c r="L13" i="12" s="1"/>
  <c r="I13" i="12"/>
  <c r="K14" i="12" l="1"/>
  <c r="L14" i="12" s="1"/>
  <c r="I14" i="12"/>
  <c r="H19" i="12"/>
  <c r="K12" i="12"/>
  <c r="L12" i="12" s="1"/>
  <c r="I12" i="12"/>
  <c r="F15" i="12"/>
  <c r="H15" i="12" s="1"/>
  <c r="K16" i="12"/>
  <c r="L16" i="12" s="1"/>
  <c r="I16" i="12"/>
  <c r="K19" i="12" l="1"/>
  <c r="L19" i="12" s="1"/>
  <c r="I19" i="12"/>
  <c r="K15" i="12"/>
  <c r="L15" i="12" s="1"/>
  <c r="I15" i="12"/>
  <c r="I22" i="35" l="1"/>
  <c r="H18" i="12"/>
  <c r="I18" i="12" l="1"/>
  <c r="I48" i="12" s="1"/>
  <c r="I54" i="12" s="1"/>
  <c r="I96" i="12" s="1"/>
  <c r="I102" i="12" s="1"/>
  <c r="K18" i="12"/>
  <c r="L18" i="12" s="1"/>
  <c r="L48" i="12" s="1"/>
  <c r="L54" i="12" s="1"/>
  <c r="L96" i="12" s="1"/>
  <c r="L102" i="12" s="1"/>
  <c r="L131" i="12" s="1"/>
  <c r="H15" i="32" s="1"/>
  <c r="H21" i="32" s="1"/>
  <c r="H22" i="32" s="1"/>
  <c r="I131" i="12" l="1"/>
  <c r="I132" i="12"/>
  <c r="D25" i="32"/>
  <c r="B23" i="32"/>
  <c r="I34" i="35" l="1"/>
  <c r="G35" i="35"/>
  <c r="G5" i="50" s="1"/>
  <c r="F8" i="50" s="1"/>
  <c r="H8" i="50" l="1"/>
  <c r="J11" i="50" s="1"/>
  <c r="G36" i="35" s="1"/>
  <c r="F9" i="50"/>
  <c r="H9" i="50" s="1"/>
  <c r="J116" i="12"/>
  <c r="K116" i="12" s="1"/>
  <c r="L116" i="12" s="1"/>
  <c r="J109" i="12"/>
  <c r="K109" i="12" s="1"/>
  <c r="L109" i="12" s="1"/>
  <c r="J79" i="12"/>
  <c r="K79" i="12" s="1"/>
  <c r="L79" i="12" s="1"/>
  <c r="J117" i="12"/>
  <c r="K117" i="12" s="1"/>
  <c r="L117" i="12" s="1"/>
  <c r="J75" i="12"/>
  <c r="K75" i="12" s="1"/>
  <c r="L75" i="12" s="1"/>
  <c r="J118" i="12"/>
  <c r="K118" i="12" s="1"/>
  <c r="L118" i="12" s="1"/>
  <c r="J78" i="12"/>
  <c r="K78" i="12" s="1"/>
  <c r="L78" i="12" s="1"/>
  <c r="J68" i="12"/>
  <c r="K68" i="12" s="1"/>
  <c r="L68" i="12" s="1"/>
  <c r="J72" i="12"/>
  <c r="K72" i="12" s="1"/>
  <c r="L72" i="12" s="1"/>
  <c r="J88" i="12"/>
  <c r="K88" i="12" s="1"/>
  <c r="L88" i="12" s="1"/>
  <c r="J59" i="12"/>
  <c r="K59" i="12" s="1"/>
  <c r="L59" i="12" s="1"/>
  <c r="J87" i="12"/>
  <c r="K87" i="12" s="1"/>
  <c r="L87" i="12" s="1"/>
  <c r="J65" i="12"/>
  <c r="K65" i="12" s="1"/>
  <c r="L65" i="12" s="1"/>
  <c r="J66" i="12"/>
  <c r="K66" i="12" s="1"/>
  <c r="L66" i="12" s="1"/>
  <c r="J71" i="12"/>
  <c r="K71" i="12" s="1"/>
  <c r="L71" i="12" s="1"/>
  <c r="J67" i="12"/>
  <c r="K67" i="12" s="1"/>
  <c r="L67" i="12" s="1"/>
  <c r="J82" i="12"/>
  <c r="K82" i="12" s="1"/>
  <c r="L82" i="12" s="1"/>
  <c r="J113" i="12"/>
  <c r="K113" i="12" s="1"/>
  <c r="L113" i="12" s="1"/>
  <c r="J62" i="12"/>
  <c r="K62" i="12" s="1"/>
  <c r="L62" i="12" s="1"/>
  <c r="J80" i="12"/>
  <c r="K80" i="12" s="1"/>
  <c r="L80" i="12" s="1"/>
  <c r="J74" i="12"/>
  <c r="K74" i="12" s="1"/>
  <c r="L74" i="12" s="1"/>
  <c r="J63" i="12"/>
  <c r="K63" i="12" s="1"/>
  <c r="L63" i="12" s="1"/>
  <c r="J115" i="12"/>
  <c r="K115" i="12" s="1"/>
  <c r="L115" i="12" s="1"/>
  <c r="J110" i="12"/>
  <c r="K110" i="12" s="1"/>
  <c r="L110" i="12" s="1"/>
  <c r="J35" i="12"/>
  <c r="K35" i="12" s="1"/>
  <c r="L35" i="12" s="1"/>
  <c r="J83" i="12"/>
  <c r="K83" i="12" s="1"/>
  <c r="L83" i="12" s="1"/>
  <c r="J69" i="12"/>
  <c r="K69" i="12" s="1"/>
  <c r="L69" i="12" s="1"/>
  <c r="J103" i="12"/>
  <c r="K103" i="12" s="1"/>
  <c r="L103" i="12" s="1"/>
  <c r="J34" i="12"/>
  <c r="K34" i="12" s="1"/>
  <c r="L34" i="12" s="1"/>
  <c r="J76" i="12"/>
  <c r="K76" i="12" s="1"/>
  <c r="L76" i="12" s="1"/>
  <c r="J108" i="12"/>
  <c r="K108" i="12" s="1"/>
  <c r="L108" i="12" s="1"/>
  <c r="J81" i="12"/>
  <c r="K81" i="12" s="1"/>
  <c r="L81" i="12" s="1"/>
  <c r="J111" i="12"/>
  <c r="K111" i="12" s="1"/>
  <c r="L111" i="12" s="1"/>
  <c r="J114" i="12"/>
  <c r="K114" i="12" s="1"/>
  <c r="L114" i="12" s="1"/>
  <c r="J64" i="12"/>
  <c r="K64" i="12" s="1"/>
  <c r="L64" i="12" s="1"/>
  <c r="J70" i="12"/>
  <c r="K70" i="12" s="1"/>
  <c r="L70" i="12" s="1"/>
  <c r="J112" i="12"/>
  <c r="K112" i="12" s="1"/>
  <c r="L112" i="12" s="1"/>
  <c r="J60" i="12"/>
  <c r="K60" i="12" s="1"/>
  <c r="L60" i="12" s="1"/>
  <c r="J57" i="12"/>
  <c r="K57" i="12" s="1"/>
  <c r="L57" i="12" s="1"/>
  <c r="J73" i="12"/>
  <c r="K73" i="12" s="1"/>
  <c r="L73" i="12" s="1"/>
  <c r="J84" i="12"/>
  <c r="K84" i="12" s="1"/>
  <c r="L84" i="12" s="1"/>
  <c r="J86" i="12"/>
  <c r="K86" i="12" s="1"/>
  <c r="L86" i="12" s="1"/>
  <c r="J58" i="12"/>
  <c r="K58" i="12" s="1"/>
  <c r="L58" i="12" s="1"/>
  <c r="J77" i="12"/>
  <c r="K77" i="12" s="1"/>
  <c r="L77" i="12" s="1"/>
  <c r="J85" i="12"/>
  <c r="K85" i="12" s="1"/>
  <c r="L85" i="12" s="1"/>
  <c r="H5" i="50" l="1"/>
  <c r="G11" i="50"/>
  <c r="K11" i="50" s="1"/>
  <c r="J27" i="35" l="1"/>
  <c r="J26" i="35"/>
  <c r="J20" i="35"/>
  <c r="J30" i="35"/>
  <c r="J31" i="35"/>
  <c r="J16" i="35"/>
  <c r="J33" i="35"/>
  <c r="J17" i="35"/>
  <c r="J18" i="35"/>
  <c r="D12" i="36"/>
  <c r="J22" i="35"/>
  <c r="J24" i="35"/>
  <c r="J12" i="35"/>
  <c r="J25" i="35"/>
  <c r="J29" i="35"/>
  <c r="K22" i="35" l="1"/>
  <c r="L22" i="35"/>
  <c r="L17" i="35"/>
  <c r="K17" i="35"/>
  <c r="L16" i="35"/>
  <c r="K16" i="35"/>
  <c r="K30" i="35"/>
  <c r="L30" i="35"/>
  <c r="K29" i="35"/>
  <c r="L29" i="35"/>
  <c r="K31" i="35"/>
  <c r="L31" i="35"/>
  <c r="L18" i="35"/>
  <c r="K18" i="35"/>
  <c r="K27" i="35"/>
  <c r="L27" i="35"/>
  <c r="K33" i="35"/>
  <c r="L33" i="35"/>
  <c r="K25" i="35"/>
  <c r="L25" i="35"/>
  <c r="K12" i="35"/>
  <c r="L12" i="35"/>
  <c r="K20" i="35"/>
  <c r="L20" i="35"/>
  <c r="K24" i="35"/>
  <c r="L24" i="35"/>
  <c r="K26" i="35"/>
  <c r="L26" i="35"/>
  <c r="L34" i="35" l="1"/>
  <c r="E12" i="36" s="1"/>
  <c r="E18" i="36" s="1"/>
  <c r="C21" i="36" l="1"/>
  <c r="E19" i="36"/>
  <c r="D20" i="36" l="1"/>
  <c r="E15" i="34"/>
  <c r="H15" i="34"/>
  <c r="A15" i="34"/>
</calcChain>
</file>

<file path=xl/sharedStrings.xml><?xml version="1.0" encoding="utf-8"?>
<sst xmlns="http://schemas.openxmlformats.org/spreadsheetml/2006/main" count="627" uniqueCount="331">
  <si>
    <t>ที่</t>
  </si>
  <si>
    <t>รายการ</t>
  </si>
  <si>
    <t>Factor F</t>
  </si>
  <si>
    <t>ระยะขนส่ง</t>
  </si>
  <si>
    <t>บาท/ตัน</t>
  </si>
  <si>
    <t>หมายเหตุ</t>
  </si>
  <si>
    <t>ชื่อสายทาง</t>
  </si>
  <si>
    <t>จำนวน</t>
  </si>
  <si>
    <t>หน่วย</t>
  </si>
  <si>
    <t>ราคาวัสดุ-ค่าแรง-ต่อหน่วย</t>
  </si>
  <si>
    <t>จำนวนเงิน</t>
  </si>
  <si>
    <t>วัสดุ</t>
  </si>
  <si>
    <t>ค่าแรง</t>
  </si>
  <si>
    <t>รวม</t>
  </si>
  <si>
    <t>(บาท)</t>
  </si>
  <si>
    <t>งานปรับปรุงโครงสร้างทาง</t>
  </si>
  <si>
    <t>ตร.ม.</t>
  </si>
  <si>
    <t>ลบ.ม.</t>
  </si>
  <si>
    <t>งานผิวทาง</t>
  </si>
  <si>
    <t>2.1 Prime  Coat</t>
  </si>
  <si>
    <t>2.2 Tack  Coat</t>
  </si>
  <si>
    <t xml:space="preserve"> -  Asphaltic  Concrete  (ปูบน Prime  Coat)</t>
  </si>
  <si>
    <t xml:space="preserve"> -  Asphaltic  Concrete  (ปูบน Tack  Coat)</t>
  </si>
  <si>
    <t>งานตีเส้นจราจร</t>
  </si>
  <si>
    <t>งานจราจรสงเคราะห์</t>
  </si>
  <si>
    <t>ชุด</t>
  </si>
  <si>
    <t>หลัก</t>
  </si>
  <si>
    <t>รหัสสายทาง</t>
  </si>
  <si>
    <t>สถานที่ตั้ง</t>
  </si>
  <si>
    <t>กม.</t>
  </si>
  <si>
    <t xml:space="preserve">   รายการ</t>
  </si>
  <si>
    <t>บาท</t>
  </si>
  <si>
    <t>งานผิวไหล่ทาง</t>
  </si>
  <si>
    <t>3.2 Tack  Coat</t>
  </si>
  <si>
    <t>3.1 Prime  Coat</t>
  </si>
  <si>
    <t>4.1 สีเทอร์โมพลาสติก</t>
  </si>
  <si>
    <t>เมตร</t>
  </si>
  <si>
    <t>5.1 งานปรับปรุง</t>
  </si>
  <si>
    <t>5.2 งานติดตั้ง</t>
  </si>
  <si>
    <t>รายละเอียดการประมาณราคา</t>
  </si>
  <si>
    <t>ความหนา</t>
  </si>
  <si>
    <t>ค่าบรรทุก</t>
  </si>
  <si>
    <t>บาท/ลิตร</t>
  </si>
  <si>
    <t>ค่าขนส่งหิน</t>
  </si>
  <si>
    <t xml:space="preserve">ค่าขนส่งยาง  </t>
  </si>
  <si>
    <t>แห่ง</t>
  </si>
  <si>
    <t xml:space="preserve">   5.1.1 หลักแนวโค้ง ค.ส.ล.</t>
  </si>
  <si>
    <t xml:space="preserve">   5.1.2 หลักกิโลเมตร</t>
  </si>
  <si>
    <t xml:space="preserve">   5.2.1 ป้ายกำหนดน้ำหนักบรรทุก</t>
  </si>
  <si>
    <t xml:space="preserve">   5.2.2 ป้ายจราจรแบบ บ1.</t>
  </si>
  <si>
    <t xml:space="preserve">   5.2.3 ป้ายจราจรแบบ บ2.</t>
  </si>
  <si>
    <t xml:space="preserve">   5.2.4 ป้ายจราจร บ3 - บ55</t>
  </si>
  <si>
    <t>ปุ่ม</t>
  </si>
  <si>
    <t xml:space="preserve">   5.1.3 ป้ายจราจร</t>
  </si>
  <si>
    <t xml:space="preserve">   5.1.4 GUARD RAIL</t>
  </si>
  <si>
    <t xml:space="preserve"> 1 เมื่อใช้รถรถบรรทุก 10 ล้อ ในการขนส่งวัสดุ</t>
  </si>
  <si>
    <t>ดอกเบี้ยเงินกู้</t>
  </si>
  <si>
    <t>ยอดยกไป</t>
  </si>
  <si>
    <t>ยอดยกมา</t>
  </si>
  <si>
    <r>
      <t xml:space="preserve">ตารางค่าขนส่งค่าวัสดุก่อสร้าง </t>
    </r>
    <r>
      <rPr>
        <sz val="16"/>
        <color indexed="10"/>
        <rFont val="AngsanaUPC"/>
        <family val="1"/>
        <charset val="222"/>
      </rPr>
      <t xml:space="preserve"> รถบรรทุกสิบล้อ</t>
    </r>
  </si>
  <si>
    <r>
      <t xml:space="preserve">ตารางค่าขนส่งค่าวัสดุก่อสร้าง  </t>
    </r>
    <r>
      <rPr>
        <sz val="16"/>
        <color indexed="10"/>
        <rFont val="AngsanaUPC"/>
        <family val="1"/>
        <charset val="222"/>
      </rPr>
      <t>รถบรรทุกสิบล้อ + รถลากพ่วง</t>
    </r>
  </si>
  <si>
    <t xml:space="preserve"> 2 เมื่อใช้รถบรรทุก 10 ล้อ + รถลากพ่วง ในการขนส่งวัสดุ</t>
  </si>
  <si>
    <t>สรุปประมาณราคาค่าบำรุงรักษาทาง</t>
  </si>
  <si>
    <r>
      <t>ประเภทงาน</t>
    </r>
    <r>
      <rPr>
        <sz val="14"/>
        <rFont val="DilleniaUPC"/>
        <family val="1"/>
        <charset val="222"/>
      </rPr>
      <t xml:space="preserve">            </t>
    </r>
  </si>
  <si>
    <r>
      <t>เจ้าของโครงการ</t>
    </r>
    <r>
      <rPr>
        <sz val="14"/>
        <rFont val="DilleniaUPC"/>
        <family val="1"/>
        <charset val="222"/>
      </rPr>
      <t xml:space="preserve">       </t>
    </r>
  </si>
  <si>
    <r>
      <t>รหัสสายทาง</t>
    </r>
    <r>
      <rPr>
        <sz val="14"/>
        <rFont val="DilleniaUPC"/>
        <family val="1"/>
        <charset val="222"/>
      </rPr>
      <t xml:space="preserve">                              </t>
    </r>
  </si>
  <si>
    <t xml:space="preserve">ชื่อสายทาง   </t>
  </si>
  <si>
    <r>
      <t xml:space="preserve">สถานที่ตั้ง </t>
    </r>
    <r>
      <rPr>
        <sz val="14"/>
        <rFont val="DilleniaUPC"/>
        <family val="1"/>
        <charset val="222"/>
      </rPr>
      <t xml:space="preserve">             </t>
    </r>
  </si>
  <si>
    <r>
      <t xml:space="preserve">ลักษณะสายทางเดิม   </t>
    </r>
    <r>
      <rPr>
        <sz val="14"/>
        <rFont val="DilleniaUPC"/>
        <family val="1"/>
        <charset val="222"/>
      </rPr>
      <t xml:space="preserve">    </t>
    </r>
  </si>
  <si>
    <t xml:space="preserve">ชนิดผิวทาง   </t>
  </si>
  <si>
    <r>
      <t>กว้าง</t>
    </r>
    <r>
      <rPr>
        <sz val="14"/>
        <rFont val="DilleniaUPC"/>
        <family val="1"/>
        <charset val="222"/>
      </rPr>
      <t xml:space="preserve">             </t>
    </r>
  </si>
  <si>
    <t xml:space="preserve">                                         </t>
  </si>
  <si>
    <t xml:space="preserve">ชนิดไหล่ทาง  </t>
  </si>
  <si>
    <t xml:space="preserve">กว้าง             </t>
  </si>
  <si>
    <t>ระยะทางดำเนินการซ่อมสร้าง ฯ</t>
  </si>
  <si>
    <t xml:space="preserve">ผิวทางกว้าง    </t>
  </si>
  <si>
    <t xml:space="preserve">ช่วง  กม.         </t>
  </si>
  <si>
    <t xml:space="preserve">ถึง  กม. </t>
  </si>
  <si>
    <t>รวมค่างานก่อสร้าง</t>
  </si>
  <si>
    <t xml:space="preserve">   หมายเหตุ</t>
  </si>
  <si>
    <t xml:space="preserve"> - เงินล่วงหน้าจ่าย </t>
  </si>
  <si>
    <t xml:space="preserve"> - ดอกเบี้ยเงินกู้      </t>
  </si>
  <si>
    <t xml:space="preserve"> - เงินประกันผลงานหัก </t>
  </si>
  <si>
    <t xml:space="preserve"> - พื้นที่</t>
  </si>
  <si>
    <t>สรุป</t>
  </si>
  <si>
    <t xml:space="preserve">ระยะทางดำเนินการ       </t>
  </si>
  <si>
    <t>เฉลี่ยราคา  กม.ละ</t>
  </si>
  <si>
    <t>คณะกรรมการกำหนดราคากลาง</t>
  </si>
  <si>
    <t>(ลงชื่อ)</t>
  </si>
  <si>
    <t>.............................................</t>
  </si>
  <si>
    <t xml:space="preserve">ประธานกรรมการฯ  </t>
  </si>
  <si>
    <t xml:space="preserve">             (                                           ) </t>
  </si>
  <si>
    <t>กรรมการ ฯ</t>
  </si>
  <si>
    <t>1.1 งานถางป่าขุดตอ</t>
  </si>
  <si>
    <t>2.3 Asphaltic  Concrete</t>
  </si>
  <si>
    <t>3.3 Asphaltic  Concrete</t>
  </si>
  <si>
    <t xml:space="preserve"> -  Asphaltic Concrete (ปูบน Prime Coat)</t>
  </si>
  <si>
    <t xml:space="preserve"> -  Asphaltic Concrete (ปูบนTack Coat)</t>
  </si>
  <si>
    <t>ซม.</t>
  </si>
  <si>
    <t>ม.</t>
  </si>
  <si>
    <t xml:space="preserve">   5.2.13 ป้ายจราจรแบบ ต71 - ต73</t>
  </si>
  <si>
    <t xml:space="preserve">   5.2.14 ป้ายจราจรแบบ ต74</t>
  </si>
  <si>
    <t xml:space="preserve">   5.2.15 ป้ายจราจรแบบ ต76</t>
  </si>
  <si>
    <t xml:space="preserve">   5.2.16 ป้ายจราจรแบบ ต77</t>
  </si>
  <si>
    <t xml:space="preserve">   5.2.17 ป้ายจราจรแบบ ต78</t>
  </si>
  <si>
    <t xml:space="preserve">   5.2.18 ป้ายจราจรแบบ น1</t>
  </si>
  <si>
    <t xml:space="preserve">   5.2.19 ป้ายจราจรแบบ น2 ( 1 แผ่นป้าย )</t>
  </si>
  <si>
    <t xml:space="preserve">   5.2.20 ป้ายจราจรแบบ น2 ( 2 แผ่นป้าย )</t>
  </si>
  <si>
    <t xml:space="preserve">   5.2.21 ป้ายจราจรแบบ น2 ( 3 แผ่นป้าย )</t>
  </si>
  <si>
    <t xml:space="preserve">   5.2.22 ป้ายจราจรแบบ น3</t>
  </si>
  <si>
    <t xml:space="preserve">   5.2.23 ป้ายจราจรแบบ น4</t>
  </si>
  <si>
    <t xml:space="preserve">   5.2.24 ป้ายจราจรแบบ น5</t>
  </si>
  <si>
    <t>1.2 งานเกลี่ยปรับไหล่ทางเดิมแล้วบดทับ ( ไหล่ลูกรัง )</t>
  </si>
  <si>
    <t>1.3 งานปรับดินเดิมแล้วบดทับ</t>
  </si>
  <si>
    <t>1.4 งาน Benching</t>
  </si>
  <si>
    <t>1.6 งานดินถม ( จากการขนส่ง )</t>
  </si>
  <si>
    <t>1.7 งานวัสดุคัดเลือกบดอัดแน่น</t>
  </si>
  <si>
    <t>1.8 งานรองพื้นทาง (ลูกรังบดอัดแน่น)</t>
  </si>
  <si>
    <t>1.9 หินคลุกบดอัดแน่น</t>
  </si>
  <si>
    <t>1.12 Deep  Patch</t>
  </si>
  <si>
    <t>1.13 งาน Pavement In - Place Recycling</t>
  </si>
  <si>
    <t>4.2 Rumble Strips</t>
  </si>
  <si>
    <t>4.3 ทางม้าลาย</t>
  </si>
  <si>
    <t xml:space="preserve">   5.2.29 ป้ายจราจรแบบ </t>
  </si>
  <si>
    <t xml:space="preserve">   5.2.30 ป้ายจราจรแบบ </t>
  </si>
  <si>
    <t xml:space="preserve">   5.2.31 ป้ายจราจรแบบ </t>
  </si>
  <si>
    <t>1.10 หินคลุกปรับระดับ (หลวม)</t>
  </si>
  <si>
    <t>ระยะทางดำเนินการ</t>
  </si>
  <si>
    <r>
      <t xml:space="preserve">ระยะทางตลอดสายทาง </t>
    </r>
    <r>
      <rPr>
        <sz val="14"/>
        <rFont val="DilleniaUPC"/>
        <family val="1"/>
        <charset val="222"/>
      </rPr>
      <t xml:space="preserve">    </t>
    </r>
  </si>
  <si>
    <t xml:space="preserve">   5.2.7 ป้ายจราจร ต61</t>
  </si>
  <si>
    <r>
      <t xml:space="preserve">   5.2.8 ป้ายจราจรแบบ ต63,ต66</t>
    </r>
    <r>
      <rPr>
        <sz val="12"/>
        <rFont val="DilleniaUPC"/>
        <family val="1"/>
        <charset val="222"/>
      </rPr>
      <t xml:space="preserve"> (2 แผ่นป้ายต่อชุด)</t>
    </r>
  </si>
  <si>
    <t xml:space="preserve">   5.2.9 ป้ายจราจรแบบ ต64,ต67</t>
  </si>
  <si>
    <t xml:space="preserve">   5.2.10 ป้ายจราจรแบบ ต65,ต68</t>
  </si>
  <si>
    <t xml:space="preserve">   5.2.11 ป้ายจราจรแบบ ต69</t>
  </si>
  <si>
    <t xml:space="preserve">   5.2.12 ป้ายจราจรแบบ ต70</t>
  </si>
  <si>
    <t xml:space="preserve">   5.2.6 ป้ายจราจร ต28-ต30,ต57,ต62</t>
  </si>
  <si>
    <t>ประมาณราคา      …………………………………………..</t>
  </si>
  <si>
    <t>ตรวจ     …………………………………………….</t>
  </si>
  <si>
    <t>ตรวจ……..................……………………………………….</t>
  </si>
  <si>
    <t>ประมาณราคา…………………………………….…………..</t>
  </si>
  <si>
    <t>( นายสมเกียรติ  ทองโต )</t>
  </si>
  <si>
    <t xml:space="preserve">  ผู้อำนวยการสำนักบำรุงทาง</t>
  </si>
  <si>
    <t>เห็นชอบ …………..…………………………………………….</t>
  </si>
  <si>
    <t>AC</t>
  </si>
  <si>
    <r>
      <t xml:space="preserve">   5.2.5 </t>
    </r>
    <r>
      <rPr>
        <sz val="14"/>
        <rFont val="DilleniaUPC"/>
        <family val="1"/>
      </rPr>
      <t>ป้ายจราจรแบบ ต1-ต27,ต31-ต56,ต58-ต60,ต75</t>
    </r>
  </si>
  <si>
    <t>ราคากลาง (บาท)</t>
  </si>
  <si>
    <t>ราคาต่อหน่วย</t>
  </si>
  <si>
    <t>แบบที่ 9</t>
  </si>
  <si>
    <t>3 เส้นกว้าง 15 ซม.</t>
  </si>
  <si>
    <t>คิดเป็นราคาค่าก่อสร้าง</t>
  </si>
  <si>
    <t>รวมเป็นราคาค่าก่อสร้างประมาณ</t>
  </si>
  <si>
    <t>คิดเป็นราคากลาง</t>
  </si>
  <si>
    <t>0.00 - 1.50</t>
  </si>
  <si>
    <t>6.00 - 9.00</t>
  </si>
  <si>
    <r>
      <t xml:space="preserve">   5.2.27 </t>
    </r>
    <r>
      <rPr>
        <sz val="13.5"/>
        <rFont val="DilleniaUPC"/>
        <family val="1"/>
      </rPr>
      <t xml:space="preserve">ป้ายจราจรแบบ </t>
    </r>
    <r>
      <rPr>
        <sz val="13"/>
        <rFont val="DilleniaUPC"/>
        <family val="1"/>
      </rPr>
      <t>บ3-บ55+ต1-ต28,ต31-ต56,ต56-ต60,ต75</t>
    </r>
  </si>
  <si>
    <r>
      <t xml:space="preserve">   5.2.25 </t>
    </r>
    <r>
      <rPr>
        <sz val="14"/>
        <rFont val="DilleniaUPC"/>
        <family val="1"/>
      </rPr>
      <t xml:space="preserve">ป้ายจราจรแบบ น6 </t>
    </r>
  </si>
  <si>
    <r>
      <t xml:space="preserve">   5.2.26 </t>
    </r>
    <r>
      <rPr>
        <sz val="14"/>
        <rFont val="DilleniaUPC"/>
        <family val="1"/>
      </rPr>
      <t>ป้ายจราจรแบบ น7 - น20</t>
    </r>
  </si>
  <si>
    <t>1.5 งานดินตัด</t>
  </si>
  <si>
    <t>รูปแบบที่ 2</t>
  </si>
  <si>
    <t>251..13</t>
  </si>
  <si>
    <t>122..76</t>
  </si>
  <si>
    <r>
      <t xml:space="preserve">   5.2.28 ป้ายจราจรแบบ </t>
    </r>
    <r>
      <rPr>
        <sz val="13"/>
        <rFont val="DilleniaUPC"/>
        <family val="1"/>
      </rPr>
      <t>บ3-บ55 + ต71-ต73</t>
    </r>
  </si>
  <si>
    <t xml:space="preserve">   5.2.32 ป้ายจราจรแบบ </t>
  </si>
  <si>
    <t xml:space="preserve">   5.2.33 หลักแนวโค้ง ค.ส.ล.</t>
  </si>
  <si>
    <t xml:space="preserve">   5.2.34 หลักกิโลเมตร</t>
  </si>
  <si>
    <t xml:space="preserve">   5.2.35 หลักเขตทาง</t>
  </si>
  <si>
    <t xml:space="preserve">   5.2.36 หลักนำทาง</t>
  </si>
  <si>
    <t xml:space="preserve">   5.2.37 Guard  Rail บริเวณทางโค้งหรือคอสะพาน</t>
  </si>
  <si>
    <t xml:space="preserve">   5.2.38 Guard  Rail บริเวณทางตรง</t>
  </si>
  <si>
    <t xml:space="preserve">   5.2.39 ตีเส้นทางรถไฟตัดผ่าน</t>
  </si>
  <si>
    <t xml:space="preserve">   5.2.40 ติดตั้งปุ่มสะท้อนแสง ( 2 หน้า )</t>
  </si>
  <si>
    <t xml:space="preserve">   5.2.41 ติดตั้งสัญญาณไฟกระพริบ</t>
  </si>
  <si>
    <t xml:space="preserve">   5.2.42 ปรับปรุงสะพาน คสล</t>
  </si>
  <si>
    <t xml:space="preserve">   5.2.44 Timber Barricade</t>
  </si>
  <si>
    <t xml:space="preserve">   5.2.43 ป้ายจราจรระหว่างการก่อสร้าง</t>
  </si>
  <si>
    <t>กรอกข้อมูลเฉพาะในช่องสีขาวเท่านั้น</t>
  </si>
  <si>
    <t>วันที่ประมาณราคา</t>
  </si>
  <si>
    <t>ราคาน้ำมัน</t>
  </si>
  <si>
    <t>ชื่อโครงการ</t>
  </si>
  <si>
    <t>หมู่ที่</t>
  </si>
  <si>
    <t>ตำบล</t>
  </si>
  <si>
    <t>ขนส่งลูกรัง,หินคลุก</t>
  </si>
  <si>
    <t>อำเภอ</t>
  </si>
  <si>
    <t>ตรวจสอบ</t>
  </si>
  <si>
    <t>ผิวจราจรกว้าง</t>
  </si>
  <si>
    <t>ถนนยาว</t>
  </si>
  <si>
    <t>หินคลุกหนา</t>
  </si>
  <si>
    <t>เห็นชอบ</t>
  </si>
  <si>
    <t>ลูกรังหนา</t>
  </si>
  <si>
    <t>ไหล่ทางกว้าง</t>
  </si>
  <si>
    <t>ตีเส้นจราจร</t>
  </si>
  <si>
    <t>ลักษณะสายทาง</t>
  </si>
  <si>
    <t xml:space="preserve"> </t>
  </si>
  <si>
    <t xml:space="preserve">ราคาน้ำมันดีเซล </t>
  </si>
  <si>
    <t>ลำดับที่</t>
  </si>
  <si>
    <t>ราคา/</t>
  </si>
  <si>
    <t>ราคาทุน</t>
  </si>
  <si>
    <t>ราคา/หน่วย</t>
  </si>
  <si>
    <t>ราคากลาง</t>
  </si>
  <si>
    <t>x Factor F</t>
  </si>
  <si>
    <t>งานโครงสร้างทาง และผิวจราจร</t>
  </si>
  <si>
    <t>งานป้ายจราจร</t>
  </si>
  <si>
    <t xml:space="preserve">เครื่องหมายบนผิวทาง </t>
  </si>
  <si>
    <t>สีเหลือง + สีขาว</t>
  </si>
  <si>
    <t>งานป้ายโครงการ</t>
  </si>
  <si>
    <t>ป้ายโครงการ(ป้ายเหล็ก)</t>
  </si>
  <si>
    <t>รวมทั้งสิ้นเป็นเงิน</t>
  </si>
  <si>
    <t>ผลรวมค่างานต้นทุนงานก่อสร้างทาง</t>
  </si>
  <si>
    <t>ค่า Factor F งานก่อสร้างทาง</t>
  </si>
  <si>
    <t xml:space="preserve">                       หรือคิดเป็นพื้นที่ลาดยางไม่น้อยกว่า </t>
  </si>
  <si>
    <t>ใช้ราคาวัสดุอ้างอิง สระบุรี เดือน</t>
  </si>
  <si>
    <t>ใช้ราคาวัสดุอ้างอิง กทม. เดือน</t>
  </si>
  <si>
    <t>รวม
ค่าก่อสร้าง
(บาท)</t>
  </si>
  <si>
    <t>ประเภทงานทาง</t>
  </si>
  <si>
    <t xml:space="preserve"> - ดอกเบี้ยเงินกู้</t>
  </si>
  <si>
    <t xml:space="preserve"> - ภาษี</t>
  </si>
  <si>
    <t xml:space="preserve"> - เงินล่วงหน้าจ่าย</t>
  </si>
  <si>
    <t xml:space="preserve"> - เงินประกันผลงานหัก</t>
  </si>
  <si>
    <t xml:space="preserve">  </t>
  </si>
  <si>
    <t xml:space="preserve">(ตัวอักษร) </t>
  </si>
  <si>
    <t>ราคาเฉลี่ย ต่อ ตร.ม.</t>
  </si>
  <si>
    <t>บาทต่อตารางเมตร</t>
  </si>
  <si>
    <t>ปริมาณ</t>
  </si>
  <si>
    <t>แบบ</t>
  </si>
  <si>
    <t>เสริมชั้นพื้นทาง</t>
  </si>
  <si>
    <t>ขนส่งวัสดุคัดเลือก</t>
  </si>
  <si>
    <t>งานเสริมหินคลุก</t>
  </si>
  <si>
    <t>เมตร(หนาไม่เกิน 0.15 เมตร)</t>
  </si>
  <si>
    <t>ความหนาของผิว AC</t>
  </si>
  <si>
    <t>ค่าขนส่งลูกรัง</t>
  </si>
  <si>
    <t>กว้าง</t>
  </si>
  <si>
    <t>ยาว</t>
  </si>
  <si>
    <t>งาน RUMBLE STRIPS</t>
  </si>
  <si>
    <t>งานโครงสร้างทาง</t>
  </si>
  <si>
    <t>Asphaltic  Concrete</t>
  </si>
  <si>
    <t>และงานติดตั้ง</t>
  </si>
  <si>
    <t>หนา 5 ซม.</t>
  </si>
  <si>
    <t>2.2.2</t>
  </si>
  <si>
    <t>งานเส้นหยุด</t>
  </si>
  <si>
    <t>กรรมการ</t>
  </si>
  <si>
    <t>วังม่วง</t>
  </si>
  <si>
    <t>งานทางเชื่อม</t>
  </si>
  <si>
    <t>งานขุดซ่อมผิวทางเดิม (Deep Patch)</t>
  </si>
  <si>
    <t>ชุด(3 กอง)</t>
  </si>
  <si>
    <t>เส้น</t>
  </si>
  <si>
    <t>นายสราวุธ อินสุข</t>
  </si>
  <si>
    <t>งานสีเทอร์โม</t>
  </si>
  <si>
    <t>งาน เส้นหยุด</t>
  </si>
  <si>
    <t>ฝ่ายสำรวจและออกแบบ</t>
  </si>
  <si>
    <t xml:space="preserve">   .( 1 )</t>
  </si>
  <si>
    <t xml:space="preserve">   .( 2 )</t>
  </si>
  <si>
    <t xml:space="preserve"> (3 )=( 1 )x( 2 )</t>
  </si>
  <si>
    <t xml:space="preserve">   .( 4 )</t>
  </si>
  <si>
    <t xml:space="preserve">   .( 5 )</t>
  </si>
  <si>
    <t xml:space="preserve"> (6)=( 3 )x( 4 )</t>
  </si>
  <si>
    <t>ขนส่งหินฝุ่น,หิน3/8",1/2",3/4"</t>
  </si>
  <si>
    <t>ขนส่งอุปกรณ์ 80 ตัน</t>
  </si>
  <si>
    <t>แก้ไขปรับปรุงเดือน มีนาคม 2561</t>
  </si>
  <si>
    <t>นักบริหารงานช่างระดับกลาง</t>
  </si>
  <si>
    <t>ประมาณาคาเมื่อเดือน</t>
  </si>
  <si>
    <t>ผิวจราจรกว้าง   6  เมตร  ยาว  2000   เมตร  ไหล่ทางกว้างข้างละ 1.00  เมตร</t>
  </si>
  <si>
    <t xml:space="preserve"> - พื้นที่ปกติ</t>
  </si>
  <si>
    <t>นายสุรศักดิ์  สมภักดี</t>
  </si>
  <si>
    <r>
      <t xml:space="preserve">ระยะทางขนส่งหินคลุกและหินฝุ่น จาก </t>
    </r>
    <r>
      <rPr>
        <b/>
        <sz val="16"/>
        <color indexed="60"/>
        <rFont val="Angsana New"/>
        <family val="1"/>
      </rPr>
      <t>หน้าพระลาน</t>
    </r>
  </si>
  <si>
    <r>
      <t xml:space="preserve">ระยะทางขนส่งลูกรังและหินคลุก จาก </t>
    </r>
    <r>
      <rPr>
        <b/>
        <sz val="16"/>
        <color indexed="60"/>
        <rFont val="Angsana New"/>
        <family val="1"/>
      </rPr>
      <t>พุแค</t>
    </r>
  </si>
  <si>
    <r>
      <t xml:space="preserve">ระยะทางขนส่งอุปกรณ์ จาก </t>
    </r>
    <r>
      <rPr>
        <b/>
        <sz val="16"/>
        <color indexed="60"/>
        <rFont val="Angsana New"/>
        <family val="1"/>
      </rPr>
      <t>สระบุรี</t>
    </r>
  </si>
  <si>
    <r>
      <t xml:space="preserve">ยางแอสฟัลท์จาก </t>
    </r>
    <r>
      <rPr>
        <b/>
        <sz val="16"/>
        <color indexed="60"/>
        <rFont val="Angsana New"/>
        <family val="1"/>
      </rPr>
      <t>กรุงเทพ</t>
    </r>
    <r>
      <rPr>
        <sz val="16"/>
        <rFont val="Angsana New"/>
        <family val="1"/>
      </rPr>
      <t xml:space="preserve"> ไป PLANT หน้างาน</t>
    </r>
  </si>
  <si>
    <t>ผู้ประมาณการ</t>
  </si>
  <si>
    <t>ป้ายจราจรแบบ บ-33 (ห้ามรถหนักเกินกำหนด)</t>
  </si>
  <si>
    <t>ป้ายจราจรแบบ บ-1 (หยุด)</t>
  </si>
  <si>
    <t>2.1.1</t>
  </si>
  <si>
    <t>2.1.2</t>
  </si>
  <si>
    <t>2.1.3</t>
  </si>
  <si>
    <t>2.2.1</t>
  </si>
  <si>
    <t>งานรื้อ</t>
  </si>
  <si>
    <t>ลึก</t>
  </si>
  <si>
    <t>สูตรเดิม</t>
  </si>
  <si>
    <t>จากชั้นผิวทางเดิม</t>
  </si>
  <si>
    <t xml:space="preserve">งานขุดผิวทางและวัสดุไม่เหมาะสมลึก 0.45 ม. </t>
  </si>
  <si>
    <t>งานชั้นรองพื้นทาง (ลูกรัง) หนา</t>
  </si>
  <si>
    <t>งานชั้นพื้นทาง (หินคลุก) หนา</t>
  </si>
  <si>
    <t>งานลาดแอสฟัลต์ไพรม์โค้ต (Prime Coat) (พื้นทางหินคลุก)</t>
  </si>
  <si>
    <t>ป้ายจราจรแบบ ต-11 (ทางแยก)</t>
  </si>
  <si>
    <t>ป้ายจราจรแบบ ต-13 (ทางแยก)</t>
  </si>
  <si>
    <t>นายพรชัย  แก้วบังวัน</t>
  </si>
  <si>
    <r>
      <t>ตาราง Factor F งานก่อสร้าง</t>
    </r>
    <r>
      <rPr>
        <b/>
        <u/>
        <sz val="16"/>
        <color rgb="FFFF0000"/>
        <rFont val="TH Sarabun New"/>
        <family val="2"/>
      </rPr>
      <t>ทาง</t>
    </r>
  </si>
  <si>
    <t>เงินจ่ายล่วงหน้า</t>
  </si>
  <si>
    <t>ต่อปี</t>
  </si>
  <si>
    <t>เงินประกันผลงานหัก</t>
  </si>
  <si>
    <t>ค่าภาษีมูลค่าเพิ่ม</t>
  </si>
  <si>
    <t>ค่างาน (ทุน)
ล้านบาท</t>
  </si>
  <si>
    <t>≤</t>
  </si>
  <si>
    <t>งานทาง</t>
  </si>
  <si>
    <t>ค่างานต้นทุน (A) =</t>
  </si>
  <si>
    <t>ค่าจากตาราง</t>
  </si>
  <si>
    <t>x ล้านบาท</t>
  </si>
  <si>
    <t>Factor f</t>
  </si>
  <si>
    <t>ช่วงราคาที่ 1 (B) =</t>
  </si>
  <si>
    <t>(D) =</t>
  </si>
  <si>
    <t>ช่วงราคาที่ 2 (C) =</t>
  </si>
  <si>
    <t>(E) =</t>
  </si>
  <si>
    <t>ตามสูตร</t>
  </si>
  <si>
    <t>Factor f =</t>
  </si>
  <si>
    <t>วิศวกรโยธาชำนาญการพิเศษ</t>
  </si>
  <si>
    <t>ผู้อำนวยการส่วนควบคุมการก่อสร้าง</t>
  </si>
  <si>
    <t>นักบริหารงานช่างระดับสูง</t>
  </si>
  <si>
    <t>ผู้อำนวยการสำนักช่าง</t>
  </si>
  <si>
    <t>คำนวณความกว้างถนน</t>
  </si>
  <si>
    <t>slope</t>
  </si>
  <si>
    <t>ความกว้างชั้นบน</t>
  </si>
  <si>
    <t>ความกว้างชั้นล่าง</t>
  </si>
  <si>
    <t>พื้นที่สี่เหลี่ยมคางหมู</t>
  </si>
  <si>
    <t>ความกว้างด้านล่าง</t>
  </si>
  <si>
    <t>ปริมาตร</t>
  </si>
  <si>
    <t>Recycling ยาว</t>
  </si>
  <si>
    <t xml:space="preserve">  ผิวจราจรกว้าง 6.00 เมตร ยาว 5,300 เมตร หนา 0.05 เมตร  ไม่มีไหล่ทาง</t>
  </si>
  <si>
    <t>งานรื้อชั้นทางเดิมแล้วบดอัดหนา 0.10 ม. (ดินคันทาง)</t>
  </si>
  <si>
    <t>ปรับปรุงถนนลาดยาง หมู่ที่ 1,2,3,5 (เลียบคลอง 24 ขวา ฝั่งขวา) เชื่อมระหว่าง ต.ไผ่ขวาง อ.บ้านหมอ กับ ต.ดอนพุด อ.ดอนพุด จ.สระบุรี</t>
  </si>
  <si>
    <t xml:space="preserve">โครงการ   ปรับปรุงถนนลาดยาง หมู่ที่ 1,2,3,5 (เลียบคลอง 24 ขวา ฝั่งขวา) เชื่อมระหว่าง ต.ไผ่ขวาง อ.บ้านหมอ กับ </t>
  </si>
  <si>
    <t>ต.ดอนพุด อ.ดอนพุด จ.สระบุรี</t>
  </si>
  <si>
    <t>มกราคม</t>
  </si>
  <si>
    <t>ราคากลางการก่อสร้าง</t>
  </si>
  <si>
    <t>แบบสรุปราคากลางงานก่อสร้างทาง สะพานและท่อเหลี่ยม</t>
  </si>
  <si>
    <t>แบบสรุปราคากลางก่อสร้างทาง สะพานและท่อเหลี่ยม</t>
  </si>
  <si>
    <t>คณะกรรมการกำหนดราคากลาง ตามคำสั่งองค์การบริหารส่วนจังหวัดสระบุรี ที่ 2144/2566 ลงวันที่ 21 พฤศจิกายน 2566</t>
  </si>
  <si>
    <t>ประธานกรรมการ</t>
  </si>
  <si>
    <t>(นายประหยัด สุขเกษม)</t>
  </si>
  <si>
    <t>(นายทศพล พรรคนาวิน)</t>
  </si>
  <si>
    <t>วิศวกรโยธาชำนาญการ</t>
  </si>
  <si>
    <t>(นางสาวปัญญ์ชลี ตุ้มสถิตย์)</t>
  </si>
  <si>
    <t>นายช่างโยธาชำนาญงาน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</si>
</sst>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0.000"/>
    <numFmt numFmtId="190" formatCode="#,##0.000"/>
    <numFmt numFmtId="191" formatCode="#,##0.0000_);\(#,##0.0000\)"/>
    <numFmt numFmtId="192" formatCode="0.0%"/>
    <numFmt numFmtId="193" formatCode="_(* #,##0.00_);_(* \(#,##0.00\);_(* &quot; &quot;??_);_(@_)"/>
    <numFmt numFmtId="194" formatCode="_-* #,##0_-;\-* #,##0_-;_-* &quot;-&quot;??_-;_-@_-"/>
    <numFmt numFmtId="195" formatCode="_-* #,##0.00_-;\-* #,##0.00_-;_-* &quot;-&quot;_-;_-@_-"/>
    <numFmt numFmtId="196" formatCode="#,##0_ ;\-#,##0\ "/>
    <numFmt numFmtId="197" formatCode="0\+000"/>
    <numFmt numFmtId="198" formatCode="_-* #,##0.0000_-;\-* #,##0.0000_-;_-* &quot;-&quot;??_-;_-@_-"/>
    <numFmt numFmtId="199" formatCode="_(* #,##0.000_);_(* \(#,##0.000\);_(* &quot;-&quot;??_);_(@_)"/>
    <numFmt numFmtId="200" formatCode="\ mmmm\ yyyy"/>
    <numFmt numFmtId="201" formatCode="d\ ดดดด\ &quot;พ.ศ.&quot;\ bbbb"/>
    <numFmt numFmtId="202" formatCode="_(* #,##0.0000_);_(* \(#,##0.0000\);_(* &quot;-&quot;??_);_(@_)"/>
    <numFmt numFmtId="203" formatCode="_(* #,##0.0_);_(* \(#,##0.0\);_(* &quot;-&quot;??_);_(@_)"/>
    <numFmt numFmtId="204" formatCode="\(@\)"/>
    <numFmt numFmtId="205" formatCode="_(* #,##0.0000_);_(* \(#,##0.0000\);_(* &quot;-&quot;????_);_(@_)"/>
  </numFmts>
  <fonts count="52" x14ac:knownFonts="1">
    <font>
      <sz val="14"/>
      <name val="Cordia New"/>
      <charset val="222"/>
    </font>
    <font>
      <sz val="14"/>
      <name val="Cordia New"/>
      <family val="2"/>
    </font>
    <font>
      <b/>
      <sz val="14"/>
      <name val="AngsanaUPC"/>
      <family val="1"/>
      <charset val="222"/>
    </font>
    <font>
      <sz val="14"/>
      <name val="AngsanaUPC"/>
      <family val="1"/>
      <charset val="222"/>
    </font>
    <font>
      <sz val="13.5"/>
      <name val="DilleniaUPC"/>
      <family val="1"/>
    </font>
    <font>
      <sz val="10"/>
      <name val="Courier"/>
      <family val="3"/>
    </font>
    <font>
      <sz val="12"/>
      <name val="DilleniaUPC"/>
      <family val="1"/>
      <charset val="222"/>
    </font>
    <font>
      <b/>
      <sz val="14"/>
      <name val="DilleniaUPC"/>
      <family val="1"/>
      <charset val="222"/>
    </font>
    <font>
      <sz val="14"/>
      <name val="DilleniaUPC"/>
      <family val="1"/>
      <charset val="222"/>
    </font>
    <font>
      <b/>
      <sz val="16"/>
      <name val="DilleniaUPC"/>
      <family val="1"/>
      <charset val="222"/>
    </font>
    <font>
      <u/>
      <sz val="14"/>
      <name val="DilleniaUPC"/>
      <family val="1"/>
      <charset val="222"/>
    </font>
    <font>
      <sz val="16"/>
      <name val="AngsanaUPC"/>
      <family val="1"/>
      <charset val="222"/>
    </font>
    <font>
      <sz val="16"/>
      <color indexed="10"/>
      <name val="AngsanaUPC"/>
      <family val="1"/>
      <charset val="222"/>
    </font>
    <font>
      <b/>
      <sz val="14"/>
      <color indexed="10"/>
      <name val="DilleniaUPC"/>
      <family val="1"/>
      <charset val="222"/>
    </font>
    <font>
      <sz val="14"/>
      <name val="DilleniaUPC"/>
      <family val="1"/>
    </font>
    <font>
      <b/>
      <sz val="14"/>
      <name val="DilleniaUPC"/>
      <family val="1"/>
    </font>
    <font>
      <sz val="14"/>
      <color indexed="10"/>
      <name val="DilleniaUPC"/>
      <family val="1"/>
      <charset val="222"/>
    </font>
    <font>
      <sz val="14"/>
      <color indexed="10"/>
      <name val="DilleniaUPC"/>
      <family val="1"/>
      <charset val="222"/>
    </font>
    <font>
      <sz val="13"/>
      <name val="DilleniaUPC"/>
      <family val="1"/>
    </font>
    <font>
      <sz val="11"/>
      <name val="DilleniaUPC"/>
      <family val="1"/>
      <charset val="222"/>
    </font>
    <font>
      <sz val="10"/>
      <name val="Arial"/>
      <family val="2"/>
    </font>
    <font>
      <sz val="10"/>
      <name val="Arial"/>
      <family val="2"/>
    </font>
    <font>
      <sz val="14"/>
      <name val="Angsana New"/>
      <family val="1"/>
    </font>
    <font>
      <sz val="14"/>
      <name val="AngsanaUPC"/>
      <family val="1"/>
    </font>
    <font>
      <sz val="16"/>
      <name val="Angsana New"/>
      <family val="1"/>
    </font>
    <font>
      <b/>
      <sz val="14"/>
      <name val="Cordia New"/>
      <family val="2"/>
    </font>
    <font>
      <b/>
      <sz val="16"/>
      <name val="Angsana New"/>
      <family val="1"/>
    </font>
    <font>
      <b/>
      <i/>
      <sz val="16"/>
      <name val="Angsana New"/>
      <family val="1"/>
    </font>
    <font>
      <b/>
      <sz val="16"/>
      <color indexed="60"/>
      <name val="Angsana New"/>
      <family val="1"/>
    </font>
    <font>
      <sz val="8"/>
      <name val="Cordia New"/>
      <family val="2"/>
    </font>
    <font>
      <b/>
      <sz val="14"/>
      <color theme="0"/>
      <name val="DilleniaUPC"/>
      <family val="1"/>
      <charset val="222"/>
    </font>
    <font>
      <sz val="16"/>
      <color theme="0" tint="-0.34998626667073579"/>
      <name val="Angsana New"/>
      <family val="1"/>
    </font>
    <font>
      <b/>
      <sz val="16"/>
      <color rgb="FFFF0000"/>
      <name val="Angsana New"/>
      <family val="1"/>
    </font>
    <font>
      <b/>
      <sz val="16"/>
      <name val="TH Sarabun New"/>
      <family val="2"/>
    </font>
    <font>
      <b/>
      <u/>
      <sz val="16"/>
      <color rgb="FFFF0000"/>
      <name val="TH Sarabun New"/>
      <family val="2"/>
    </font>
    <font>
      <sz val="16"/>
      <name val="TH Sarabun New"/>
      <family val="2"/>
    </font>
    <font>
      <b/>
      <sz val="16"/>
      <color rgb="FFFF0000"/>
      <name val="TH Sarabun New"/>
      <family val="2"/>
    </font>
    <font>
      <sz val="16"/>
      <name val="Times New Roman"/>
      <family val="1"/>
    </font>
    <font>
      <b/>
      <u/>
      <sz val="16"/>
      <color rgb="FFFF0000"/>
      <name val="AngsanaUPC"/>
      <family val="1"/>
    </font>
    <font>
      <sz val="16"/>
      <color rgb="FF3F3F76"/>
      <name val="AngsanaUPC"/>
      <family val="2"/>
    </font>
    <font>
      <sz val="16"/>
      <color rgb="FFFF0000"/>
      <name val="AngsanaUPC"/>
      <family val="2"/>
    </font>
    <font>
      <b/>
      <sz val="11"/>
      <color rgb="FFFA7D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sz val="16"/>
      <name val="AngsanaUPC"/>
      <family val="2"/>
    </font>
    <font>
      <b/>
      <u/>
      <sz val="16"/>
      <color theme="1"/>
      <name val="AngsanaUPC"/>
      <family val="1"/>
    </font>
    <font>
      <b/>
      <sz val="14"/>
      <name val="Angsana New"/>
      <family val="1"/>
    </font>
    <font>
      <sz val="14"/>
      <color indexed="8"/>
      <name val="Angsana New"/>
      <family val="1"/>
    </font>
    <font>
      <sz val="10"/>
      <name val="Angsana New"/>
      <family val="1"/>
    </font>
    <font>
      <sz val="14"/>
      <color indexed="12"/>
      <name val="Angsana New"/>
      <family val="1"/>
    </font>
    <font>
      <b/>
      <u/>
      <sz val="14"/>
      <name val="Angsana New"/>
      <family val="1"/>
    </font>
    <font>
      <b/>
      <u val="singleAccounting"/>
      <sz val="14"/>
      <name val="Angsana New"/>
      <family val="1"/>
    </font>
    <font>
      <sz val="14"/>
      <color indexed="9"/>
      <name val="Angsana New"/>
      <family val="1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/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22"/>
      </bottom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/>
      <diagonal/>
    </border>
    <border>
      <left style="medium">
        <color indexed="64"/>
      </left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/>
      <right style="medium">
        <color indexed="64"/>
      </right>
      <top/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/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9" fontId="5" fillId="0" borderId="0"/>
    <xf numFmtId="0" fontId="1" fillId="0" borderId="0"/>
    <xf numFmtId="4" fontId="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21" fillId="0" borderId="0" applyFont="0" applyFill="0" applyBorder="0" applyAlignment="0" applyProtection="0"/>
    <xf numFmtId="191" fontId="23" fillId="0" borderId="0" applyFont="0" applyFill="0" applyBorder="0" applyAlignment="0" applyProtection="0"/>
    <xf numFmtId="0" fontId="20" fillId="0" borderId="0"/>
    <xf numFmtId="0" fontId="21" fillId="0" borderId="0"/>
    <xf numFmtId="0" fontId="23" fillId="0" borderId="0"/>
    <xf numFmtId="9" fontId="21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1" fillId="12" borderId="78" applyNumberFormat="0" applyAlignment="0" applyProtection="0"/>
    <xf numFmtId="0" fontId="42" fillId="11" borderId="78" applyNumberFormat="0" applyAlignment="0" applyProtection="0"/>
  </cellStyleXfs>
  <cellXfs count="518">
    <xf numFmtId="0" fontId="0" fillId="0" borderId="0" xfId="0"/>
    <xf numFmtId="0" fontId="3" fillId="0" borderId="0" xfId="0" applyFont="1"/>
    <xf numFmtId="39" fontId="3" fillId="0" borderId="1" xfId="3" applyFont="1" applyBorder="1"/>
    <xf numFmtId="39" fontId="3" fillId="0" borderId="2" xfId="3" applyFont="1" applyBorder="1"/>
    <xf numFmtId="39" fontId="3" fillId="0" borderId="0" xfId="3" applyFont="1"/>
    <xf numFmtId="39" fontId="3" fillId="0" borderId="18" xfId="3" applyFont="1" applyBorder="1" applyAlignment="1">
      <alignment horizontal="center"/>
    </xf>
    <xf numFmtId="39" fontId="3" fillId="0" borderId="19" xfId="3" applyFont="1" applyBorder="1" applyAlignment="1">
      <alignment horizontal="center"/>
    </xf>
    <xf numFmtId="1" fontId="2" fillId="0" borderId="19" xfId="3" applyNumberFormat="1" applyFont="1" applyBorder="1" applyAlignment="1">
      <alignment horizontal="center"/>
    </xf>
    <xf numFmtId="1" fontId="2" fillId="0" borderId="20" xfId="3" applyNumberFormat="1" applyFont="1" applyBorder="1" applyAlignment="1">
      <alignment horizontal="center"/>
    </xf>
    <xf numFmtId="39" fontId="3" fillId="0" borderId="13" xfId="3" applyFont="1" applyBorder="1" applyAlignment="1">
      <alignment horizontal="center"/>
    </xf>
    <xf numFmtId="39" fontId="3" fillId="0" borderId="15" xfId="3" applyFont="1" applyBorder="1" applyAlignment="1">
      <alignment horizontal="center"/>
    </xf>
    <xf numFmtId="39" fontId="3" fillId="0" borderId="3" xfId="3" applyFont="1" applyBorder="1" applyAlignment="1">
      <alignment horizontal="center"/>
    </xf>
    <xf numFmtId="39" fontId="3" fillId="0" borderId="14" xfId="3" applyFont="1" applyBorder="1" applyAlignment="1">
      <alignment horizontal="center"/>
    </xf>
    <xf numFmtId="39" fontId="3" fillId="0" borderId="16" xfId="3" applyFont="1" applyBorder="1" applyAlignment="1">
      <alignment horizontal="center"/>
    </xf>
    <xf numFmtId="39" fontId="3" fillId="0" borderId="4" xfId="3" applyFont="1" applyBorder="1" applyAlignment="1">
      <alignment horizontal="center"/>
    </xf>
    <xf numFmtId="39" fontId="3" fillId="0" borderId="2" xfId="3" applyFont="1" applyBorder="1" applyAlignment="1">
      <alignment horizontal="right"/>
    </xf>
    <xf numFmtId="0" fontId="6" fillId="0" borderId="0" xfId="0" applyFont="1"/>
    <xf numFmtId="0" fontId="8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6" xfId="0" applyFont="1" applyBorder="1" applyAlignment="1">
      <alignment horizontal="left"/>
    </xf>
    <xf numFmtId="0" fontId="8" fillId="0" borderId="10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/>
    <xf numFmtId="3" fontId="8" fillId="0" borderId="5" xfId="0" applyNumberFormat="1" applyFont="1" applyBorder="1"/>
    <xf numFmtId="0" fontId="8" fillId="0" borderId="5" xfId="0" applyFont="1" applyBorder="1"/>
    <xf numFmtId="0" fontId="8" fillId="0" borderId="2" xfId="0" applyFont="1" applyBorder="1"/>
    <xf numFmtId="0" fontId="8" fillId="0" borderId="12" xfId="0" applyFont="1" applyBorder="1"/>
    <xf numFmtId="0" fontId="8" fillId="0" borderId="2" xfId="0" applyFont="1" applyBorder="1" applyAlignment="1">
      <alignment horizontal="center"/>
    </xf>
    <xf numFmtId="187" fontId="8" fillId="0" borderId="2" xfId="0" applyNumberFormat="1" applyFont="1" applyBorder="1"/>
    <xf numFmtId="43" fontId="8" fillId="0" borderId="2" xfId="0" applyNumberFormat="1" applyFont="1" applyBorder="1"/>
    <xf numFmtId="39" fontId="8" fillId="0" borderId="25" xfId="0" applyNumberFormat="1" applyFont="1" applyBorder="1" applyAlignment="1">
      <alignment horizontal="left"/>
    </xf>
    <xf numFmtId="39" fontId="8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5" xfId="0" applyFont="1" applyBorder="1"/>
    <xf numFmtId="41" fontId="8" fillId="0" borderId="2" xfId="0" applyNumberFormat="1" applyFont="1" applyBorder="1"/>
    <xf numFmtId="0" fontId="8" fillId="0" borderId="25" xfId="0" applyFont="1" applyBorder="1"/>
    <xf numFmtId="49" fontId="7" fillId="0" borderId="25" xfId="0" applyNumberFormat="1" applyFont="1" applyBorder="1"/>
    <xf numFmtId="49" fontId="8" fillId="0" borderId="25" xfId="0" applyNumberFormat="1" applyFont="1" applyBorder="1"/>
    <xf numFmtId="187" fontId="8" fillId="0" borderId="12" xfId="0" applyNumberFormat="1" applyFont="1" applyBorder="1"/>
    <xf numFmtId="0" fontId="8" fillId="0" borderId="10" xfId="0" applyFont="1" applyBorder="1"/>
    <xf numFmtId="0" fontId="8" fillId="0" borderId="26" xfId="0" applyFont="1" applyBorder="1"/>
    <xf numFmtId="0" fontId="8" fillId="0" borderId="11" xfId="0" applyFont="1" applyBorder="1"/>
    <xf numFmtId="4" fontId="7" fillId="0" borderId="11" xfId="0" applyNumberFormat="1" applyFont="1" applyBorder="1"/>
    <xf numFmtId="0" fontId="8" fillId="0" borderId="25" xfId="0" applyFont="1" applyBorder="1" applyAlignment="1">
      <alignment horizontal="center"/>
    </xf>
    <xf numFmtId="41" fontId="8" fillId="0" borderId="2" xfId="0" applyNumberFormat="1" applyFont="1" applyBorder="1" applyAlignment="1">
      <alignment horizontal="right"/>
    </xf>
    <xf numFmtId="0" fontId="8" fillId="0" borderId="24" xfId="0" applyFont="1" applyBorder="1"/>
    <xf numFmtId="0" fontId="8" fillId="0" borderId="27" xfId="0" applyFont="1" applyBorder="1"/>
    <xf numFmtId="41" fontId="8" fillId="0" borderId="10" xfId="0" applyNumberFormat="1" applyFont="1" applyBorder="1" applyAlignment="1">
      <alignment horizontal="center"/>
    </xf>
    <xf numFmtId="43" fontId="8" fillId="0" borderId="10" xfId="0" applyNumberFormat="1" applyFont="1" applyBorder="1"/>
    <xf numFmtId="4" fontId="8" fillId="0" borderId="0" xfId="5" applyFont="1"/>
    <xf numFmtId="3" fontId="8" fillId="0" borderId="0" xfId="0" applyNumberFormat="1" applyFont="1" applyAlignment="1">
      <alignment horizontal="center"/>
    </xf>
    <xf numFmtId="3" fontId="8" fillId="0" borderId="0" xfId="0" applyNumberFormat="1" applyFont="1"/>
    <xf numFmtId="0" fontId="7" fillId="0" borderId="9" xfId="0" applyFont="1" applyBorder="1" applyAlignment="1">
      <alignment horizontal="center"/>
    </xf>
    <xf numFmtId="39" fontId="8" fillId="0" borderId="0" xfId="0" applyNumberFormat="1" applyFont="1" applyAlignment="1">
      <alignment horizontal="left"/>
    </xf>
    <xf numFmtId="39" fontId="7" fillId="0" borderId="0" xfId="0" applyNumberFormat="1" applyFont="1" applyAlignment="1">
      <alignment horizontal="left"/>
    </xf>
    <xf numFmtId="0" fontId="8" fillId="0" borderId="28" xfId="0" applyFont="1" applyBorder="1"/>
    <xf numFmtId="0" fontId="8" fillId="0" borderId="6" xfId="0" applyFont="1" applyBorder="1"/>
    <xf numFmtId="4" fontId="8" fillId="0" borderId="0" xfId="5" applyFont="1" applyAlignment="1">
      <alignment horizontal="left"/>
    </xf>
    <xf numFmtId="4" fontId="8" fillId="0" borderId="0" xfId="5" applyFont="1" applyProtection="1">
      <protection locked="0"/>
    </xf>
    <xf numFmtId="0" fontId="8" fillId="0" borderId="0" xfId="0" applyFont="1" applyProtection="1">
      <protection locked="0"/>
    </xf>
    <xf numFmtId="39" fontId="8" fillId="0" borderId="0" xfId="0" applyNumberFormat="1" applyFont="1" applyAlignment="1">
      <alignment horizontal="center"/>
    </xf>
    <xf numFmtId="4" fontId="8" fillId="0" borderId="0" xfId="5" applyFont="1" applyAlignment="1" applyProtection="1">
      <alignment horizontal="center"/>
      <protection locked="0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0" xfId="0" applyFont="1"/>
    <xf numFmtId="39" fontId="3" fillId="0" borderId="29" xfId="3" applyFont="1" applyBorder="1"/>
    <xf numFmtId="1" fontId="2" fillId="0" borderId="30" xfId="3" applyNumberFormat="1" applyFont="1" applyBorder="1" applyAlignment="1">
      <alignment horizontal="center"/>
    </xf>
    <xf numFmtId="39" fontId="3" fillId="0" borderId="31" xfId="3" applyFont="1" applyBorder="1" applyAlignment="1">
      <alignment horizontal="right"/>
    </xf>
    <xf numFmtId="39" fontId="3" fillId="0" borderId="31" xfId="3" applyFont="1" applyBorder="1"/>
    <xf numFmtId="39" fontId="3" fillId="0" borderId="32" xfId="3" applyFont="1" applyBorder="1" applyAlignment="1">
      <alignment horizontal="right"/>
    </xf>
    <xf numFmtId="39" fontId="3" fillId="0" borderId="32" xfId="3" applyFont="1" applyBorder="1"/>
    <xf numFmtId="39" fontId="3" fillId="0" borderId="33" xfId="3" applyFont="1" applyBorder="1" applyAlignment="1">
      <alignment horizontal="right"/>
    </xf>
    <xf numFmtId="39" fontId="3" fillId="0" borderId="33" xfId="3" applyFont="1" applyBorder="1"/>
    <xf numFmtId="39" fontId="3" fillId="2" borderId="34" xfId="3" applyFont="1" applyFill="1" applyBorder="1"/>
    <xf numFmtId="39" fontId="3" fillId="2" borderId="35" xfId="3" applyFont="1" applyFill="1" applyBorder="1"/>
    <xf numFmtId="39" fontId="3" fillId="0" borderId="36" xfId="3" applyFont="1" applyBorder="1"/>
    <xf numFmtId="39" fontId="3" fillId="0" borderId="37" xfId="3" applyFont="1" applyBorder="1"/>
    <xf numFmtId="1" fontId="2" fillId="0" borderId="38" xfId="3" applyNumberFormat="1" applyFont="1" applyBorder="1" applyAlignment="1">
      <alignment horizontal="center"/>
    </xf>
    <xf numFmtId="39" fontId="3" fillId="0" borderId="39" xfId="3" applyFont="1" applyBorder="1"/>
    <xf numFmtId="39" fontId="3" fillId="0" borderId="40" xfId="3" applyFont="1" applyBorder="1" applyAlignment="1">
      <alignment horizontal="right"/>
    </xf>
    <xf numFmtId="39" fontId="3" fillId="0" borderId="40" xfId="3" applyFont="1" applyBorder="1"/>
    <xf numFmtId="194" fontId="8" fillId="0" borderId="0" xfId="1" applyNumberFormat="1" applyFont="1" applyProtection="1"/>
    <xf numFmtId="39" fontId="3" fillId="2" borderId="41" xfId="3" applyFont="1" applyFill="1" applyBorder="1"/>
    <xf numFmtId="1" fontId="11" fillId="0" borderId="43" xfId="3" quotePrefix="1" applyNumberFormat="1" applyFont="1" applyBorder="1"/>
    <xf numFmtId="39" fontId="3" fillId="2" borderId="35" xfId="3" applyFont="1" applyFill="1" applyBorder="1" applyAlignment="1">
      <alignment horizontal="right"/>
    </xf>
    <xf numFmtId="39" fontId="3" fillId="2" borderId="44" xfId="3" applyFont="1" applyFill="1" applyBorder="1" applyAlignment="1">
      <alignment horizontal="right"/>
    </xf>
    <xf numFmtId="39" fontId="3" fillId="0" borderId="45" xfId="3" applyFont="1" applyBorder="1"/>
    <xf numFmtId="39" fontId="3" fillId="0" borderId="47" xfId="3" applyFont="1" applyBorder="1"/>
    <xf numFmtId="39" fontId="3" fillId="0" borderId="48" xfId="3" applyFont="1" applyBorder="1" applyAlignment="1">
      <alignment horizontal="right"/>
    </xf>
    <xf numFmtId="39" fontId="3" fillId="0" borderId="48" xfId="3" applyFont="1" applyBorder="1"/>
    <xf numFmtId="43" fontId="8" fillId="0" borderId="0" xfId="0" applyNumberFormat="1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190" fontId="8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93" fontId="8" fillId="0" borderId="0" xfId="0" applyNumberFormat="1" applyFont="1"/>
    <xf numFmtId="3" fontId="8" fillId="0" borderId="0" xfId="0" applyNumberFormat="1" applyFont="1" applyAlignment="1">
      <alignment horizontal="left"/>
    </xf>
    <xf numFmtId="0" fontId="6" fillId="0" borderId="12" xfId="0" applyFont="1" applyBorder="1"/>
    <xf numFmtId="0" fontId="8" fillId="0" borderId="9" xfId="0" applyFont="1" applyBorder="1"/>
    <xf numFmtId="3" fontId="6" fillId="0" borderId="24" xfId="0" applyNumberFormat="1" applyFont="1" applyBorder="1"/>
    <xf numFmtId="3" fontId="8" fillId="0" borderId="23" xfId="0" applyNumberFormat="1" applyFont="1" applyBorder="1"/>
    <xf numFmtId="3" fontId="8" fillId="0" borderId="25" xfId="0" applyNumberFormat="1" applyFont="1" applyBorder="1"/>
    <xf numFmtId="3" fontId="8" fillId="0" borderId="27" xfId="0" applyNumberFormat="1" applyFont="1" applyBorder="1"/>
    <xf numFmtId="4" fontId="8" fillId="0" borderId="0" xfId="0" applyNumberFormat="1" applyFont="1" applyAlignment="1">
      <alignment horizontal="center"/>
    </xf>
    <xf numFmtId="3" fontId="9" fillId="0" borderId="0" xfId="0" applyNumberFormat="1" applyFont="1"/>
    <xf numFmtId="4" fontId="8" fillId="0" borderId="0" xfId="5" applyFont="1" applyAlignment="1">
      <alignment horizontal="right"/>
    </xf>
    <xf numFmtId="4" fontId="8" fillId="0" borderId="0" xfId="5" applyFont="1" applyAlignment="1" applyProtection="1">
      <alignment horizontal="right"/>
      <protection locked="0"/>
    </xf>
    <xf numFmtId="4" fontId="8" fillId="0" borderId="0" xfId="0" applyNumberFormat="1" applyFont="1"/>
    <xf numFmtId="0" fontId="8" fillId="0" borderId="7" xfId="0" applyFont="1" applyBorder="1"/>
    <xf numFmtId="0" fontId="13" fillId="0" borderId="2" xfId="0" applyFont="1" applyBorder="1" applyAlignment="1">
      <alignment horizontal="center"/>
    </xf>
    <xf numFmtId="0" fontId="16" fillId="0" borderId="12" xfId="0" applyFont="1" applyBorder="1"/>
    <xf numFmtId="0" fontId="16" fillId="0" borderId="0" xfId="0" applyFont="1"/>
    <xf numFmtId="0" fontId="16" fillId="0" borderId="25" xfId="0" applyFont="1" applyBorder="1"/>
    <xf numFmtId="0" fontId="16" fillId="0" borderId="2" xfId="0" applyFont="1" applyBorder="1"/>
    <xf numFmtId="43" fontId="16" fillId="0" borderId="0" xfId="0" applyNumberFormat="1" applyFont="1"/>
    <xf numFmtId="0" fontId="17" fillId="0" borderId="2" xfId="0" applyFont="1" applyBorder="1"/>
    <xf numFmtId="0" fontId="17" fillId="0" borderId="12" xfId="0" applyFont="1" applyBorder="1"/>
    <xf numFmtId="0" fontId="17" fillId="0" borderId="0" xfId="0" applyFont="1"/>
    <xf numFmtId="0" fontId="17" fillId="0" borderId="25" xfId="0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/>
    <xf numFmtId="4" fontId="15" fillId="0" borderId="2" xfId="0" applyNumberFormat="1" applyFont="1" applyBorder="1" applyAlignment="1">
      <alignment horizontal="right"/>
    </xf>
    <xf numFmtId="0" fontId="15" fillId="0" borderId="0" xfId="0" applyFont="1"/>
    <xf numFmtId="0" fontId="15" fillId="0" borderId="24" xfId="0" applyFont="1" applyBorder="1"/>
    <xf numFmtId="0" fontId="15" fillId="0" borderId="27" xfId="0" applyFont="1" applyBorder="1"/>
    <xf numFmtId="4" fontId="15" fillId="0" borderId="11" xfId="0" applyNumberFormat="1" applyFont="1" applyBorder="1"/>
    <xf numFmtId="39" fontId="3" fillId="0" borderId="49" xfId="3" applyFont="1" applyBorder="1" applyAlignment="1">
      <alignment horizontal="right"/>
    </xf>
    <xf numFmtId="39" fontId="3" fillId="0" borderId="50" xfId="3" applyFont="1" applyBorder="1" applyAlignment="1">
      <alignment horizontal="right"/>
    </xf>
    <xf numFmtId="39" fontId="3" fillId="0" borderId="51" xfId="3" applyFont="1" applyBorder="1" applyAlignment="1">
      <alignment horizontal="right"/>
    </xf>
    <xf numFmtId="39" fontId="3" fillId="0" borderId="52" xfId="3" applyFont="1" applyBorder="1" applyAlignment="1">
      <alignment horizontal="right"/>
    </xf>
    <xf numFmtId="39" fontId="3" fillId="0" borderId="42" xfId="3" applyFont="1" applyBorder="1" applyAlignment="1">
      <alignment horizontal="right"/>
    </xf>
    <xf numFmtId="0" fontId="3" fillId="2" borderId="35" xfId="0" applyFont="1" applyFill="1" applyBorder="1"/>
    <xf numFmtId="0" fontId="3" fillId="2" borderId="44" xfId="0" applyFont="1" applyFill="1" applyBorder="1"/>
    <xf numFmtId="39" fontId="3" fillId="2" borderId="53" xfId="3" applyFont="1" applyFill="1" applyBorder="1" applyAlignment="1">
      <alignment horizontal="right"/>
    </xf>
    <xf numFmtId="39" fontId="3" fillId="2" borderId="54" xfId="3" applyFont="1" applyFill="1" applyBorder="1" applyAlignment="1">
      <alignment horizontal="right"/>
    </xf>
    <xf numFmtId="41" fontId="8" fillId="4" borderId="2" xfId="0" applyNumberFormat="1" applyFont="1" applyFill="1" applyBorder="1"/>
    <xf numFmtId="189" fontId="8" fillId="5" borderId="0" xfId="0" applyNumberFormat="1" applyFont="1" applyFill="1" applyAlignment="1">
      <alignment horizontal="center"/>
    </xf>
    <xf numFmtId="195" fontId="8" fillId="4" borderId="2" xfId="0" applyNumberFormat="1" applyFont="1" applyFill="1" applyBorder="1"/>
    <xf numFmtId="39" fontId="3" fillId="0" borderId="17" xfId="3" applyFont="1" applyBorder="1" applyAlignment="1">
      <alignment horizontal="center"/>
    </xf>
    <xf numFmtId="39" fontId="3" fillId="0" borderId="21" xfId="3" applyFont="1" applyBorder="1" applyAlignment="1">
      <alignment horizontal="center"/>
    </xf>
    <xf numFmtId="39" fontId="3" fillId="6" borderId="15" xfId="3" applyFont="1" applyFill="1" applyBorder="1" applyAlignment="1">
      <alignment horizontal="center"/>
    </xf>
    <xf numFmtId="39" fontId="3" fillId="6" borderId="16" xfId="3" applyFont="1" applyFill="1" applyBorder="1" applyAlignment="1">
      <alignment horizontal="center"/>
    </xf>
    <xf numFmtId="192" fontId="8" fillId="0" borderId="12" xfId="0" applyNumberFormat="1" applyFont="1" applyBorder="1"/>
    <xf numFmtId="39" fontId="8" fillId="0" borderId="0" xfId="0" applyNumberFormat="1" applyFont="1"/>
    <xf numFmtId="189" fontId="8" fillId="4" borderId="0" xfId="0" applyNumberFormat="1" applyFont="1" applyFill="1" applyAlignment="1">
      <alignment horizontal="center"/>
    </xf>
    <xf numFmtId="196" fontId="8" fillId="4" borderId="2" xfId="0" applyNumberFormat="1" applyFont="1" applyFill="1" applyBorder="1"/>
    <xf numFmtId="2" fontId="8" fillId="4" borderId="0" xfId="0" applyNumberFormat="1" applyFont="1" applyFill="1" applyAlignment="1">
      <alignment horizontal="center"/>
    </xf>
    <xf numFmtId="197" fontId="8" fillId="4" borderId="0" xfId="0" applyNumberFormat="1" applyFont="1" applyFill="1" applyAlignment="1">
      <alignment horizontal="center"/>
    </xf>
    <xf numFmtId="4" fontId="8" fillId="0" borderId="0" xfId="5" applyFont="1" applyAlignment="1">
      <alignment horizontal="left" indent="1"/>
    </xf>
    <xf numFmtId="4" fontId="8" fillId="0" borderId="0" xfId="5" applyFont="1" applyAlignment="1">
      <alignment horizontal="left" indent="2"/>
    </xf>
    <xf numFmtId="0" fontId="8" fillId="0" borderId="0" xfId="0" applyFont="1" applyAlignment="1" applyProtection="1">
      <alignment horizontal="left" indent="7"/>
      <protection locked="0"/>
    </xf>
    <xf numFmtId="4" fontId="8" fillId="0" borderId="0" xfId="5" applyFont="1" applyAlignment="1" applyProtection="1">
      <alignment horizontal="left" indent="6"/>
      <protection locked="0"/>
    </xf>
    <xf numFmtId="0" fontId="8" fillId="0" borderId="0" xfId="0" applyFont="1" applyAlignment="1">
      <alignment horizontal="left" indent="7"/>
    </xf>
    <xf numFmtId="0" fontId="8" fillId="0" borderId="0" xfId="0" applyFont="1" applyAlignment="1">
      <alignment horizontal="left" indent="5"/>
    </xf>
    <xf numFmtId="189" fontId="8" fillId="0" borderId="0" xfId="0" applyNumberFormat="1" applyFont="1" applyAlignment="1">
      <alignment horizontal="left"/>
    </xf>
    <xf numFmtId="43" fontId="8" fillId="0" borderId="25" xfId="0" applyNumberFormat="1" applyFont="1" applyBorder="1"/>
    <xf numFmtId="4" fontId="15" fillId="0" borderId="26" xfId="0" applyNumberFormat="1" applyFont="1" applyBorder="1"/>
    <xf numFmtId="4" fontId="15" fillId="0" borderId="25" xfId="0" applyNumberFormat="1" applyFont="1" applyBorder="1" applyAlignment="1">
      <alignment horizontal="right"/>
    </xf>
    <xf numFmtId="4" fontId="7" fillId="0" borderId="26" xfId="0" applyNumberFormat="1" applyFont="1" applyBorder="1"/>
    <xf numFmtId="0" fontId="8" fillId="0" borderId="11" xfId="0" applyFont="1" applyBorder="1" applyAlignment="1">
      <alignment horizontal="center" vertical="center"/>
    </xf>
    <xf numFmtId="198" fontId="8" fillId="0" borderId="25" xfId="0" applyNumberFormat="1" applyFont="1" applyBorder="1"/>
    <xf numFmtId="3" fontId="8" fillId="0" borderId="27" xfId="0" applyNumberFormat="1" applyFont="1" applyBorder="1" applyAlignment="1">
      <alignment horizontal="center"/>
    </xf>
    <xf numFmtId="0" fontId="7" fillId="0" borderId="27" xfId="0" applyFont="1" applyBorder="1"/>
    <xf numFmtId="4" fontId="30" fillId="0" borderId="0" xfId="0" applyNumberFormat="1" applyFont="1"/>
    <xf numFmtId="39" fontId="3" fillId="8" borderId="35" xfId="3" applyFont="1" applyFill="1" applyBorder="1"/>
    <xf numFmtId="39" fontId="3" fillId="8" borderId="44" xfId="3" applyFont="1" applyFill="1" applyBorder="1"/>
    <xf numFmtId="39" fontId="3" fillId="8" borderId="41" xfId="3" applyFont="1" applyFill="1" applyBorder="1"/>
    <xf numFmtId="39" fontId="3" fillId="8" borderId="34" xfId="3" applyFont="1" applyFill="1" applyBorder="1"/>
    <xf numFmtId="39" fontId="3" fillId="8" borderId="32" xfId="3" applyFont="1" applyFill="1" applyBorder="1"/>
    <xf numFmtId="39" fontId="3" fillId="8" borderId="32" xfId="3" applyFont="1" applyFill="1" applyBorder="1" applyAlignment="1">
      <alignment horizontal="right"/>
    </xf>
    <xf numFmtId="39" fontId="3" fillId="8" borderId="56" xfId="3" applyFont="1" applyFill="1" applyBorder="1" applyAlignment="1">
      <alignment horizontal="right"/>
    </xf>
    <xf numFmtId="39" fontId="3" fillId="8" borderId="49" xfId="3" applyFont="1" applyFill="1" applyBorder="1" applyAlignment="1">
      <alignment horizontal="right"/>
    </xf>
    <xf numFmtId="39" fontId="3" fillId="8" borderId="31" xfId="3" applyFont="1" applyFill="1" applyBorder="1"/>
    <xf numFmtId="39" fontId="3" fillId="8" borderId="31" xfId="3" applyFont="1" applyFill="1" applyBorder="1" applyAlignment="1">
      <alignment horizontal="right"/>
    </xf>
    <xf numFmtId="39" fontId="3" fillId="8" borderId="57" xfId="3" applyFont="1" applyFill="1" applyBorder="1" applyAlignment="1">
      <alignment horizontal="right"/>
    </xf>
    <xf numFmtId="39" fontId="3" fillId="8" borderId="50" xfId="3" applyFont="1" applyFill="1" applyBorder="1" applyAlignment="1">
      <alignment horizontal="right"/>
    </xf>
    <xf numFmtId="39" fontId="3" fillId="8" borderId="51" xfId="3" applyFont="1" applyFill="1" applyBorder="1" applyAlignment="1">
      <alignment horizontal="right"/>
    </xf>
    <xf numFmtId="39" fontId="3" fillId="8" borderId="52" xfId="3" applyFont="1" applyFill="1" applyBorder="1" applyAlignment="1">
      <alignment horizontal="right"/>
    </xf>
    <xf numFmtId="39" fontId="3" fillId="8" borderId="40" xfId="3" applyFont="1" applyFill="1" applyBorder="1"/>
    <xf numFmtId="39" fontId="3" fillId="8" borderId="40" xfId="3" applyFont="1" applyFill="1" applyBorder="1" applyAlignment="1">
      <alignment horizontal="right"/>
    </xf>
    <xf numFmtId="39" fontId="3" fillId="8" borderId="58" xfId="3" applyFont="1" applyFill="1" applyBorder="1" applyAlignment="1">
      <alignment horizontal="right"/>
    </xf>
    <xf numFmtId="39" fontId="3" fillId="8" borderId="2" xfId="3" applyFont="1" applyFill="1" applyBorder="1"/>
    <xf numFmtId="39" fontId="3" fillId="8" borderId="2" xfId="3" applyFont="1" applyFill="1" applyBorder="1" applyAlignment="1">
      <alignment horizontal="right"/>
    </xf>
    <xf numFmtId="39" fontId="3" fillId="8" borderId="22" xfId="3" applyFont="1" applyFill="1" applyBorder="1" applyAlignment="1">
      <alignment horizontal="right"/>
    </xf>
    <xf numFmtId="39" fontId="3" fillId="8" borderId="33" xfId="3" applyFont="1" applyFill="1" applyBorder="1"/>
    <xf numFmtId="39" fontId="3" fillId="8" borderId="33" xfId="3" applyFont="1" applyFill="1" applyBorder="1" applyAlignment="1">
      <alignment horizontal="right"/>
    </xf>
    <xf numFmtId="39" fontId="3" fillId="8" borderId="59" xfId="3" applyFont="1" applyFill="1" applyBorder="1" applyAlignment="1">
      <alignment horizontal="right"/>
    </xf>
    <xf numFmtId="39" fontId="3" fillId="8" borderId="42" xfId="3" applyFont="1" applyFill="1" applyBorder="1" applyAlignment="1">
      <alignment horizontal="right"/>
    </xf>
    <xf numFmtId="39" fontId="3" fillId="8" borderId="35" xfId="3" applyFont="1" applyFill="1" applyBorder="1" applyAlignment="1">
      <alignment horizontal="right"/>
    </xf>
    <xf numFmtId="39" fontId="3" fillId="8" borderId="60" xfId="3" applyFont="1" applyFill="1" applyBorder="1" applyAlignment="1">
      <alignment horizontal="right"/>
    </xf>
    <xf numFmtId="39" fontId="3" fillId="8" borderId="48" xfId="3" applyFont="1" applyFill="1" applyBorder="1"/>
    <xf numFmtId="39" fontId="3" fillId="8" borderId="48" xfId="3" applyFont="1" applyFill="1" applyBorder="1" applyAlignment="1">
      <alignment horizontal="right"/>
    </xf>
    <xf numFmtId="2" fontId="3" fillId="8" borderId="46" xfId="0" applyNumberFormat="1" applyFont="1" applyFill="1" applyBorder="1"/>
    <xf numFmtId="39" fontId="3" fillId="8" borderId="61" xfId="3" applyFont="1" applyFill="1" applyBorder="1" applyAlignment="1">
      <alignment horizontal="right"/>
    </xf>
    <xf numFmtId="2" fontId="3" fillId="8" borderId="0" xfId="0" applyNumberFormat="1" applyFont="1" applyFill="1"/>
    <xf numFmtId="2" fontId="3" fillId="8" borderId="16" xfId="0" applyNumberFormat="1" applyFont="1" applyFill="1" applyBorder="1"/>
    <xf numFmtId="2" fontId="3" fillId="8" borderId="35" xfId="0" applyNumberFormat="1" applyFont="1" applyFill="1" applyBorder="1"/>
    <xf numFmtId="0" fontId="3" fillId="8" borderId="35" xfId="0" applyFont="1" applyFill="1" applyBorder="1"/>
    <xf numFmtId="0" fontId="22" fillId="0" borderId="0" xfId="11" applyFont="1"/>
    <xf numFmtId="2" fontId="22" fillId="0" borderId="0" xfId="11" applyNumberFormat="1" applyFont="1"/>
    <xf numFmtId="0" fontId="24" fillId="0" borderId="0" xfId="10" applyFont="1"/>
    <xf numFmtId="0" fontId="24" fillId="3" borderId="0" xfId="10" applyFont="1" applyFill="1"/>
    <xf numFmtId="0" fontId="24" fillId="0" borderId="10" xfId="10" applyFont="1" applyBorder="1" applyAlignment="1">
      <alignment horizontal="center"/>
    </xf>
    <xf numFmtId="0" fontId="24" fillId="3" borderId="0" xfId="10" applyFont="1" applyFill="1" applyAlignment="1">
      <alignment horizontal="center"/>
    </xf>
    <xf numFmtId="2" fontId="24" fillId="0" borderId="10" xfId="10" applyNumberFormat="1" applyFont="1" applyBorder="1" applyAlignment="1">
      <alignment horizontal="center"/>
    </xf>
    <xf numFmtId="0" fontId="24" fillId="3" borderId="0" xfId="10" applyFont="1" applyFill="1" applyProtection="1">
      <protection locked="0"/>
    </xf>
    <xf numFmtId="0" fontId="24" fillId="7" borderId="11" xfId="10" applyFont="1" applyFill="1" applyBorder="1" applyAlignment="1">
      <alignment horizontal="center"/>
    </xf>
    <xf numFmtId="0" fontId="24" fillId="0" borderId="5" xfId="10" applyFont="1" applyBorder="1" applyAlignment="1">
      <alignment horizontal="center"/>
    </xf>
    <xf numFmtId="2" fontId="24" fillId="0" borderId="5" xfId="10" applyNumberFormat="1" applyFont="1" applyBorder="1" applyAlignment="1">
      <alignment horizontal="center"/>
    </xf>
    <xf numFmtId="0" fontId="24" fillId="0" borderId="11" xfId="10" applyFont="1" applyBorder="1" applyAlignment="1">
      <alignment horizontal="center"/>
    </xf>
    <xf numFmtId="0" fontId="24" fillId="9" borderId="8" xfId="10" applyFont="1" applyFill="1" applyBorder="1" applyAlignment="1">
      <alignment horizontal="center"/>
    </xf>
    <xf numFmtId="2" fontId="24" fillId="0" borderId="11" xfId="6" applyNumberFormat="1" applyFont="1" applyFill="1" applyBorder="1" applyAlignment="1">
      <alignment horizontal="center"/>
    </xf>
    <xf numFmtId="2" fontId="24" fillId="0" borderId="11" xfId="10" applyNumberFormat="1" applyFont="1" applyBorder="1" applyAlignment="1">
      <alignment horizontal="center"/>
    </xf>
    <xf numFmtId="0" fontId="24" fillId="9" borderId="11" xfId="10" applyFont="1" applyFill="1" applyBorder="1" applyAlignment="1">
      <alignment horizontal="center"/>
    </xf>
    <xf numFmtId="0" fontId="24" fillId="9" borderId="0" xfId="10" applyFont="1" applyFill="1" applyAlignment="1">
      <alignment horizontal="center"/>
    </xf>
    <xf numFmtId="39" fontId="3" fillId="10" borderId="34" xfId="3" applyFont="1" applyFill="1" applyBorder="1"/>
    <xf numFmtId="39" fontId="3" fillId="10" borderId="49" xfId="3" applyFont="1" applyFill="1" applyBorder="1" applyAlignment="1">
      <alignment horizontal="right"/>
    </xf>
    <xf numFmtId="39" fontId="3" fillId="10" borderId="50" xfId="3" applyFont="1" applyFill="1" applyBorder="1" applyAlignment="1">
      <alignment horizontal="right"/>
    </xf>
    <xf numFmtId="39" fontId="3" fillId="10" borderId="51" xfId="3" applyFont="1" applyFill="1" applyBorder="1" applyAlignment="1">
      <alignment horizontal="right"/>
    </xf>
    <xf numFmtId="39" fontId="3" fillId="10" borderId="52" xfId="3" applyFont="1" applyFill="1" applyBorder="1" applyAlignment="1">
      <alignment horizontal="right"/>
    </xf>
    <xf numFmtId="0" fontId="31" fillId="3" borderId="0" xfId="10" applyFont="1" applyFill="1" applyAlignment="1">
      <alignment horizontal="center"/>
    </xf>
    <xf numFmtId="0" fontId="22" fillId="3" borderId="0" xfId="10" applyFont="1" applyFill="1"/>
    <xf numFmtId="43" fontId="24" fillId="0" borderId="68" xfId="1" applyFont="1" applyBorder="1" applyAlignment="1">
      <alignment horizontal="center" vertical="center"/>
    </xf>
    <xf numFmtId="0" fontId="32" fillId="0" borderId="11" xfId="10" applyFont="1" applyBorder="1" applyAlignment="1">
      <alignment horizontal="center"/>
    </xf>
    <xf numFmtId="0" fontId="26" fillId="0" borderId="11" xfId="10" applyFont="1" applyBorder="1" applyAlignment="1">
      <alignment horizontal="center"/>
    </xf>
    <xf numFmtId="0" fontId="35" fillId="0" borderId="0" xfId="15" applyFont="1"/>
    <xf numFmtId="9" fontId="36" fillId="0" borderId="0" xfId="15" applyNumberFormat="1" applyFont="1" applyAlignment="1">
      <alignment horizontal="center" vertical="center"/>
    </xf>
    <xf numFmtId="0" fontId="35" fillId="0" borderId="11" xfId="15" applyFont="1" applyBorder="1"/>
    <xf numFmtId="0" fontId="33" fillId="0" borderId="11" xfId="15" applyFont="1" applyBorder="1" applyAlignment="1">
      <alignment horizontal="center" vertical="center" wrapText="1"/>
    </xf>
    <xf numFmtId="0" fontId="33" fillId="0" borderId="11" xfId="15" applyFont="1" applyBorder="1" applyAlignment="1">
      <alignment horizontal="center" vertical="center"/>
    </xf>
    <xf numFmtId="0" fontId="37" fillId="0" borderId="11" xfId="15" applyFont="1" applyBorder="1" applyAlignment="1">
      <alignment horizontal="center"/>
    </xf>
    <xf numFmtId="0" fontId="35" fillId="0" borderId="11" xfId="15" applyFont="1" applyBorder="1" applyAlignment="1">
      <alignment horizontal="center"/>
    </xf>
    <xf numFmtId="0" fontId="38" fillId="7" borderId="0" xfId="15" applyFont="1" applyFill="1"/>
    <xf numFmtId="0" fontId="1" fillId="0" borderId="0" xfId="15"/>
    <xf numFmtId="43" fontId="39" fillId="11" borderId="79" xfId="16" applyFont="1" applyFill="1" applyBorder="1"/>
    <xf numFmtId="0" fontId="40" fillId="7" borderId="11" xfId="15" applyFont="1" applyFill="1" applyBorder="1" applyAlignment="1">
      <alignment horizontal="center"/>
    </xf>
    <xf numFmtId="0" fontId="1" fillId="0" borderId="11" xfId="15" applyBorder="1"/>
    <xf numFmtId="0" fontId="1" fillId="0" borderId="11" xfId="15" applyBorder="1" applyAlignment="1">
      <alignment horizontal="center"/>
    </xf>
    <xf numFmtId="3" fontId="41" fillId="12" borderId="11" xfId="17" applyNumberFormat="1" applyBorder="1" applyAlignment="1">
      <alignment horizontal="center"/>
    </xf>
    <xf numFmtId="187" fontId="43" fillId="0" borderId="11" xfId="18" applyNumberFormat="1" applyFont="1" applyFill="1" applyBorder="1" applyAlignment="1">
      <alignment horizontal="center"/>
    </xf>
    <xf numFmtId="202" fontId="41" fillId="12" borderId="11" xfId="17" applyNumberFormat="1" applyBorder="1"/>
    <xf numFmtId="43" fontId="0" fillId="0" borderId="0" xfId="16" applyFont="1"/>
    <xf numFmtId="0" fontId="44" fillId="0" borderId="0" xfId="15" applyFont="1" applyAlignment="1">
      <alignment horizontal="center"/>
    </xf>
    <xf numFmtId="188" fontId="41" fillId="12" borderId="78" xfId="17" applyNumberFormat="1"/>
    <xf numFmtId="205" fontId="41" fillId="12" borderId="78" xfId="17" applyNumberFormat="1"/>
    <xf numFmtId="188" fontId="35" fillId="0" borderId="11" xfId="15" applyNumberFormat="1" applyFont="1" applyBorder="1" applyAlignment="1">
      <alignment horizontal="center"/>
    </xf>
    <xf numFmtId="0" fontId="35" fillId="0" borderId="0" xfId="15" applyFont="1" applyAlignment="1">
      <alignment horizontal="center"/>
    </xf>
    <xf numFmtId="0" fontId="22" fillId="0" borderId="0" xfId="10" applyFont="1"/>
    <xf numFmtId="0" fontId="22" fillId="0" borderId="0" xfId="0" applyFont="1"/>
    <xf numFmtId="0" fontId="22" fillId="0" borderId="0" xfId="10" applyFont="1" applyAlignment="1">
      <alignment horizontal="left" indent="6"/>
    </xf>
    <xf numFmtId="0" fontId="22" fillId="0" borderId="0" xfId="4" applyFont="1"/>
    <xf numFmtId="0" fontId="22" fillId="0" borderId="0" xfId="10" applyFont="1" applyAlignment="1">
      <alignment horizontal="right"/>
    </xf>
    <xf numFmtId="199" fontId="22" fillId="0" borderId="0" xfId="6" applyNumberFormat="1" applyFont="1"/>
    <xf numFmtId="0" fontId="22" fillId="0" borderId="0" xfId="4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0" xfId="10" applyFont="1" applyAlignment="1">
      <alignment horizontal="center"/>
    </xf>
    <xf numFmtId="43" fontId="22" fillId="0" borderId="0" xfId="6" applyFont="1"/>
    <xf numFmtId="0" fontId="22" fillId="0" borderId="26" xfId="10" applyFont="1" applyBorder="1" applyAlignment="1">
      <alignment horizontal="center" vertical="center"/>
    </xf>
    <xf numFmtId="0" fontId="22" fillId="0" borderId="26" xfId="10" applyFont="1" applyBorder="1" applyAlignment="1">
      <alignment horizontal="centerContinuous" vertical="center"/>
    </xf>
    <xf numFmtId="0" fontId="22" fillId="0" borderId="8" xfId="10" applyFont="1" applyBorder="1" applyAlignment="1">
      <alignment horizontal="centerContinuous" vertical="center"/>
    </xf>
    <xf numFmtId="0" fontId="22" fillId="0" borderId="26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Continuous" vertical="center"/>
    </xf>
    <xf numFmtId="0" fontId="22" fillId="0" borderId="23" xfId="10" applyFont="1" applyBorder="1" applyAlignment="1">
      <alignment horizontal="center"/>
    </xf>
    <xf numFmtId="0" fontId="22" fillId="0" borderId="25" xfId="10" applyFont="1" applyBorder="1"/>
    <xf numFmtId="202" fontId="22" fillId="0" borderId="25" xfId="6" applyNumberFormat="1" applyFont="1" applyBorder="1" applyAlignment="1">
      <alignment horizontal="center"/>
    </xf>
    <xf numFmtId="43" fontId="22" fillId="0" borderId="25" xfId="6" applyFont="1" applyBorder="1"/>
    <xf numFmtId="0" fontId="22" fillId="0" borderId="25" xfId="10" applyFont="1" applyBorder="1" applyAlignment="1">
      <alignment horizontal="centerContinuous"/>
    </xf>
    <xf numFmtId="0" fontId="22" fillId="0" borderId="12" xfId="10" applyFont="1" applyBorder="1" applyAlignment="1">
      <alignment horizontal="centerContinuous"/>
    </xf>
    <xf numFmtId="0" fontId="46" fillId="0" borderId="25" xfId="10" applyFont="1" applyBorder="1" applyAlignment="1">
      <alignment horizontal="center"/>
    </xf>
    <xf numFmtId="0" fontId="46" fillId="0" borderId="25" xfId="10" applyFont="1" applyBorder="1" applyAlignment="1">
      <alignment horizontal="left"/>
    </xf>
    <xf numFmtId="0" fontId="46" fillId="0" borderId="0" xfId="10" applyFont="1" applyAlignment="1">
      <alignment horizontal="left"/>
    </xf>
    <xf numFmtId="202" fontId="46" fillId="0" borderId="25" xfId="6" applyNumberFormat="1" applyFont="1" applyBorder="1"/>
    <xf numFmtId="43" fontId="46" fillId="0" borderId="25" xfId="6" applyFont="1" applyBorder="1"/>
    <xf numFmtId="9" fontId="22" fillId="0" borderId="12" xfId="10" applyNumberFormat="1" applyFont="1" applyBorder="1" applyAlignment="1">
      <alignment horizontal="center"/>
    </xf>
    <xf numFmtId="43" fontId="22" fillId="0" borderId="0" xfId="6" applyFont="1" applyBorder="1"/>
    <xf numFmtId="0" fontId="46" fillId="0" borderId="25" xfId="10" applyFont="1" applyBorder="1"/>
    <xf numFmtId="0" fontId="46" fillId="0" borderId="0" xfId="10" applyFont="1"/>
    <xf numFmtId="202" fontId="46" fillId="0" borderId="25" xfId="6" quotePrefix="1" applyNumberFormat="1" applyFont="1" applyBorder="1" applyAlignment="1">
      <alignment horizontal="center"/>
    </xf>
    <xf numFmtId="0" fontId="22" fillId="0" borderId="25" xfId="10" quotePrefix="1" applyFont="1" applyBorder="1" applyAlignment="1">
      <alignment horizontal="left"/>
    </xf>
    <xf numFmtId="202" fontId="22" fillId="0" borderId="25" xfId="6" applyNumberFormat="1" applyFont="1" applyBorder="1"/>
    <xf numFmtId="0" fontId="22" fillId="0" borderId="24" xfId="10" applyFont="1" applyBorder="1"/>
    <xf numFmtId="0" fontId="22" fillId="0" borderId="27" xfId="10" applyFont="1" applyBorder="1"/>
    <xf numFmtId="43" fontId="22" fillId="0" borderId="24" xfId="6" quotePrefix="1" applyFont="1" applyBorder="1" applyAlignment="1">
      <alignment horizontal="center"/>
    </xf>
    <xf numFmtId="0" fontId="22" fillId="0" borderId="12" xfId="10" quotePrefix="1" applyFont="1" applyBorder="1" applyAlignment="1">
      <alignment horizontal="center"/>
    </xf>
    <xf numFmtId="0" fontId="45" fillId="0" borderId="25" xfId="10" applyFont="1" applyBorder="1" applyAlignment="1">
      <alignment horizontal="center"/>
    </xf>
    <xf numFmtId="0" fontId="45" fillId="0" borderId="0" xfId="10" applyFont="1" applyAlignment="1">
      <alignment horizontal="center"/>
    </xf>
    <xf numFmtId="43" fontId="22" fillId="0" borderId="24" xfId="6" applyFont="1" applyBorder="1"/>
    <xf numFmtId="0" fontId="22" fillId="0" borderId="9" xfId="10" applyFont="1" applyBorder="1"/>
    <xf numFmtId="43" fontId="45" fillId="0" borderId="66" xfId="6" applyFont="1" applyBorder="1"/>
    <xf numFmtId="0" fontId="22" fillId="0" borderId="12" xfId="10" applyFont="1" applyBorder="1"/>
    <xf numFmtId="204" fontId="22" fillId="0" borderId="27" xfId="10" applyNumberFormat="1" applyFont="1" applyBorder="1"/>
    <xf numFmtId="43" fontId="22" fillId="0" borderId="0" xfId="6" applyFont="1" applyBorder="1" applyAlignment="1"/>
    <xf numFmtId="0" fontId="22" fillId="0" borderId="0" xfId="0" applyFont="1" applyAlignment="1">
      <alignment horizontal="centerContinuous"/>
    </xf>
    <xf numFmtId="4" fontId="22" fillId="0" borderId="0" xfId="10" applyNumberFormat="1" applyFont="1"/>
    <xf numFmtId="0" fontId="22" fillId="0" borderId="0" xfId="0" applyFont="1" applyAlignment="1">
      <alignment horizontal="left"/>
    </xf>
    <xf numFmtId="0" fontId="22" fillId="0" borderId="0" xfId="0" quotePrefix="1" applyFont="1" applyAlignment="1">
      <alignment horizontal="left"/>
    </xf>
    <xf numFmtId="43" fontId="22" fillId="0" borderId="0" xfId="6" applyFont="1" applyAlignment="1"/>
    <xf numFmtId="201" fontId="22" fillId="0" borderId="0" xfId="10" applyNumberFormat="1" applyFont="1"/>
    <xf numFmtId="43" fontId="22" fillId="0" borderId="0" xfId="6" applyFont="1" applyAlignment="1">
      <alignment horizontal="center"/>
    </xf>
    <xf numFmtId="43" fontId="22" fillId="0" borderId="0" xfId="6" applyFont="1" applyAlignment="1">
      <alignment horizontal="centerContinuous"/>
    </xf>
    <xf numFmtId="0" fontId="22" fillId="0" borderId="0" xfId="10" applyFont="1" applyAlignment="1">
      <alignment vertical="center"/>
    </xf>
    <xf numFmtId="0" fontId="22" fillId="0" borderId="0" xfId="0" applyFont="1" applyAlignment="1">
      <alignment vertical="center"/>
    </xf>
    <xf numFmtId="43" fontId="22" fillId="0" borderId="0" xfId="6" applyFont="1" applyAlignment="1">
      <alignment horizontal="right" vertical="center"/>
    </xf>
    <xf numFmtId="43" fontId="22" fillId="0" borderId="0" xfId="6" applyFont="1" applyAlignment="1">
      <alignment horizontal="center" vertical="center"/>
    </xf>
    <xf numFmtId="187" fontId="22" fillId="0" borderId="0" xfId="2" applyNumberFormat="1" applyFont="1" applyFill="1" applyAlignment="1">
      <alignment horizontal="center"/>
    </xf>
    <xf numFmtId="0" fontId="22" fillId="0" borderId="0" xfId="10" applyFont="1" applyAlignment="1">
      <alignment horizontal="left"/>
    </xf>
    <xf numFmtId="43" fontId="22" fillId="0" borderId="0" xfId="6" applyFont="1" applyAlignment="1">
      <alignment horizontal="left" indent="3"/>
    </xf>
    <xf numFmtId="2" fontId="22" fillId="0" borderId="0" xfId="10" applyNumberFormat="1" applyFont="1" applyAlignment="1">
      <alignment horizontal="center"/>
    </xf>
    <xf numFmtId="43" fontId="22" fillId="0" borderId="5" xfId="1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43" fontId="22" fillId="0" borderId="2" xfId="1" applyFont="1" applyBorder="1" applyAlignment="1">
      <alignment horizontal="centerContinuous"/>
    </xf>
    <xf numFmtId="0" fontId="22" fillId="0" borderId="2" xfId="0" applyFont="1" applyBorder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49" fontId="47" fillId="0" borderId="10" xfId="0" applyNumberFormat="1" applyFont="1" applyBorder="1" applyAlignment="1">
      <alignment horizontal="center" vertical="center"/>
    </xf>
    <xf numFmtId="0" fontId="45" fillId="0" borderId="69" xfId="10" applyFont="1" applyBorder="1" applyAlignment="1">
      <alignment horizontal="centerContinuous"/>
    </xf>
    <xf numFmtId="0" fontId="22" fillId="0" borderId="69" xfId="10" applyFont="1" applyBorder="1" applyAlignment="1">
      <alignment horizontal="center"/>
    </xf>
    <xf numFmtId="43" fontId="22" fillId="0" borderId="69" xfId="6" applyFont="1" applyFill="1" applyBorder="1" applyAlignment="1">
      <alignment horizontal="center"/>
    </xf>
    <xf numFmtId="43" fontId="22" fillId="0" borderId="69" xfId="6" applyFont="1" applyFill="1" applyBorder="1" applyAlignment="1"/>
    <xf numFmtId="43" fontId="22" fillId="0" borderId="69" xfId="6" applyFont="1" applyFill="1" applyBorder="1"/>
    <xf numFmtId="0" fontId="22" fillId="0" borderId="69" xfId="10" applyFont="1" applyBorder="1" applyProtection="1">
      <protection locked="0"/>
    </xf>
    <xf numFmtId="0" fontId="45" fillId="0" borderId="69" xfId="10" applyFont="1" applyBorder="1"/>
    <xf numFmtId="0" fontId="22" fillId="0" borderId="63" xfId="10" applyFont="1" applyBorder="1" applyAlignment="1">
      <alignment horizontal="right"/>
    </xf>
    <xf numFmtId="0" fontId="22" fillId="0" borderId="64" xfId="10" applyFont="1" applyBorder="1"/>
    <xf numFmtId="0" fontId="22" fillId="0" borderId="62" xfId="10" applyFont="1" applyBorder="1"/>
    <xf numFmtId="0" fontId="22" fillId="0" borderId="65" xfId="10" applyFont="1" applyBorder="1"/>
    <xf numFmtId="0" fontId="22" fillId="0" borderId="63" xfId="10" applyFont="1" applyBorder="1" applyAlignment="1">
      <alignment horizontal="center"/>
    </xf>
    <xf numFmtId="43" fontId="22" fillId="0" borderId="63" xfId="6" applyFont="1" applyFill="1" applyBorder="1" applyAlignment="1" applyProtection="1">
      <alignment horizontal="center"/>
    </xf>
    <xf numFmtId="43" fontId="22" fillId="0" borderId="63" xfId="6" applyFont="1" applyFill="1" applyBorder="1" applyAlignment="1">
      <alignment horizontal="left" indent="2"/>
    </xf>
    <xf numFmtId="187" fontId="22" fillId="0" borderId="63" xfId="6" applyNumberFormat="1" applyFont="1" applyFill="1" applyBorder="1"/>
    <xf numFmtId="202" fontId="22" fillId="0" borderId="63" xfId="6" applyNumberFormat="1" applyFont="1" applyFill="1" applyBorder="1"/>
    <xf numFmtId="43" fontId="22" fillId="0" borderId="63" xfId="10" applyNumberFormat="1" applyFont="1" applyBorder="1" applyProtection="1">
      <protection locked="0"/>
    </xf>
    <xf numFmtId="43" fontId="45" fillId="0" borderId="63" xfId="6" applyFont="1" applyFill="1" applyBorder="1"/>
    <xf numFmtId="0" fontId="45" fillId="0" borderId="63" xfId="10" applyFont="1" applyBorder="1" applyAlignment="1">
      <alignment horizontal="centerContinuous"/>
    </xf>
    <xf numFmtId="0" fontId="45" fillId="0" borderId="64" xfId="10" applyFont="1" applyBorder="1"/>
    <xf numFmtId="0" fontId="45" fillId="0" borderId="62" xfId="10" applyFont="1" applyBorder="1"/>
    <xf numFmtId="43" fontId="22" fillId="0" borderId="63" xfId="6" quotePrefix="1" applyFont="1" applyFill="1" applyBorder="1" applyAlignment="1">
      <alignment horizontal="center"/>
    </xf>
    <xf numFmtId="43" fontId="22" fillId="0" borderId="63" xfId="6" applyFont="1" applyFill="1" applyBorder="1" applyAlignment="1"/>
    <xf numFmtId="0" fontId="45" fillId="0" borderId="63" xfId="10" applyFont="1" applyBorder="1"/>
    <xf numFmtId="43" fontId="22" fillId="0" borderId="0" xfId="10" applyNumberFormat="1" applyFont="1"/>
    <xf numFmtId="2" fontId="22" fillId="0" borderId="62" xfId="10" applyNumberFormat="1" applyFont="1" applyBorder="1" applyAlignment="1">
      <alignment horizontal="center"/>
    </xf>
    <xf numFmtId="0" fontId="45" fillId="0" borderId="63" xfId="10" applyFont="1" applyBorder="1" applyAlignment="1">
      <alignment horizontal="center"/>
    </xf>
    <xf numFmtId="0" fontId="45" fillId="0" borderId="63" xfId="4" applyFont="1" applyBorder="1" applyAlignment="1">
      <alignment horizontal="center"/>
    </xf>
    <xf numFmtId="0" fontId="45" fillId="0" borderId="64" xfId="4" applyFont="1" applyBorder="1"/>
    <xf numFmtId="0" fontId="22" fillId="0" borderId="63" xfId="4" applyFont="1" applyBorder="1" applyAlignment="1">
      <alignment horizontal="center"/>
    </xf>
    <xf numFmtId="187" fontId="22" fillId="0" borderId="63" xfId="2" quotePrefix="1" applyNumberFormat="1" applyFont="1" applyFill="1" applyBorder="1" applyAlignment="1" applyProtection="1">
      <alignment horizontal="center"/>
      <protection locked="0"/>
    </xf>
    <xf numFmtId="187" fontId="22" fillId="0" borderId="63" xfId="2" applyNumberFormat="1" applyFont="1" applyFill="1" applyBorder="1" applyAlignment="1"/>
    <xf numFmtId="0" fontId="22" fillId="0" borderId="63" xfId="0" applyFont="1" applyBorder="1"/>
    <xf numFmtId="0" fontId="22" fillId="0" borderId="62" xfId="4" applyFont="1" applyBorder="1"/>
    <xf numFmtId="43" fontId="22" fillId="0" borderId="63" xfId="6" applyFont="1" applyFill="1" applyBorder="1" applyAlignment="1">
      <alignment horizontal="center"/>
    </xf>
    <xf numFmtId="39" fontId="22" fillId="0" borderId="64" xfId="0" applyNumberFormat="1" applyFont="1" applyBorder="1" applyAlignment="1">
      <alignment horizontal="left"/>
    </xf>
    <xf numFmtId="39" fontId="22" fillId="0" borderId="62" xfId="0" applyNumberFormat="1" applyFont="1" applyBorder="1" applyAlignment="1">
      <alignment horizontal="left"/>
    </xf>
    <xf numFmtId="0" fontId="22" fillId="0" borderId="62" xfId="10" applyFont="1" applyBorder="1" applyProtection="1">
      <protection locked="0"/>
    </xf>
    <xf numFmtId="0" fontId="22" fillId="0" borderId="65" xfId="10" applyFont="1" applyBorder="1" applyProtection="1">
      <protection locked="0"/>
    </xf>
    <xf numFmtId="43" fontId="22" fillId="0" borderId="63" xfId="6" applyFont="1" applyFill="1" applyBorder="1" applyAlignment="1" applyProtection="1">
      <alignment horizontal="center"/>
      <protection locked="0"/>
    </xf>
    <xf numFmtId="43" fontId="22" fillId="0" borderId="63" xfId="6" applyFont="1" applyBorder="1" applyAlignment="1" applyProtection="1">
      <alignment horizontal="center"/>
    </xf>
    <xf numFmtId="43" fontId="22" fillId="0" borderId="63" xfId="6" applyFont="1" applyBorder="1" applyAlignment="1" applyProtection="1">
      <alignment horizontal="centerContinuous"/>
    </xf>
    <xf numFmtId="0" fontId="22" fillId="0" borderId="67" xfId="10" applyFont="1" applyBorder="1"/>
    <xf numFmtId="0" fontId="22" fillId="0" borderId="70" xfId="10" applyFont="1" applyBorder="1"/>
    <xf numFmtId="0" fontId="22" fillId="0" borderId="71" xfId="10" applyFont="1" applyBorder="1"/>
    <xf numFmtId="0" fontId="22" fillId="0" borderId="72" xfId="10" applyFont="1" applyBorder="1"/>
    <xf numFmtId="0" fontId="22" fillId="0" borderId="67" xfId="10" applyFont="1" applyBorder="1" applyAlignment="1">
      <alignment horizontal="center"/>
    </xf>
    <xf numFmtId="43" fontId="48" fillId="0" borderId="67" xfId="6" applyFont="1" applyFill="1" applyBorder="1" applyAlignment="1" applyProtection="1">
      <alignment horizontal="center"/>
    </xf>
    <xf numFmtId="43" fontId="22" fillId="0" borderId="67" xfId="6" applyFont="1" applyFill="1" applyBorder="1" applyAlignment="1" applyProtection="1"/>
    <xf numFmtId="187" fontId="22" fillId="0" borderId="67" xfId="6" applyNumberFormat="1" applyFont="1" applyFill="1" applyBorder="1"/>
    <xf numFmtId="202" fontId="22" fillId="0" borderId="67" xfId="6" applyNumberFormat="1" applyFont="1" applyFill="1" applyBorder="1"/>
    <xf numFmtId="43" fontId="22" fillId="0" borderId="67" xfId="10" applyNumberFormat="1" applyFont="1" applyBorder="1" applyProtection="1">
      <protection locked="0"/>
    </xf>
    <xf numFmtId="43" fontId="45" fillId="0" borderId="67" xfId="6" applyFont="1" applyFill="1" applyBorder="1"/>
    <xf numFmtId="0" fontId="22" fillId="0" borderId="11" xfId="10" applyFont="1" applyBorder="1"/>
    <xf numFmtId="0" fontId="49" fillId="0" borderId="26" xfId="10" applyFont="1" applyBorder="1"/>
    <xf numFmtId="0" fontId="22" fillId="0" borderId="8" xfId="10" applyFont="1" applyBorder="1"/>
    <xf numFmtId="0" fontId="22" fillId="0" borderId="7" xfId="10" applyFont="1" applyBorder="1"/>
    <xf numFmtId="0" fontId="22" fillId="0" borderId="11" xfId="10" applyFont="1" applyBorder="1" applyAlignment="1">
      <alignment horizontal="center"/>
    </xf>
    <xf numFmtId="203" fontId="22" fillId="0" borderId="11" xfId="6" applyNumberFormat="1" applyFont="1" applyFill="1" applyBorder="1" applyAlignment="1">
      <alignment horizontal="center"/>
    </xf>
    <xf numFmtId="43" fontId="22" fillId="0" borderId="11" xfId="6" applyFont="1" applyFill="1" applyBorder="1" applyAlignment="1"/>
    <xf numFmtId="43" fontId="50" fillId="0" borderId="11" xfId="6" applyFont="1" applyFill="1" applyBorder="1"/>
    <xf numFmtId="43" fontId="45" fillId="0" borderId="11" xfId="6" applyFont="1" applyFill="1" applyBorder="1"/>
    <xf numFmtId="43" fontId="22" fillId="0" borderId="11" xfId="10" applyNumberFormat="1" applyFont="1" applyBorder="1" applyProtection="1">
      <protection locked="0"/>
    </xf>
    <xf numFmtId="43" fontId="50" fillId="0" borderId="11" xfId="10" applyNumberFormat="1" applyFont="1" applyBorder="1" applyProtection="1">
      <protection locked="0"/>
    </xf>
    <xf numFmtId="187" fontId="22" fillId="0" borderId="0" xfId="6" applyNumberFormat="1" applyFont="1" applyFill="1" applyBorder="1" applyAlignment="1">
      <alignment horizontal="center"/>
    </xf>
    <xf numFmtId="43" fontId="22" fillId="0" borderId="0" xfId="6" applyFont="1" applyFill="1" applyBorder="1" applyAlignment="1"/>
    <xf numFmtId="43" fontId="45" fillId="0" borderId="0" xfId="6" applyFont="1" applyFill="1" applyBorder="1"/>
    <xf numFmtId="43" fontId="22" fillId="0" borderId="0" xfId="10" applyNumberFormat="1" applyFont="1" applyAlignment="1" applyProtection="1">
      <alignment horizontal="centerContinuous"/>
      <protection locked="0"/>
    </xf>
    <xf numFmtId="202" fontId="22" fillId="7" borderId="0" xfId="10" applyNumberFormat="1" applyFont="1" applyFill="1"/>
    <xf numFmtId="43" fontId="22" fillId="0" borderId="0" xfId="10" applyNumberFormat="1" applyFont="1" applyAlignment="1">
      <alignment horizontal="centerContinuous"/>
    </xf>
    <xf numFmtId="43" fontId="22" fillId="0" borderId="0" xfId="6" applyFont="1" applyBorder="1" applyAlignment="1">
      <alignment horizontal="center"/>
    </xf>
    <xf numFmtId="0" fontId="22" fillId="0" borderId="0" xfId="0" applyFont="1" applyBorder="1" applyAlignment="1"/>
    <xf numFmtId="43" fontId="22" fillId="0" borderId="0" xfId="1" applyFont="1" applyBorder="1" applyAlignment="1">
      <alignment horizontal="right"/>
    </xf>
    <xf numFmtId="43" fontId="22" fillId="0" borderId="0" xfId="1" applyFont="1" applyBorder="1"/>
    <xf numFmtId="0" fontId="22" fillId="0" borderId="0" xfId="0" applyFont="1" applyBorder="1"/>
    <xf numFmtId="0" fontId="51" fillId="0" borderId="0" xfId="0" applyFont="1" applyBorder="1"/>
    <xf numFmtId="0" fontId="22" fillId="0" borderId="0" xfId="0" applyFont="1" applyAlignment="1">
      <alignment horizontal="right"/>
    </xf>
    <xf numFmtId="43" fontId="22" fillId="0" borderId="0" xfId="1" applyFont="1" applyAlignment="1" applyProtection="1">
      <alignment horizontal="centerContinuous" vertical="center"/>
      <protection locked="0"/>
    </xf>
    <xf numFmtId="0" fontId="22" fillId="0" borderId="0" xfId="0" applyFont="1" applyAlignment="1">
      <alignment horizontal="centerContinuous" vertical="center"/>
    </xf>
    <xf numFmtId="43" fontId="22" fillId="0" borderId="0" xfId="0" applyNumberFormat="1" applyFont="1" applyAlignment="1">
      <alignment horizontal="left" vertical="top"/>
    </xf>
    <xf numFmtId="0" fontId="22" fillId="0" borderId="0" xfId="0" applyFont="1" applyProtection="1"/>
    <xf numFmtId="0" fontId="22" fillId="0" borderId="0" xfId="0" applyFont="1" applyAlignment="1" applyProtection="1">
      <alignment horizontal="right"/>
    </xf>
    <xf numFmtId="0" fontId="22" fillId="0" borderId="0" xfId="0" applyFont="1" applyAlignment="1" applyProtection="1">
      <alignment horizontal="centerContinuous"/>
    </xf>
    <xf numFmtId="0" fontId="22" fillId="0" borderId="0" xfId="0" applyFont="1" applyAlignment="1" applyProtection="1">
      <alignment horizontal="center"/>
    </xf>
    <xf numFmtId="43" fontId="22" fillId="0" borderId="0" xfId="0" applyNumberFormat="1" applyFont="1" applyAlignment="1">
      <alignment horizontal="centerContinuous" vertical="center"/>
    </xf>
    <xf numFmtId="0" fontId="22" fillId="0" borderId="0" xfId="0" applyFont="1" applyAlignment="1" applyProtection="1">
      <alignment horizontal="centerContinuous" vertical="center"/>
    </xf>
    <xf numFmtId="2" fontId="22" fillId="0" borderId="0" xfId="11" applyNumberFormat="1" applyFont="1" applyAlignment="1">
      <alignment horizontal="center"/>
    </xf>
    <xf numFmtId="0" fontId="22" fillId="0" borderId="0" xfId="11" applyFont="1" applyAlignment="1">
      <alignment horizontal="center"/>
    </xf>
    <xf numFmtId="0" fontId="27" fillId="0" borderId="26" xfId="1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200" fontId="24" fillId="0" borderId="23" xfId="10" applyNumberFormat="1" applyFont="1" applyBorder="1" applyAlignment="1" applyProtection="1">
      <alignment horizontal="center"/>
      <protection hidden="1"/>
    </xf>
    <xf numFmtId="200" fontId="24" fillId="0" borderId="6" xfId="10" applyNumberFormat="1" applyFont="1" applyBorder="1" applyProtection="1">
      <protection hidden="1"/>
    </xf>
    <xf numFmtId="0" fontId="24" fillId="0" borderId="26" xfId="10" applyFont="1" applyBorder="1"/>
    <xf numFmtId="0" fontId="24" fillId="0" borderId="8" xfId="10" applyFont="1" applyBorder="1"/>
    <xf numFmtId="0" fontId="24" fillId="0" borderId="7" xfId="10" applyFont="1" applyBorder="1"/>
    <xf numFmtId="0" fontId="24" fillId="3" borderId="0" xfId="10" applyFont="1" applyFill="1"/>
    <xf numFmtId="0" fontId="24" fillId="3" borderId="12" xfId="10" applyFont="1" applyFill="1" applyBorder="1"/>
    <xf numFmtId="0" fontId="24" fillId="0" borderId="11" xfId="10" applyFont="1" applyBorder="1"/>
    <xf numFmtId="0" fontId="24" fillId="7" borderId="8" xfId="10" applyFont="1" applyFill="1" applyBorder="1"/>
    <xf numFmtId="0" fontId="24" fillId="7" borderId="7" xfId="10" applyFont="1" applyFill="1" applyBorder="1"/>
    <xf numFmtId="3" fontId="24" fillId="0" borderId="55" xfId="1" applyNumberFormat="1" applyFont="1" applyBorder="1" applyAlignment="1">
      <alignment horizontal="center" vertical="center"/>
    </xf>
    <xf numFmtId="3" fontId="24" fillId="0" borderId="54" xfId="1" applyNumberFormat="1" applyFont="1" applyBorder="1" applyAlignment="1">
      <alignment horizontal="center" vertical="center"/>
    </xf>
    <xf numFmtId="0" fontId="24" fillId="7" borderId="26" xfId="10" applyFont="1" applyFill="1" applyBorder="1"/>
    <xf numFmtId="0" fontId="26" fillId="0" borderId="23" xfId="10" applyFont="1" applyBorder="1" applyAlignment="1">
      <alignment horizontal="center" vertical="center"/>
    </xf>
    <xf numFmtId="0" fontId="26" fillId="0" borderId="28" xfId="10" applyFont="1" applyBorder="1" applyAlignment="1">
      <alignment horizontal="center" vertical="center"/>
    </xf>
    <xf numFmtId="0" fontId="26" fillId="0" borderId="6" xfId="10" applyFont="1" applyBorder="1" applyAlignment="1">
      <alignment horizontal="center" vertical="center"/>
    </xf>
    <xf numFmtId="39" fontId="24" fillId="0" borderId="68" xfId="6" applyNumberFormat="1" applyFont="1" applyBorder="1" applyAlignment="1">
      <alignment horizontal="center" vertical="center"/>
    </xf>
    <xf numFmtId="39" fontId="24" fillId="0" borderId="42" xfId="6" applyNumberFormat="1" applyFont="1" applyBorder="1" applyAlignment="1">
      <alignment horizontal="center" vertical="center"/>
    </xf>
    <xf numFmtId="0" fontId="24" fillId="0" borderId="68" xfId="10" applyFont="1" applyBorder="1" applyAlignment="1">
      <alignment horizontal="center" vertical="center"/>
    </xf>
    <xf numFmtId="0" fontId="24" fillId="0" borderId="54" xfId="10" applyFont="1" applyBorder="1" applyAlignment="1">
      <alignment horizontal="center" vertical="center"/>
    </xf>
    <xf numFmtId="0" fontId="24" fillId="7" borderId="26" xfId="10" applyFont="1" applyFill="1" applyBorder="1" applyAlignment="1">
      <alignment vertical="center"/>
    </xf>
    <xf numFmtId="0" fontId="24" fillId="7" borderId="8" xfId="10" applyFont="1" applyFill="1" applyBorder="1" applyAlignment="1">
      <alignment vertical="center"/>
    </xf>
    <xf numFmtId="0" fontId="24" fillId="7" borderId="7" xfId="10" applyFont="1" applyFill="1" applyBorder="1" applyAlignment="1">
      <alignment vertical="center"/>
    </xf>
    <xf numFmtId="14" fontId="24" fillId="0" borderId="26" xfId="10" applyNumberFormat="1" applyFont="1" applyBorder="1" applyAlignment="1">
      <alignment horizontal="center"/>
    </xf>
    <xf numFmtId="0" fontId="24" fillId="0" borderId="7" xfId="10" applyFont="1" applyBorder="1" applyAlignment="1">
      <alignment horizontal="center"/>
    </xf>
    <xf numFmtId="0" fontId="27" fillId="0" borderId="24" xfId="10" applyFont="1" applyBorder="1" applyAlignment="1">
      <alignment horizontal="center" vertical="center"/>
    </xf>
    <xf numFmtId="0" fontId="27" fillId="0" borderId="27" xfId="10" applyFont="1" applyBorder="1" applyAlignment="1">
      <alignment horizontal="center" vertical="center"/>
    </xf>
    <xf numFmtId="0" fontId="27" fillId="0" borderId="9" xfId="1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43" fontId="22" fillId="0" borderId="28" xfId="6" applyFont="1" applyBorder="1" applyAlignment="1">
      <alignment horizontal="center"/>
    </xf>
    <xf numFmtId="43" fontId="22" fillId="0" borderId="0" xfId="0" applyNumberFormat="1" applyFont="1" applyAlignment="1">
      <alignment horizontal="center" vertical="center"/>
    </xf>
    <xf numFmtId="0" fontId="45" fillId="0" borderId="0" xfId="0" applyFont="1" applyAlignment="1" applyProtection="1">
      <alignment horizontal="center"/>
    </xf>
    <xf numFmtId="0" fontId="45" fillId="0" borderId="0" xfId="0" quotePrefix="1" applyFont="1" applyAlignment="1" applyProtection="1">
      <alignment horizontal="center"/>
    </xf>
    <xf numFmtId="43" fontId="22" fillId="0" borderId="0" xfId="6" applyFont="1" applyAlignment="1" applyProtection="1">
      <alignment horizontal="center"/>
      <protection locked="0"/>
    </xf>
    <xf numFmtId="0" fontId="22" fillId="0" borderId="0" xfId="4" applyFont="1" applyAlignment="1">
      <alignment horizontal="center"/>
    </xf>
    <xf numFmtId="43" fontId="22" fillId="0" borderId="0" xfId="6" applyFont="1" applyAlignment="1" applyProtection="1">
      <alignment horizontal="center" vertical="center"/>
      <protection locked="0"/>
    </xf>
    <xf numFmtId="0" fontId="45" fillId="0" borderId="62" xfId="4" applyFont="1" applyBorder="1" applyAlignment="1">
      <alignment horizontal="left"/>
    </xf>
    <xf numFmtId="0" fontId="22" fillId="0" borderId="27" xfId="10" applyFont="1" applyBorder="1" applyAlignment="1">
      <alignment horizontal="left" vertical="center"/>
    </xf>
    <xf numFmtId="0" fontId="22" fillId="0" borderId="27" xfId="0" applyFont="1" applyBorder="1" applyAlignment="1">
      <alignment horizontal="left" vertical="center"/>
    </xf>
    <xf numFmtId="0" fontId="45" fillId="0" borderId="73" xfId="10" applyFont="1" applyBorder="1"/>
    <xf numFmtId="0" fontId="45" fillId="0" borderId="74" xfId="10" applyFont="1" applyBorder="1"/>
    <xf numFmtId="0" fontId="45" fillId="0" borderId="75" xfId="10" applyFont="1" applyBorder="1"/>
    <xf numFmtId="0" fontId="22" fillId="0" borderId="5" xfId="10" applyFont="1" applyBorder="1" applyAlignment="1">
      <alignment horizontal="center" vertical="center"/>
    </xf>
    <xf numFmtId="0" fontId="22" fillId="0" borderId="2" xfId="10" applyFont="1" applyBorder="1" applyAlignment="1">
      <alignment horizontal="center" vertical="center"/>
    </xf>
    <xf numFmtId="0" fontId="22" fillId="0" borderId="10" xfId="10" applyFont="1" applyBorder="1" applyAlignment="1">
      <alignment horizontal="center" vertical="center"/>
    </xf>
    <xf numFmtId="0" fontId="45" fillId="0" borderId="0" xfId="10" applyFont="1" applyAlignment="1">
      <alignment horizontal="center"/>
    </xf>
    <xf numFmtId="0" fontId="22" fillId="0" borderId="5" xfId="0" applyFont="1" applyBorder="1" applyAlignment="1">
      <alignment horizontal="center" vertical="center"/>
    </xf>
    <xf numFmtId="0" fontId="22" fillId="0" borderId="2" xfId="0" applyFont="1" applyBorder="1" applyAlignment="1">
      <alignment vertical="center"/>
    </xf>
    <xf numFmtId="0" fontId="22" fillId="0" borderId="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33" fillId="0" borderId="0" xfId="15" applyFont="1" applyAlignment="1">
      <alignment horizontal="center"/>
    </xf>
    <xf numFmtId="0" fontId="25" fillId="0" borderId="26" xfId="15" applyFont="1" applyBorder="1" applyAlignment="1">
      <alignment horizontal="center"/>
    </xf>
    <xf numFmtId="0" fontId="25" fillId="0" borderId="8" xfId="15" applyFont="1" applyBorder="1" applyAlignment="1">
      <alignment horizontal="center"/>
    </xf>
    <xf numFmtId="0" fontId="25" fillId="0" borderId="7" xfId="15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39" fontId="8" fillId="0" borderId="25" xfId="0" applyNumberFormat="1" applyFont="1" applyBorder="1" applyAlignment="1">
      <alignment horizontal="left"/>
    </xf>
    <xf numFmtId="39" fontId="8" fillId="0" borderId="12" xfId="0" applyNumberFormat="1" applyFont="1" applyBorder="1" applyAlignment="1">
      <alignment horizontal="left"/>
    </xf>
    <xf numFmtId="0" fontId="16" fillId="0" borderId="25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25" xfId="0" applyFont="1" applyBorder="1"/>
    <xf numFmtId="0" fontId="8" fillId="0" borderId="12" xfId="0" applyFont="1" applyBorder="1"/>
    <xf numFmtId="0" fontId="17" fillId="0" borderId="25" xfId="0" applyFont="1" applyBorder="1" applyAlignment="1">
      <alignment horizontal="center"/>
    </xf>
    <xf numFmtId="0" fontId="19" fillId="4" borderId="25" xfId="0" applyFont="1" applyFill="1" applyBorder="1" applyAlignment="1">
      <alignment horizontal="center"/>
    </xf>
    <xf numFmtId="0" fontId="19" fillId="4" borderId="12" xfId="0" applyFont="1" applyFill="1" applyBorder="1" applyAlignment="1">
      <alignment horizontal="center"/>
    </xf>
    <xf numFmtId="0" fontId="7" fillId="0" borderId="25" xfId="0" applyFont="1" applyBorder="1"/>
    <xf numFmtId="0" fontId="7" fillId="0" borderId="12" xfId="0" applyFont="1" applyBorder="1"/>
    <xf numFmtId="43" fontId="8" fillId="0" borderId="26" xfId="1" applyFont="1" applyBorder="1" applyAlignment="1" applyProtection="1">
      <alignment horizontal="center"/>
    </xf>
    <xf numFmtId="43" fontId="8" fillId="0" borderId="7" xfId="1" applyFont="1" applyBorder="1" applyAlignment="1" applyProtection="1">
      <alignment horizontal="center"/>
    </xf>
    <xf numFmtId="190" fontId="8" fillId="0" borderId="28" xfId="0" applyNumberFormat="1" applyFont="1" applyBorder="1" applyAlignment="1">
      <alignment horizontal="center"/>
    </xf>
    <xf numFmtId="4" fontId="8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3" fontId="8" fillId="0" borderId="26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3" fontId="8" fillId="0" borderId="7" xfId="0" applyNumberFormat="1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3" fontId="8" fillId="0" borderId="23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0" fontId="8" fillId="0" borderId="23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43" fontId="8" fillId="0" borderId="28" xfId="1" applyFont="1" applyBorder="1" applyAlignment="1" applyProtection="1">
      <alignment horizontal="center"/>
    </xf>
    <xf numFmtId="43" fontId="8" fillId="0" borderId="6" xfId="1" applyFont="1" applyBorder="1" applyAlignment="1" applyProtection="1">
      <alignment horizontal="center"/>
    </xf>
    <xf numFmtId="43" fontId="8" fillId="0" borderId="76" xfId="1" applyFont="1" applyBorder="1" applyAlignment="1" applyProtection="1">
      <alignment horizontal="center"/>
    </xf>
    <xf numFmtId="43" fontId="8" fillId="0" borderId="77" xfId="1" applyFont="1" applyBorder="1" applyAlignment="1" applyProtection="1">
      <alignment horizontal="center"/>
    </xf>
    <xf numFmtId="43" fontId="8" fillId="0" borderId="0" xfId="1" applyFont="1" applyBorder="1" applyAlignment="1" applyProtection="1">
      <alignment horizontal="center"/>
    </xf>
    <xf numFmtId="43" fontId="8" fillId="0" borderId="12" xfId="1" applyFont="1" applyBorder="1" applyAlignment="1" applyProtection="1">
      <alignment horizontal="center"/>
    </xf>
    <xf numFmtId="0" fontId="8" fillId="0" borderId="25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43" fontId="8" fillId="0" borderId="27" xfId="1" applyFont="1" applyBorder="1" applyAlignment="1" applyProtection="1">
      <alignment horizontal="center"/>
    </xf>
    <xf numFmtId="43" fontId="8" fillId="0" borderId="9" xfId="1" applyFont="1" applyBorder="1" applyAlignment="1" applyProtection="1">
      <alignment horizontal="center"/>
    </xf>
  </cellXfs>
  <cellStyles count="19">
    <cellStyle name="Calculation 2" xfId="17" xr:uid="{00000000-0005-0000-0000-000000000000}"/>
    <cellStyle name="Comma 2" xfId="16" xr:uid="{00000000-0005-0000-0000-000001000000}"/>
    <cellStyle name="Comma_Conc_อบจสบ" xfId="2" xr:uid="{00000000-0005-0000-0000-000002000000}"/>
    <cellStyle name="Input 2" xfId="18" xr:uid="{00000000-0005-0000-0000-000003000000}"/>
    <cellStyle name="Normal 2" xfId="15" xr:uid="{00000000-0005-0000-0000-000004000000}"/>
    <cellStyle name="Normal_47อบ.23017" xfId="3" xr:uid="{00000000-0005-0000-0000-000005000000}"/>
    <cellStyle name="Normal_Conc_อบจสบ" xfId="4" xr:uid="{00000000-0005-0000-0000-000006000000}"/>
    <cellStyle name="Normal_สรุปผลการประเมินราคา" xfId="5" xr:uid="{00000000-0005-0000-0000-000007000000}"/>
    <cellStyle name="เครื่องหมายจุลภาค 2" xfId="6" xr:uid="{00000000-0005-0000-0000-000008000000}"/>
    <cellStyle name="เครื่องหมายจุลภาค 2 2" xfId="7" xr:uid="{00000000-0005-0000-0000-000009000000}"/>
    <cellStyle name="เครื่องหมายจุลภาค 3" xfId="8" xr:uid="{00000000-0005-0000-0000-00000A000000}"/>
    <cellStyle name="เครื่องหมายจุลภาค 4" xfId="9" xr:uid="{00000000-0005-0000-0000-00000B000000}"/>
    <cellStyle name="จุลภาค" xfId="1" builtinId="3"/>
    <cellStyle name="ปกติ" xfId="0" builtinId="0"/>
    <cellStyle name="ปกติ 2" xfId="10" xr:uid="{00000000-0005-0000-0000-000010000000}"/>
    <cellStyle name="ปกติ 3" xfId="11" xr:uid="{00000000-0005-0000-0000-000011000000}"/>
    <cellStyle name="ปกติ 4" xfId="12" xr:uid="{00000000-0005-0000-0000-000012000000}"/>
    <cellStyle name="เปอร์เซ็นต์ 2" xfId="13" xr:uid="{00000000-0005-0000-0000-00000C000000}"/>
    <cellStyle name="เปอร์เซ็นต์ 3" xfId="14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257410</xdr:colOff>
      <xdr:row>13</xdr:row>
      <xdr:rowOff>212733</xdr:rowOff>
    </xdr:from>
    <xdr:to>
      <xdr:col>2</xdr:col>
      <xdr:colOff>1286030</xdr:colOff>
      <xdr:row>15</xdr:row>
      <xdr:rowOff>125980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8263E222-6EED-4AC8-B0C0-21BDD71CEAFC}"/>
            </a:ext>
          </a:extLst>
        </xdr:cNvPr>
        <xdr:cNvSpPr>
          <a:spLocks/>
        </xdr:cNvSpPr>
      </xdr:nvSpPr>
      <xdr:spPr bwMode="auto">
        <a:xfrm>
          <a:off x="2772010" y="4298958"/>
          <a:ext cx="1028620" cy="541897"/>
        </a:xfrm>
        <a:prstGeom prst="accentCallout2">
          <a:avLst>
            <a:gd name="adj1" fmla="val 23079"/>
            <a:gd name="adj2" fmla="val -6778"/>
            <a:gd name="adj3" fmla="val 23079"/>
            <a:gd name="adj4" fmla="val -13560"/>
            <a:gd name="adj5" fmla="val -117656"/>
            <a:gd name="adj6" fmla="val -2502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th-TH" sz="1000" b="0" i="0" strike="noStrike">
              <a:solidFill>
                <a:srgbClr val="000000"/>
              </a:solidFill>
              <a:latin typeface="Arial"/>
            </a:rPr>
            <a:t>0 = ไม่มี</a:t>
          </a:r>
        </a:p>
        <a:p>
          <a:pPr algn="l" rtl="1">
            <a:defRPr sz="1000"/>
          </a:pPr>
          <a:r>
            <a:rPr lang="th-TH" sz="1000" b="0" i="0" strike="noStrike">
              <a:solidFill>
                <a:srgbClr val="000000"/>
              </a:solidFill>
              <a:latin typeface="Arial"/>
            </a:rPr>
            <a:t>1 = ในเขตชุมชน</a:t>
          </a:r>
        </a:p>
        <a:p>
          <a:pPr algn="l" rtl="1">
            <a:defRPr sz="1000"/>
          </a:pPr>
          <a:r>
            <a:rPr lang="th-TH" sz="1000" b="0" i="0" strike="noStrike">
              <a:solidFill>
                <a:srgbClr val="000000"/>
              </a:solidFill>
              <a:latin typeface="Arial"/>
            </a:rPr>
            <a:t>2 = นอกเขตชุมชน</a:t>
          </a:r>
        </a:p>
        <a:p>
          <a:pPr algn="l" rtl="1">
            <a:defRPr sz="1000"/>
          </a:pPr>
          <a:endParaRPr lang="th-TH" sz="1000" b="0" i="0" strike="noStrike">
            <a:solidFill>
              <a:srgbClr val="000000"/>
            </a:solidFill>
            <a:latin typeface="Arial"/>
          </a:endParaRPr>
        </a:p>
      </xdr:txBody>
    </xdr:sp>
    <xdr:clientData/>
  </xdr:twoCellAnchor>
  <xdr:twoCellAnchor>
    <xdr:from>
      <xdr:col>2</xdr:col>
      <xdr:colOff>915829</xdr:colOff>
      <xdr:row>9</xdr:row>
      <xdr:rowOff>89905</xdr:rowOff>
    </xdr:from>
    <xdr:to>
      <xdr:col>4</xdr:col>
      <xdr:colOff>297309</xdr:colOff>
      <xdr:row>11</xdr:row>
      <xdr:rowOff>175105</xdr:rowOff>
    </xdr:to>
    <xdr:sp macro="" textlink="">
      <xdr:nvSpPr>
        <xdr:cNvPr id="3" name="AutoShape 12">
          <a:extLst>
            <a:ext uri="{FF2B5EF4-FFF2-40B4-BE49-F238E27FC236}">
              <a16:creationId xmlns:a16="http://schemas.microsoft.com/office/drawing/2014/main" id="{FBA5A86A-71EF-4BE0-914A-887EF6F7E259}"/>
            </a:ext>
          </a:extLst>
        </xdr:cNvPr>
        <xdr:cNvSpPr>
          <a:spLocks/>
        </xdr:cNvSpPr>
      </xdr:nvSpPr>
      <xdr:spPr bwMode="auto">
        <a:xfrm>
          <a:off x="3125629" y="2864753"/>
          <a:ext cx="1469580" cy="690161"/>
        </a:xfrm>
        <a:prstGeom prst="accentCallout2">
          <a:avLst>
            <a:gd name="adj1" fmla="val 16218"/>
            <a:gd name="adj2" fmla="val -4792"/>
            <a:gd name="adj3" fmla="val 16218"/>
            <a:gd name="adj4" fmla="val -17963"/>
            <a:gd name="adj5" fmla="val 51352"/>
            <a:gd name="adj6" fmla="val -5808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th-TH" sz="1000" b="0" i="0" strike="noStrike">
              <a:solidFill>
                <a:srgbClr val="000000"/>
              </a:solidFill>
              <a:latin typeface="Arial"/>
            </a:rPr>
            <a:t>     0 =ไม่มีไหล่</a:t>
          </a:r>
        </a:p>
        <a:p>
          <a:pPr algn="l" rtl="1">
            <a:defRPr sz="1000"/>
          </a:pPr>
          <a:r>
            <a:rPr lang="th-TH" sz="1000" b="0" i="0" strike="noStrike">
              <a:solidFill>
                <a:srgbClr val="000000"/>
              </a:solidFill>
              <a:latin typeface="Arial"/>
            </a:rPr>
            <a:t>0.50 = ไหล่กว้าง 0.50 ม.</a:t>
          </a:r>
        </a:p>
        <a:p>
          <a:pPr algn="l" rtl="1">
            <a:defRPr sz="1000"/>
          </a:pPr>
          <a:r>
            <a:rPr lang="th-TH" sz="1000" b="0" i="0" strike="noStrike">
              <a:solidFill>
                <a:srgbClr val="000000"/>
              </a:solidFill>
              <a:latin typeface="Arial"/>
            </a:rPr>
            <a:t>1.00 = ไหล่กว้าง 1.00 ม.</a:t>
          </a:r>
        </a:p>
        <a:p>
          <a:pPr algn="l" rtl="1">
            <a:defRPr sz="1000"/>
          </a:pPr>
          <a:r>
            <a:rPr lang="th-TH" sz="1000" b="0" i="0" strike="noStrike">
              <a:solidFill>
                <a:srgbClr val="000000"/>
              </a:solidFill>
              <a:latin typeface="Arial"/>
            </a:rPr>
            <a:t>1.50 = ไหล่กว้าง 1.50 ม.</a:t>
          </a:r>
        </a:p>
        <a:p>
          <a:pPr algn="l" rtl="1">
            <a:defRPr sz="1000"/>
          </a:pPr>
          <a:endParaRPr lang="th-TH" sz="1000" b="0" i="0" strike="noStrike">
            <a:solidFill>
              <a:srgbClr val="000000"/>
            </a:solidFill>
            <a:latin typeface="Arial"/>
          </a:endParaRPr>
        </a:p>
        <a:p>
          <a:pPr algn="l" rtl="1">
            <a:defRPr sz="1000"/>
          </a:pPr>
          <a:endParaRPr lang="th-TH" sz="1000" b="0" i="0" strike="noStrike">
            <a:solidFill>
              <a:srgbClr val="000000"/>
            </a:solidFill>
            <a:latin typeface="Arial"/>
          </a:endParaRPr>
        </a:p>
      </xdr:txBody>
    </xdr:sp>
    <xdr:clientData/>
  </xdr:twoCellAnchor>
  <xdr:twoCellAnchor>
    <xdr:from>
      <xdr:col>13</xdr:col>
      <xdr:colOff>40670</xdr:colOff>
      <xdr:row>2</xdr:row>
      <xdr:rowOff>52586</xdr:rowOff>
    </xdr:from>
    <xdr:to>
      <xdr:col>14</xdr:col>
      <xdr:colOff>350190</xdr:colOff>
      <xdr:row>3</xdr:row>
      <xdr:rowOff>268838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F71ACD36-99D0-4BFB-AC19-D1920D4633AA}"/>
            </a:ext>
          </a:extLst>
        </xdr:cNvPr>
        <xdr:cNvSpPr>
          <a:spLocks/>
        </xdr:cNvSpPr>
      </xdr:nvSpPr>
      <xdr:spPr bwMode="auto">
        <a:xfrm>
          <a:off x="10330051" y="671711"/>
          <a:ext cx="850107" cy="525815"/>
        </a:xfrm>
        <a:prstGeom prst="accentCallout2">
          <a:avLst>
            <a:gd name="adj1" fmla="val 21051"/>
            <a:gd name="adj2" fmla="val -8245"/>
            <a:gd name="adj3" fmla="val 21051"/>
            <a:gd name="adj4" fmla="val -42269"/>
            <a:gd name="adj5" fmla="val 143861"/>
            <a:gd name="adj6" fmla="val -6907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lnSpc>
              <a:spcPts val="1000"/>
            </a:lnSpc>
            <a:defRPr sz="1000"/>
          </a:pPr>
          <a:r>
            <a:rPr lang="th-TH" sz="1000" b="0" i="0" strike="noStrike">
              <a:solidFill>
                <a:srgbClr val="000000"/>
              </a:solidFill>
              <a:latin typeface="Arial"/>
            </a:rPr>
            <a:t>ใช้วิธีพิมพ์รายชื่อและตำแหน่งในช่อง</a:t>
          </a:r>
        </a:p>
        <a:p>
          <a:pPr algn="l" rtl="1">
            <a:lnSpc>
              <a:spcPts val="1000"/>
            </a:lnSpc>
            <a:defRPr sz="1000"/>
          </a:pPr>
          <a:endParaRPr lang="th-TH" sz="1000" b="0" i="0" strike="noStrike">
            <a:solidFill>
              <a:srgbClr val="000000"/>
            </a:solidFill>
            <a:latin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road_RC%2024%20&#3614;.&#3588;.5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ราคาสระบุรี"/>
      <sheetName val="ราคาสระบุรี2"/>
      <sheetName val="ราคาสระบุรี3"/>
      <sheetName val="ข้อมูลโครงการ"/>
      <sheetName val="ผู้ประมารการ"/>
      <sheetName val="ระยะขนส่ง"/>
      <sheetName val="ราคาวัสดุ"/>
      <sheetName val="ข้อมูลขนส่ง"/>
      <sheetName val="Data"/>
      <sheetName val="ปร.5"/>
      <sheetName val="ปร.4"/>
      <sheetName val="คำนวณวัสดุ "/>
      <sheetName val="ค่างานต้นทุน"/>
      <sheetName val="ค่าเสื่อมราคา"/>
      <sheetName val="หักค่าขนส่ง"/>
      <sheetName val="Factor_FR"/>
      <sheetName val="Factor_FB"/>
      <sheetName val="ใบสรุป"/>
      <sheetName val="สิบล้อขนส่ง"/>
      <sheetName val="รถพ่วงขนส่ง"/>
      <sheetName val="หกล้อขนส่ง"/>
      <sheetName val="คิดค่ากำแพงปากท่อ"/>
      <sheetName val="oper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A2" t="str">
            <v>ส่วนราชการ กองช่าง  องค์การบริหารส่วนจังหวัดสระบุรี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workbookViewId="0">
      <selection activeCell="M12" sqref="M12"/>
    </sheetView>
  </sheetViews>
  <sheetFormatPr defaultColWidth="9.140625" defaultRowHeight="21" x14ac:dyDescent="0.45"/>
  <cols>
    <col min="1" max="16384" width="9.140625" style="205"/>
  </cols>
  <sheetData>
    <row r="1" spans="1:9" x14ac:dyDescent="0.45">
      <c r="A1" s="410" t="e">
        <f>#REF!</f>
        <v>#REF!</v>
      </c>
      <c r="B1" s="410"/>
      <c r="C1" s="410"/>
      <c r="D1" s="410"/>
      <c r="E1" s="410"/>
      <c r="F1" s="410"/>
      <c r="G1" s="410"/>
      <c r="H1" s="410"/>
      <c r="I1" s="410"/>
    </row>
    <row r="2" spans="1:9" x14ac:dyDescent="0.45">
      <c r="A2" s="411" t="e">
        <f>#REF!</f>
        <v>#REF!</v>
      </c>
      <c r="B2" s="411"/>
      <c r="C2" s="411"/>
      <c r="D2" s="411"/>
      <c r="E2" s="411"/>
      <c r="F2" s="411"/>
      <c r="G2" s="411"/>
      <c r="H2" s="411"/>
      <c r="I2" s="411"/>
    </row>
    <row r="3" spans="1:9" x14ac:dyDescent="0.45">
      <c r="A3" s="411" t="e">
        <f>#REF!</f>
        <v>#REF!</v>
      </c>
      <c r="B3" s="411"/>
      <c r="C3" s="411"/>
      <c r="D3" s="411"/>
      <c r="E3" s="411"/>
      <c r="F3" s="411"/>
      <c r="G3" s="411"/>
      <c r="H3" s="411"/>
      <c r="I3" s="411"/>
    </row>
    <row r="4" spans="1:9" x14ac:dyDescent="0.45">
      <c r="A4" s="411" t="e">
        <f>#REF!</f>
        <v>#REF!</v>
      </c>
      <c r="B4" s="411"/>
      <c r="C4" s="411"/>
      <c r="D4" s="411"/>
      <c r="E4" s="411"/>
      <c r="F4" s="411"/>
      <c r="G4" s="411"/>
      <c r="H4" s="411"/>
      <c r="I4" s="411"/>
    </row>
    <row r="5" spans="1:9" x14ac:dyDescent="0.45">
      <c r="B5" s="205" t="s">
        <v>222</v>
      </c>
      <c r="C5" s="205" t="s">
        <v>260</v>
      </c>
    </row>
    <row r="6" spans="1:9" x14ac:dyDescent="0.45">
      <c r="B6" s="205" t="s">
        <v>223</v>
      </c>
      <c r="C6" s="205" t="s">
        <v>224</v>
      </c>
    </row>
    <row r="7" spans="1:9" x14ac:dyDescent="0.45">
      <c r="B7" s="205" t="s">
        <v>177</v>
      </c>
      <c r="C7" s="206">
        <v>30.16</v>
      </c>
      <c r="D7" s="205" t="s">
        <v>42</v>
      </c>
    </row>
  </sheetData>
  <mergeCells count="4">
    <mergeCell ref="A1:I1"/>
    <mergeCell ref="A2:I2"/>
    <mergeCell ref="A3:I3"/>
    <mergeCell ref="A4:I4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6"/>
  <sheetViews>
    <sheetView zoomScaleNormal="100" workbookViewId="0">
      <selection activeCell="H2" sqref="H2:I2"/>
    </sheetView>
  </sheetViews>
  <sheetFormatPr defaultColWidth="9.140625" defaultRowHeight="23.25" x14ac:dyDescent="0.5"/>
  <cols>
    <col min="1" max="1" width="22.28515625" style="207" customWidth="1"/>
    <col min="2" max="2" width="15.42578125" style="207" customWidth="1"/>
    <col min="3" max="3" width="23.140625" style="207" customWidth="1"/>
    <col min="4" max="4" width="10.28515625" style="207" customWidth="1"/>
    <col min="5" max="5" width="12.7109375" style="207" customWidth="1"/>
    <col min="6" max="6" width="10.85546875" style="207" customWidth="1"/>
    <col min="7" max="7" width="13.7109375" style="207" customWidth="1"/>
    <col min="8" max="8" width="12.7109375" style="207" bestFit="1" customWidth="1"/>
    <col min="9" max="9" width="15.42578125" style="207" customWidth="1"/>
    <col min="10" max="11" width="9.140625" style="207"/>
    <col min="12" max="12" width="5" style="207" customWidth="1"/>
    <col min="13" max="16384" width="9.140625" style="207"/>
  </cols>
  <sheetData>
    <row r="1" spans="1:17" ht="24.75" customHeight="1" x14ac:dyDescent="0.5">
      <c r="A1" s="412" t="s">
        <v>175</v>
      </c>
      <c r="B1" s="413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427" t="s">
        <v>257</v>
      </c>
      <c r="N1" s="428"/>
      <c r="O1" s="428"/>
      <c r="P1" s="429"/>
    </row>
    <row r="2" spans="1:17" ht="24.75" customHeight="1" x14ac:dyDescent="0.5">
      <c r="A2" s="208" t="s">
        <v>176</v>
      </c>
      <c r="B2" s="208"/>
      <c r="C2" s="414" t="str">
        <f>"มกราคม  2567"</f>
        <v>มกราคม  2567</v>
      </c>
      <c r="D2" s="415"/>
      <c r="E2" s="208" t="s">
        <v>177</v>
      </c>
      <c r="F2" s="215">
        <v>30.11</v>
      </c>
      <c r="G2" s="208" t="s">
        <v>42</v>
      </c>
      <c r="H2" s="437"/>
      <c r="I2" s="438"/>
      <c r="J2" s="208"/>
      <c r="K2" s="208"/>
      <c r="L2" s="208"/>
      <c r="M2" s="439" t="s">
        <v>248</v>
      </c>
      <c r="N2" s="440"/>
      <c r="O2" s="440"/>
      <c r="P2" s="441"/>
    </row>
    <row r="3" spans="1:17" ht="24.75" customHeight="1" x14ac:dyDescent="0.5">
      <c r="A3" s="208" t="s">
        <v>178</v>
      </c>
      <c r="B3" s="416" t="s">
        <v>317</v>
      </c>
      <c r="C3" s="417"/>
      <c r="D3" s="417"/>
      <c r="E3" s="417"/>
      <c r="F3" s="417"/>
      <c r="G3" s="417"/>
      <c r="H3" s="417"/>
      <c r="I3" s="418"/>
      <c r="J3" s="208"/>
      <c r="K3" s="208"/>
      <c r="L3" s="208"/>
      <c r="M3" s="208"/>
      <c r="N3" s="208"/>
      <c r="O3" s="208"/>
      <c r="P3" s="208"/>
    </row>
    <row r="4" spans="1:17" ht="24.75" customHeight="1" x14ac:dyDescent="0.5">
      <c r="A4" s="208" t="s">
        <v>179</v>
      </c>
      <c r="B4" s="209">
        <v>12</v>
      </c>
      <c r="C4" s="228" t="s">
        <v>255</v>
      </c>
      <c r="D4" s="220">
        <f>F24</f>
        <v>32</v>
      </c>
      <c r="E4" s="210" t="s">
        <v>29</v>
      </c>
      <c r="F4" s="208" t="s">
        <v>225</v>
      </c>
      <c r="G4" s="208"/>
      <c r="H4" s="221">
        <v>0</v>
      </c>
      <c r="I4" s="208" t="s">
        <v>29</v>
      </c>
      <c r="J4" s="208"/>
      <c r="K4" s="208"/>
      <c r="L4" s="208"/>
      <c r="M4" s="208"/>
      <c r="N4" s="208"/>
      <c r="O4" s="208"/>
      <c r="P4" s="208"/>
      <c r="Q4" s="207" t="e">
        <f>HLOOKUP($B$5,#REF!,2,FALSE)</f>
        <v>#REF!</v>
      </c>
    </row>
    <row r="5" spans="1:17" ht="24.75" customHeight="1" x14ac:dyDescent="0.5">
      <c r="A5" s="208" t="s">
        <v>180</v>
      </c>
      <c r="B5" s="214" t="s">
        <v>240</v>
      </c>
      <c r="C5" s="208" t="s">
        <v>181</v>
      </c>
      <c r="D5" s="220">
        <f>MIN(F23,F24)</f>
        <v>32</v>
      </c>
      <c r="E5" s="210" t="s">
        <v>29</v>
      </c>
      <c r="F5" s="419" t="s">
        <v>267</v>
      </c>
      <c r="G5" s="420"/>
      <c r="H5" s="417"/>
      <c r="I5" s="418"/>
      <c r="J5" s="421"/>
      <c r="K5" s="421"/>
      <c r="L5" s="421"/>
      <c r="M5" s="208"/>
      <c r="N5" s="208"/>
      <c r="O5" s="208"/>
      <c r="P5" s="208"/>
      <c r="Q5" s="207" t="e">
        <f>HLOOKUP($B$5,#REF!,2,FALSE)</f>
        <v>#REF!</v>
      </c>
    </row>
    <row r="6" spans="1:17" ht="24.75" customHeight="1" x14ac:dyDescent="0.5">
      <c r="A6" s="208" t="s">
        <v>182</v>
      </c>
      <c r="B6" s="217" t="e">
        <f>HLOOKUP($B$5,#REF!,2,FALSE)</f>
        <v>#REF!</v>
      </c>
      <c r="C6" s="208" t="s">
        <v>256</v>
      </c>
      <c r="D6" s="220">
        <f>F25</f>
        <v>32</v>
      </c>
      <c r="E6" s="210" t="s">
        <v>29</v>
      </c>
      <c r="F6" s="419" t="s">
        <v>239</v>
      </c>
      <c r="G6" s="420"/>
      <c r="H6" s="417"/>
      <c r="I6" s="418"/>
      <c r="J6" s="421"/>
      <c r="K6" s="421"/>
      <c r="L6" s="421"/>
      <c r="M6" s="208"/>
      <c r="N6" s="208"/>
      <c r="O6" s="208"/>
      <c r="P6" s="208"/>
      <c r="Q6" s="207" t="e">
        <f>HLOOKUP($B$5,#REF!,2,FALSE)</f>
        <v>#REF!</v>
      </c>
    </row>
    <row r="7" spans="1:17" ht="24.75" customHeight="1" x14ac:dyDescent="0.5">
      <c r="A7" s="208" t="s">
        <v>184</v>
      </c>
      <c r="B7" s="211">
        <v>6</v>
      </c>
      <c r="C7" s="208" t="s">
        <v>36</v>
      </c>
      <c r="D7" s="208"/>
      <c r="E7" s="208"/>
      <c r="F7" s="419" t="s">
        <v>239</v>
      </c>
      <c r="G7" s="420"/>
      <c r="H7" s="417" t="s">
        <v>284</v>
      </c>
      <c r="I7" s="418"/>
      <c r="J7" s="421" t="s">
        <v>303</v>
      </c>
      <c r="K7" s="421"/>
      <c r="L7" s="421"/>
      <c r="M7" s="208"/>
      <c r="N7" s="208"/>
      <c r="O7" s="208"/>
      <c r="P7" s="208"/>
    </row>
    <row r="8" spans="1:17" ht="24.75" customHeight="1" x14ac:dyDescent="0.5">
      <c r="A8" s="208" t="s">
        <v>185</v>
      </c>
      <c r="B8" s="218">
        <v>1900</v>
      </c>
      <c r="C8" s="208" t="s">
        <v>36</v>
      </c>
      <c r="D8" s="208"/>
      <c r="E8" s="208"/>
      <c r="F8" s="419" t="s">
        <v>183</v>
      </c>
      <c r="G8" s="420"/>
      <c r="H8" s="422" t="s">
        <v>245</v>
      </c>
      <c r="I8" s="423"/>
      <c r="J8" s="426" t="s">
        <v>258</v>
      </c>
      <c r="K8" s="422"/>
      <c r="L8" s="423"/>
      <c r="M8" s="434" t="s">
        <v>304</v>
      </c>
      <c r="N8" s="435"/>
      <c r="O8" s="435"/>
      <c r="P8" s="436"/>
    </row>
    <row r="9" spans="1:17" ht="24.75" customHeight="1" x14ac:dyDescent="0.5">
      <c r="A9" s="208" t="s">
        <v>186</v>
      </c>
      <c r="B9" s="227">
        <v>0</v>
      </c>
      <c r="C9" s="208" t="s">
        <v>227</v>
      </c>
      <c r="D9" s="208"/>
      <c r="E9" s="208"/>
      <c r="F9" s="419" t="s">
        <v>187</v>
      </c>
      <c r="G9" s="420"/>
      <c r="H9" s="422" t="s">
        <v>262</v>
      </c>
      <c r="I9" s="423"/>
      <c r="J9" s="426" t="s">
        <v>305</v>
      </c>
      <c r="K9" s="422"/>
      <c r="L9" s="423"/>
      <c r="M9" s="434" t="s">
        <v>306</v>
      </c>
      <c r="N9" s="435"/>
      <c r="O9" s="435"/>
      <c r="P9" s="436"/>
    </row>
    <row r="10" spans="1:17" ht="24.75" customHeight="1" x14ac:dyDescent="0.5">
      <c r="A10" s="208" t="s">
        <v>188</v>
      </c>
      <c r="B10" s="227">
        <v>0</v>
      </c>
      <c r="C10" s="208" t="s">
        <v>36</v>
      </c>
      <c r="D10" s="212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</row>
    <row r="11" spans="1:17" ht="24.75" customHeight="1" x14ac:dyDescent="0.5">
      <c r="A11" s="208" t="s">
        <v>189</v>
      </c>
      <c r="B11" s="219">
        <v>0</v>
      </c>
      <c r="C11" s="208" t="s">
        <v>36</v>
      </c>
      <c r="D11" s="208"/>
      <c r="E11" s="208"/>
      <c r="F11" s="208" t="s">
        <v>242</v>
      </c>
      <c r="G11" s="208"/>
      <c r="H11" s="208"/>
      <c r="I11" s="216">
        <f>B7*B8*0.05</f>
        <v>570</v>
      </c>
      <c r="J11" s="210" t="s">
        <v>16</v>
      </c>
      <c r="K11" s="208"/>
      <c r="L11" s="208"/>
      <c r="M11" s="208"/>
      <c r="N11" s="208"/>
      <c r="O11" s="208"/>
      <c r="P11" s="208"/>
    </row>
    <row r="12" spans="1:17" ht="24.75" customHeight="1" x14ac:dyDescent="0.5">
      <c r="A12" s="208" t="s">
        <v>190</v>
      </c>
      <c r="B12" s="216">
        <v>1</v>
      </c>
      <c r="C12" s="208"/>
      <c r="D12" s="208"/>
      <c r="E12" s="208"/>
      <c r="F12" s="208" t="s">
        <v>241</v>
      </c>
      <c r="G12" s="208"/>
      <c r="H12" s="208"/>
      <c r="I12" s="216">
        <v>200</v>
      </c>
      <c r="J12" s="210" t="s">
        <v>16</v>
      </c>
      <c r="K12" s="208"/>
      <c r="L12" s="208"/>
      <c r="M12" s="208"/>
      <c r="N12" s="208"/>
      <c r="O12" s="208"/>
      <c r="P12" s="208"/>
    </row>
    <row r="13" spans="1:17" ht="24.75" customHeight="1" x14ac:dyDescent="0.5">
      <c r="A13" s="208" t="s">
        <v>226</v>
      </c>
      <c r="B13" s="216">
        <v>0.05</v>
      </c>
      <c r="C13" s="208" t="s">
        <v>36</v>
      </c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</row>
    <row r="14" spans="1:17" ht="24.75" customHeight="1" thickBot="1" x14ac:dyDescent="0.55000000000000004">
      <c r="A14" s="208" t="s">
        <v>228</v>
      </c>
      <c r="B14" s="213">
        <v>0.05</v>
      </c>
      <c r="C14" s="208" t="s">
        <v>99</v>
      </c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</row>
    <row r="15" spans="1:17" ht="24.75" customHeight="1" thickBot="1" x14ac:dyDescent="0.55000000000000004">
      <c r="A15" s="430">
        <f>+'ปร.5 (2)'!E19</f>
        <v>18527000</v>
      </c>
      <c r="B15" s="431"/>
      <c r="C15" s="208"/>
      <c r="D15" s="229" t="str">
        <f>"กม.@   "</f>
        <v xml:space="preserve">กม.@   </v>
      </c>
      <c r="E15" s="424">
        <f>ROUNDDOWN(('ปร.5 (2)'!E19/B8*1000),2)</f>
        <v>9751052.6300000008</v>
      </c>
      <c r="F15" s="425"/>
      <c r="G15" s="208"/>
      <c r="H15" s="432" t="e">
        <f>"ตร.ม.@   "&amp;ROUNDDOWN(('ปร.5 (2)'!E19/(#REF!+#REF!)),2)</f>
        <v>#REF!</v>
      </c>
      <c r="I15" s="433"/>
      <c r="J15" s="208"/>
      <c r="K15" s="208"/>
      <c r="L15" s="208"/>
      <c r="M15" s="208"/>
      <c r="N15" s="208"/>
      <c r="O15" s="208"/>
      <c r="P15" s="208"/>
    </row>
    <row r="16" spans="1:17" x14ac:dyDescent="0.5">
      <c r="A16" s="208"/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</row>
    <row r="17" spans="1:16" x14ac:dyDescent="0.5">
      <c r="A17" s="208" t="s">
        <v>229</v>
      </c>
      <c r="B17" s="213">
        <v>2</v>
      </c>
      <c r="C17" s="208"/>
      <c r="D17" s="208"/>
      <c r="E17" s="208"/>
      <c r="F17" s="208" t="s">
        <v>232</v>
      </c>
      <c r="G17" s="208"/>
      <c r="H17" s="208"/>
      <c r="I17" s="216">
        <v>1</v>
      </c>
      <c r="J17" s="210" t="s">
        <v>243</v>
      </c>
      <c r="K17" s="208"/>
      <c r="L17" s="208"/>
      <c r="M17" s="208"/>
      <c r="N17" s="208"/>
      <c r="O17" s="208"/>
      <c r="P17" s="208"/>
    </row>
    <row r="18" spans="1:16" x14ac:dyDescent="0.5">
      <c r="A18" s="208" t="s">
        <v>43</v>
      </c>
      <c r="B18" s="213">
        <v>2</v>
      </c>
      <c r="C18" s="208"/>
      <c r="D18" s="208"/>
      <c r="E18" s="208"/>
      <c r="F18" s="208" t="s">
        <v>247</v>
      </c>
      <c r="G18" s="208"/>
      <c r="H18" s="208"/>
      <c r="I18" s="216">
        <v>1</v>
      </c>
      <c r="J18" s="210" t="s">
        <v>244</v>
      </c>
      <c r="K18" s="208"/>
      <c r="L18" s="208"/>
      <c r="M18" s="208"/>
      <c r="N18" s="208"/>
      <c r="O18" s="208"/>
      <c r="P18" s="208"/>
    </row>
    <row r="19" spans="1:16" x14ac:dyDescent="0.5">
      <c r="A19" s="208" t="s">
        <v>44</v>
      </c>
      <c r="B19" s="213">
        <v>2</v>
      </c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</row>
    <row r="20" spans="1:16" x14ac:dyDescent="0.5">
      <c r="A20" s="208" t="s">
        <v>55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08"/>
      <c r="N20" s="208"/>
      <c r="O20" s="208"/>
      <c r="P20" s="208"/>
    </row>
    <row r="21" spans="1:16" x14ac:dyDescent="0.5">
      <c r="A21" s="208" t="s">
        <v>61</v>
      </c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</row>
    <row r="22" spans="1:16" x14ac:dyDescent="0.5">
      <c r="A22" s="208"/>
      <c r="B22" s="208"/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</row>
    <row r="23" spans="1:16" x14ac:dyDescent="0.5">
      <c r="B23" s="207" t="s">
        <v>264</v>
      </c>
      <c r="F23" s="231">
        <v>38</v>
      </c>
    </row>
    <row r="24" spans="1:16" x14ac:dyDescent="0.5">
      <c r="B24" s="207" t="s">
        <v>263</v>
      </c>
      <c r="F24" s="231">
        <v>32</v>
      </c>
    </row>
    <row r="25" spans="1:16" x14ac:dyDescent="0.5">
      <c r="B25" s="207" t="s">
        <v>265</v>
      </c>
      <c r="F25" s="231">
        <v>32</v>
      </c>
    </row>
    <row r="26" spans="1:16" x14ac:dyDescent="0.5">
      <c r="B26" s="207" t="s">
        <v>266</v>
      </c>
      <c r="F26" s="230">
        <v>116</v>
      </c>
    </row>
  </sheetData>
  <sheetProtection selectLockedCells="1" selectUnlockedCells="1"/>
  <mergeCells count="26">
    <mergeCell ref="M1:P1"/>
    <mergeCell ref="A15:B15"/>
    <mergeCell ref="H15:I15"/>
    <mergeCell ref="M8:P8"/>
    <mergeCell ref="F6:G6"/>
    <mergeCell ref="H6:I6"/>
    <mergeCell ref="J6:L6"/>
    <mergeCell ref="F9:G9"/>
    <mergeCell ref="H9:I9"/>
    <mergeCell ref="J5:L5"/>
    <mergeCell ref="H2:I2"/>
    <mergeCell ref="M2:P2"/>
    <mergeCell ref="J9:L9"/>
    <mergeCell ref="M9:P9"/>
    <mergeCell ref="F7:G7"/>
    <mergeCell ref="H7:I7"/>
    <mergeCell ref="J7:L7"/>
    <mergeCell ref="F8:G8"/>
    <mergeCell ref="H8:I8"/>
    <mergeCell ref="E15:F15"/>
    <mergeCell ref="J8:L8"/>
    <mergeCell ref="A1:B1"/>
    <mergeCell ref="C2:D2"/>
    <mergeCell ref="B3:I3"/>
    <mergeCell ref="F5:G5"/>
    <mergeCell ref="H5:I5"/>
  </mergeCells>
  <pageMargins left="0.75" right="0.75" top="1" bottom="1" header="0.5" footer="0.5"/>
  <pageSetup paperSize="9" orientation="portrait" horizontalDpi="4294967294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0"/>
  <sheetViews>
    <sheetView tabSelected="1" topLeftCell="A7" zoomScaleNormal="100" workbookViewId="0">
      <selection activeCell="F34" sqref="F34"/>
    </sheetView>
  </sheetViews>
  <sheetFormatPr defaultColWidth="9.140625" defaultRowHeight="21" x14ac:dyDescent="0.45"/>
  <cols>
    <col min="1" max="1" width="13.42578125" style="254" customWidth="1"/>
    <col min="2" max="2" width="23.28515625" style="254" customWidth="1"/>
    <col min="3" max="3" width="8.140625" style="254" customWidth="1"/>
    <col min="4" max="4" width="15.7109375" style="254" customWidth="1"/>
    <col min="5" max="5" width="15.42578125" style="254" customWidth="1"/>
    <col min="6" max="6" width="19.7109375" style="254" customWidth="1"/>
    <col min="7" max="7" width="8.42578125" style="254" customWidth="1"/>
    <col min="8" max="8" width="16.140625" style="254" customWidth="1"/>
    <col min="9" max="16384" width="9.140625" style="254"/>
  </cols>
  <sheetData>
    <row r="1" spans="1:11" x14ac:dyDescent="0.45">
      <c r="A1" s="445" t="s">
        <v>321</v>
      </c>
      <c r="B1" s="445"/>
      <c r="C1" s="445"/>
      <c r="D1" s="445"/>
      <c r="E1" s="445"/>
      <c r="F1" s="445"/>
      <c r="G1" s="445"/>
      <c r="H1" s="445"/>
    </row>
    <row r="2" spans="1:11" x14ac:dyDescent="0.45">
      <c r="A2" s="445" t="s">
        <v>324</v>
      </c>
      <c r="B2" s="445"/>
      <c r="C2" s="445"/>
      <c r="D2" s="445"/>
      <c r="E2" s="445"/>
      <c r="F2" s="445"/>
      <c r="G2" s="445"/>
      <c r="H2" s="445"/>
    </row>
    <row r="3" spans="1:11" x14ac:dyDescent="0.45">
      <c r="A3" s="445" t="s">
        <v>322</v>
      </c>
      <c r="B3" s="445"/>
      <c r="C3" s="445"/>
      <c r="D3" s="445"/>
      <c r="E3" s="445"/>
      <c r="F3" s="445"/>
      <c r="G3" s="445"/>
      <c r="H3" s="445"/>
    </row>
    <row r="4" spans="1:11" s="255" customFormat="1" x14ac:dyDescent="0.45">
      <c r="A4" s="446" t="str">
        <f>[1]ปร.4!A2</f>
        <v>ส่วนราชการ กองช่าง  องค์การบริหารส่วนจังหวัดสระบุรี</v>
      </c>
      <c r="B4" s="445"/>
      <c r="C4" s="445"/>
      <c r="D4" s="445"/>
      <c r="E4" s="445"/>
      <c r="F4" s="445"/>
      <c r="G4" s="445"/>
      <c r="H4" s="445"/>
    </row>
    <row r="5" spans="1:11" ht="20.25" customHeight="1" x14ac:dyDescent="0.45">
      <c r="A5" s="254" t="s">
        <v>318</v>
      </c>
    </row>
    <row r="6" spans="1:11" ht="20.25" customHeight="1" x14ac:dyDescent="0.45">
      <c r="A6" s="256" t="s">
        <v>319</v>
      </c>
      <c r="B6" s="257"/>
      <c r="D6" s="258"/>
      <c r="E6" s="259"/>
    </row>
    <row r="7" spans="1:11" ht="20.25" customHeight="1" x14ac:dyDescent="0.45">
      <c r="A7" s="254" t="s">
        <v>191</v>
      </c>
      <c r="B7" s="260" t="str">
        <f>+'ปร.4 (2)'!B6</f>
        <v xml:space="preserve">  ผิวจราจรกว้าง 6.00 เมตร ยาว 5,300 เมตร หนา 0.05 เมตร  ไม่มีไหล่ทาง</v>
      </c>
      <c r="C7" s="261"/>
      <c r="D7" s="261"/>
      <c r="E7" s="261"/>
      <c r="H7" s="258"/>
      <c r="I7" s="262"/>
    </row>
    <row r="8" spans="1:11" ht="20.25" customHeight="1" x14ac:dyDescent="0.45">
      <c r="A8" s="448" t="s">
        <v>209</v>
      </c>
      <c r="B8" s="448"/>
      <c r="C8" s="448"/>
      <c r="D8" s="263">
        <f>'ปร.4 (2)'!L6</f>
        <v>31800</v>
      </c>
      <c r="E8" s="262" t="s">
        <v>16</v>
      </c>
      <c r="H8" s="258"/>
      <c r="I8" s="262"/>
    </row>
    <row r="9" spans="1:11" ht="20.25" customHeight="1" x14ac:dyDescent="0.45">
      <c r="A9" s="254" t="str">
        <f>"ประมาณราคาเดือน     "&amp;Data!C2</f>
        <v>ประมาณราคาเดือน     มกราคม  2567</v>
      </c>
      <c r="E9" s="258" t="s">
        <v>210</v>
      </c>
      <c r="F9" s="262" t="s">
        <v>320</v>
      </c>
      <c r="G9" s="254">
        <v>2567</v>
      </c>
      <c r="H9" s="258"/>
      <c r="I9" s="262"/>
    </row>
    <row r="10" spans="1:11" ht="20.25" customHeight="1" x14ac:dyDescent="0.45">
      <c r="E10" s="258" t="s">
        <v>211</v>
      </c>
      <c r="F10" s="262" t="str">
        <f>+F9</f>
        <v>มกราคม</v>
      </c>
      <c r="G10" s="254">
        <f>+G9</f>
        <v>2567</v>
      </c>
    </row>
    <row r="11" spans="1:11" ht="60.75" customHeight="1" x14ac:dyDescent="0.45">
      <c r="A11" s="264" t="s">
        <v>194</v>
      </c>
      <c r="B11" s="265" t="s">
        <v>1</v>
      </c>
      <c r="C11" s="266"/>
      <c r="D11" s="264" t="s">
        <v>2</v>
      </c>
      <c r="E11" s="267" t="s">
        <v>212</v>
      </c>
      <c r="F11" s="265" t="s">
        <v>5</v>
      </c>
      <c r="G11" s="268"/>
      <c r="I11" s="254">
        <f>6*2500</f>
        <v>15000</v>
      </c>
    </row>
    <row r="12" spans="1:11" ht="20.25" customHeight="1" x14ac:dyDescent="0.45">
      <c r="A12" s="269">
        <v>1</v>
      </c>
      <c r="B12" s="270" t="s">
        <v>213</v>
      </c>
      <c r="D12" s="271">
        <f>+'ปร.4 (2)'!G36</f>
        <v>1.2878000000000001</v>
      </c>
      <c r="E12" s="272">
        <f>+'ปร.4 (2)'!L34</f>
        <v>18527193.48</v>
      </c>
      <c r="F12" s="273" t="s">
        <v>2</v>
      </c>
      <c r="G12" s="274"/>
      <c r="I12" s="254">
        <f>6*5300</f>
        <v>31800</v>
      </c>
    </row>
    <row r="13" spans="1:11" ht="20.25" customHeight="1" x14ac:dyDescent="0.45">
      <c r="A13" s="275"/>
      <c r="B13" s="276"/>
      <c r="C13" s="277"/>
      <c r="D13" s="278"/>
      <c r="E13" s="279"/>
      <c r="F13" s="270" t="s">
        <v>214</v>
      </c>
      <c r="G13" s="280">
        <v>7.0000000000000007E-2</v>
      </c>
      <c r="K13" s="281"/>
    </row>
    <row r="14" spans="1:11" ht="20.25" customHeight="1" x14ac:dyDescent="0.45">
      <c r="A14" s="282"/>
      <c r="B14" s="282"/>
      <c r="C14" s="283"/>
      <c r="D14" s="284"/>
      <c r="E14" s="279"/>
      <c r="F14" s="285" t="s">
        <v>215</v>
      </c>
      <c r="G14" s="280">
        <v>7.0000000000000007E-2</v>
      </c>
    </row>
    <row r="15" spans="1:11" ht="20.25" customHeight="1" x14ac:dyDescent="0.45">
      <c r="A15" s="270"/>
      <c r="B15" s="270"/>
      <c r="D15" s="286"/>
      <c r="E15" s="272"/>
      <c r="F15" s="270" t="s">
        <v>216</v>
      </c>
      <c r="G15" s="280">
        <v>0</v>
      </c>
    </row>
    <row r="16" spans="1:11" ht="20.25" customHeight="1" x14ac:dyDescent="0.45">
      <c r="A16" s="270"/>
      <c r="B16" s="270"/>
      <c r="D16" s="286"/>
      <c r="E16" s="272"/>
      <c r="F16" s="270" t="s">
        <v>217</v>
      </c>
      <c r="G16" s="280">
        <v>0</v>
      </c>
    </row>
    <row r="17" spans="1:11" ht="20.25" customHeight="1" x14ac:dyDescent="0.45">
      <c r="A17" s="287"/>
      <c r="B17" s="287"/>
      <c r="C17" s="288"/>
      <c r="D17" s="289"/>
      <c r="E17" s="289"/>
      <c r="F17" s="285" t="s">
        <v>261</v>
      </c>
      <c r="G17" s="290"/>
    </row>
    <row r="18" spans="1:11" ht="20.25" customHeight="1" x14ac:dyDescent="0.45">
      <c r="A18" s="291" t="s">
        <v>84</v>
      </c>
      <c r="B18" s="292"/>
      <c r="D18" s="281"/>
      <c r="E18" s="293">
        <f>SUM(E12:E17)</f>
        <v>18527193.48</v>
      </c>
      <c r="F18" s="287" t="s">
        <v>218</v>
      </c>
      <c r="G18" s="294"/>
    </row>
    <row r="19" spans="1:11" ht="20.25" customHeight="1" thickBot="1" x14ac:dyDescent="0.5">
      <c r="A19" s="270"/>
      <c r="D19" s="281"/>
      <c r="E19" s="295">
        <f>IF(E18&lt;10000000,ROUNDDOWN(E18,-3),ROUNDDOWN(E18,-3))</f>
        <v>18527000</v>
      </c>
      <c r="F19" s="254" t="s">
        <v>218</v>
      </c>
      <c r="G19" s="296"/>
    </row>
    <row r="20" spans="1:11" ht="20.25" customHeight="1" thickTop="1" x14ac:dyDescent="0.45">
      <c r="A20" s="287"/>
      <c r="B20" s="288"/>
      <c r="C20" s="288" t="s">
        <v>219</v>
      </c>
      <c r="D20" s="297" t="str">
        <f>BAHTTEXT(E19)</f>
        <v>สิบแปดล้านห้าแสนสองหมื่นเจ็ดพันบาทถ้วน</v>
      </c>
      <c r="E20" s="288"/>
      <c r="F20" s="288"/>
      <c r="G20" s="294"/>
    </row>
    <row r="21" spans="1:11" ht="20.25" customHeight="1" x14ac:dyDescent="0.45">
      <c r="A21" s="298" t="s">
        <v>220</v>
      </c>
      <c r="C21" s="443">
        <f>E18/D8</f>
        <v>582.61614716981137</v>
      </c>
      <c r="D21" s="443"/>
      <c r="E21" s="254" t="s">
        <v>221</v>
      </c>
    </row>
    <row r="22" spans="1:11" x14ac:dyDescent="0.45">
      <c r="A22" s="255"/>
      <c r="B22" s="255"/>
      <c r="C22" s="255"/>
      <c r="D22" s="255"/>
      <c r="E22" s="299"/>
      <c r="F22" s="299"/>
      <c r="G22" s="255"/>
      <c r="H22" s="255"/>
      <c r="J22" s="300"/>
    </row>
    <row r="23" spans="1:11" ht="21.75" customHeight="1" x14ac:dyDescent="0.45">
      <c r="B23" s="395" t="s">
        <v>87</v>
      </c>
      <c r="C23" s="396"/>
      <c r="D23" s="397"/>
      <c r="E23" s="398"/>
      <c r="F23" s="398"/>
      <c r="G23" s="255"/>
      <c r="H23" s="255"/>
      <c r="I23" s="449"/>
      <c r="J23" s="449"/>
      <c r="K23" s="449"/>
    </row>
    <row r="24" spans="1:11" ht="21.75" customHeight="1" x14ac:dyDescent="0.45">
      <c r="B24" s="399"/>
      <c r="C24" s="400" t="s">
        <v>88</v>
      </c>
      <c r="D24" s="255"/>
      <c r="E24" s="255"/>
      <c r="F24" s="255" t="s">
        <v>325</v>
      </c>
      <c r="G24" s="255"/>
      <c r="H24" s="255"/>
      <c r="I24" s="447"/>
      <c r="J24" s="447"/>
      <c r="K24" s="447"/>
    </row>
    <row r="25" spans="1:11" ht="21.75" customHeight="1" x14ac:dyDescent="0.45">
      <c r="B25" s="255"/>
      <c r="C25" s="255"/>
      <c r="D25" s="401" t="s">
        <v>326</v>
      </c>
      <c r="E25" s="402"/>
      <c r="F25" s="403" t="s">
        <v>192</v>
      </c>
      <c r="G25" s="255"/>
      <c r="H25" s="255"/>
    </row>
    <row r="26" spans="1:11" ht="21.75" customHeight="1" x14ac:dyDescent="0.45">
      <c r="B26" s="255"/>
      <c r="C26" s="255"/>
      <c r="D26" s="401" t="s">
        <v>304</v>
      </c>
      <c r="E26" s="402"/>
      <c r="F26" s="403"/>
      <c r="G26" s="255"/>
      <c r="H26" s="255"/>
    </row>
    <row r="27" spans="1:11" ht="21.75" customHeight="1" x14ac:dyDescent="0.45">
      <c r="B27" s="255"/>
      <c r="C27" s="255"/>
      <c r="D27" s="299"/>
      <c r="E27" s="299"/>
      <c r="F27" s="255"/>
      <c r="G27" s="255"/>
      <c r="H27" s="255"/>
    </row>
    <row r="28" spans="1:11" ht="21.75" customHeight="1" x14ac:dyDescent="0.45">
      <c r="B28" s="404"/>
      <c r="C28" s="405" t="s">
        <v>88</v>
      </c>
      <c r="D28" s="406"/>
      <c r="E28" s="406"/>
      <c r="F28" s="404" t="s">
        <v>239</v>
      </c>
      <c r="G28" s="255"/>
      <c r="H28" s="255"/>
    </row>
    <row r="29" spans="1:11" ht="21.75" customHeight="1" x14ac:dyDescent="0.45">
      <c r="B29" s="404"/>
      <c r="C29" s="407"/>
      <c r="D29" s="408" t="s">
        <v>327</v>
      </c>
      <c r="E29" s="402"/>
      <c r="F29" s="404"/>
      <c r="G29" s="255"/>
      <c r="H29" s="255"/>
    </row>
    <row r="30" spans="1:11" ht="21.75" customHeight="1" x14ac:dyDescent="0.45">
      <c r="B30" s="299"/>
      <c r="C30" s="255"/>
      <c r="D30" s="299" t="s">
        <v>328</v>
      </c>
      <c r="E30" s="299"/>
      <c r="F30" s="255"/>
      <c r="G30" s="255"/>
      <c r="H30" s="255"/>
    </row>
    <row r="31" spans="1:11" ht="21.75" customHeight="1" x14ac:dyDescent="0.45">
      <c r="B31" s="407"/>
      <c r="C31" s="405" t="s">
        <v>88</v>
      </c>
      <c r="D31" s="406"/>
      <c r="E31" s="406"/>
      <c r="F31" s="404" t="s">
        <v>239</v>
      </c>
      <c r="G31" s="255"/>
      <c r="H31" s="255"/>
    </row>
    <row r="32" spans="1:11" ht="21.75" customHeight="1" x14ac:dyDescent="0.45">
      <c r="B32" s="404"/>
      <c r="C32" s="407"/>
      <c r="D32" s="408" t="s">
        <v>329</v>
      </c>
      <c r="E32" s="402"/>
      <c r="F32" s="404"/>
      <c r="G32" s="255"/>
      <c r="H32" s="255"/>
    </row>
    <row r="33" spans="1:8" ht="21.75" customHeight="1" x14ac:dyDescent="0.45">
      <c r="B33" s="404"/>
      <c r="C33" s="409"/>
      <c r="D33" s="409" t="s">
        <v>330</v>
      </c>
      <c r="E33" s="406"/>
      <c r="F33" s="404"/>
      <c r="G33" s="255"/>
      <c r="H33" s="255"/>
    </row>
    <row r="34" spans="1:8" ht="21.75" customHeight="1" x14ac:dyDescent="0.45">
      <c r="A34" s="255"/>
      <c r="B34" s="255"/>
      <c r="C34" s="301"/>
      <c r="D34" s="255"/>
      <c r="E34" s="255"/>
      <c r="F34" s="255"/>
      <c r="G34" s="255"/>
      <c r="H34" s="255"/>
    </row>
    <row r="35" spans="1:8" ht="21.75" customHeight="1" x14ac:dyDescent="0.45">
      <c r="A35" s="255"/>
      <c r="B35" s="255"/>
      <c r="C35" s="255"/>
      <c r="D35" s="444"/>
      <c r="E35" s="444"/>
      <c r="F35" s="302"/>
      <c r="G35" s="255"/>
      <c r="H35" s="255"/>
    </row>
    <row r="36" spans="1:8" ht="21.75" customHeight="1" x14ac:dyDescent="0.45">
      <c r="A36" s="255"/>
      <c r="B36" s="255"/>
      <c r="C36" s="255"/>
      <c r="D36" s="442"/>
      <c r="E36" s="442"/>
      <c r="F36" s="301"/>
      <c r="G36" s="255"/>
      <c r="H36" s="255"/>
    </row>
    <row r="37" spans="1:8" ht="21.75" customHeight="1" x14ac:dyDescent="0.45">
      <c r="A37" s="255"/>
      <c r="B37" s="255"/>
      <c r="C37" s="255"/>
      <c r="D37" s="255"/>
      <c r="E37" s="255"/>
      <c r="F37" s="255"/>
      <c r="G37" s="255"/>
      <c r="H37" s="255"/>
    </row>
    <row r="38" spans="1:8" ht="21.75" customHeight="1" x14ac:dyDescent="0.45">
      <c r="B38" s="255"/>
      <c r="C38" s="255"/>
      <c r="D38" s="255"/>
      <c r="E38" s="255"/>
      <c r="F38" s="255"/>
      <c r="G38" s="255"/>
    </row>
    <row r="39" spans="1:8" ht="21.75" customHeight="1" x14ac:dyDescent="0.45">
      <c r="B39" s="255"/>
      <c r="C39" s="255"/>
      <c r="D39" s="255"/>
      <c r="E39" s="255"/>
      <c r="F39" s="255"/>
      <c r="G39" s="255"/>
    </row>
    <row r="40" spans="1:8" ht="21.75" customHeight="1" x14ac:dyDescent="0.45"/>
    <row r="41" spans="1:8" ht="21.75" customHeight="1" x14ac:dyDescent="0.45"/>
    <row r="42" spans="1:8" ht="21.75" customHeight="1" x14ac:dyDescent="0.45"/>
    <row r="43" spans="1:8" ht="21.75" customHeight="1" x14ac:dyDescent="0.45"/>
    <row r="44" spans="1:8" ht="21.75" customHeight="1" x14ac:dyDescent="0.45"/>
    <row r="45" spans="1:8" ht="21.75" customHeight="1" x14ac:dyDescent="0.45"/>
    <row r="46" spans="1:8" ht="21.75" customHeight="1" x14ac:dyDescent="0.45"/>
    <row r="47" spans="1:8" ht="21.75" customHeight="1" x14ac:dyDescent="0.45"/>
    <row r="48" spans="1:8" ht="21.75" customHeight="1" x14ac:dyDescent="0.45"/>
    <row r="49" ht="21.75" customHeight="1" x14ac:dyDescent="0.45"/>
    <row r="50" ht="21.75" customHeight="1" x14ac:dyDescent="0.45"/>
    <row r="51" ht="21.75" customHeight="1" x14ac:dyDescent="0.45"/>
    <row r="52" ht="21.75" customHeight="1" x14ac:dyDescent="0.45"/>
    <row r="53" ht="21.75" customHeight="1" x14ac:dyDescent="0.45"/>
    <row r="54" ht="21.75" customHeight="1" x14ac:dyDescent="0.45"/>
    <row r="55" ht="21.75" customHeight="1" x14ac:dyDescent="0.45"/>
    <row r="56" ht="21.75" customHeight="1" x14ac:dyDescent="0.45"/>
    <row r="57" ht="21.75" customHeight="1" x14ac:dyDescent="0.45"/>
    <row r="58" ht="21.75" customHeight="1" x14ac:dyDescent="0.45"/>
    <row r="59" ht="21.75" customHeight="1" x14ac:dyDescent="0.45"/>
    <row r="60" ht="21.75" customHeight="1" x14ac:dyDescent="0.45"/>
    <row r="61" ht="21.75" customHeight="1" x14ac:dyDescent="0.45"/>
    <row r="62" ht="21.75" customHeight="1" x14ac:dyDescent="0.45"/>
    <row r="63" ht="21.75" customHeight="1" x14ac:dyDescent="0.45"/>
    <row r="64" ht="21.75" customHeight="1" x14ac:dyDescent="0.45"/>
    <row r="65" ht="21.75" customHeight="1" x14ac:dyDescent="0.45"/>
    <row r="66" ht="21.75" customHeight="1" x14ac:dyDescent="0.45"/>
    <row r="67" ht="21.75" customHeight="1" x14ac:dyDescent="0.45"/>
    <row r="68" ht="21.75" customHeight="1" x14ac:dyDescent="0.45"/>
    <row r="69" ht="21.75" customHeight="1" x14ac:dyDescent="0.45"/>
    <row r="70" ht="21.75" customHeight="1" x14ac:dyDescent="0.45"/>
  </sheetData>
  <mergeCells count="10">
    <mergeCell ref="I24:K24"/>
    <mergeCell ref="A8:C8"/>
    <mergeCell ref="I23:K23"/>
    <mergeCell ref="D36:E36"/>
    <mergeCell ref="C21:D21"/>
    <mergeCell ref="D35:E35"/>
    <mergeCell ref="A1:H1"/>
    <mergeCell ref="A2:H2"/>
    <mergeCell ref="A3:H3"/>
    <mergeCell ref="A4:H4"/>
  </mergeCells>
  <pageMargins left="0.48" right="0.25" top="0.39" bottom="0.17" header="0.17" footer="0.17"/>
  <pageSetup orientation="portrait" r:id="rId1"/>
  <headerFooter alignWithMargins="0">
    <oddHeader>&amp;R&amp;"TH Sarabun New,Regular"&amp;12ปร.5ท แผ่นที่ &amp;P&amp;'/&amp;N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64"/>
  <sheetViews>
    <sheetView topLeftCell="A4" zoomScaleNormal="100" zoomScaleSheetLayoutView="100" zoomScalePageLayoutView="115" workbookViewId="0">
      <selection activeCell="G36" sqref="G36"/>
    </sheetView>
  </sheetViews>
  <sheetFormatPr defaultColWidth="13.28515625" defaultRowHeight="21" x14ac:dyDescent="0.45"/>
  <cols>
    <col min="1" max="1" width="12.7109375" style="254" customWidth="1"/>
    <col min="2" max="3" width="13.28515625" style="254" customWidth="1"/>
    <col min="4" max="4" width="8.28515625" style="254" customWidth="1"/>
    <col min="5" max="5" width="10.140625" style="254" customWidth="1"/>
    <col min="6" max="6" width="5.42578125" style="262" bestFit="1" customWidth="1"/>
    <col min="7" max="7" width="13.42578125" style="305" bestFit="1" customWidth="1"/>
    <col min="8" max="8" width="9.5703125" style="306" bestFit="1" customWidth="1"/>
    <col min="9" max="9" width="16.7109375" style="263" customWidth="1"/>
    <col min="10" max="10" width="7.85546875" style="263" bestFit="1" customWidth="1"/>
    <col min="11" max="11" width="12.140625" style="254" customWidth="1"/>
    <col min="12" max="12" width="15.28515625" style="254" bestFit="1" customWidth="1"/>
    <col min="13" max="13" width="12" style="254" customWidth="1"/>
    <col min="14" max="14" width="13.28515625" style="254"/>
    <col min="15" max="15" width="14.140625" style="254" customWidth="1"/>
    <col min="16" max="16" width="13.28515625" style="254"/>
    <col min="17" max="17" width="15.140625" style="254" bestFit="1" customWidth="1"/>
    <col min="18" max="19" width="16.42578125" style="254" bestFit="1" customWidth="1"/>
    <col min="20" max="16384" width="13.28515625" style="254"/>
  </cols>
  <sheetData>
    <row r="1" spans="1:19" x14ac:dyDescent="0.45">
      <c r="A1" s="459" t="s">
        <v>323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</row>
    <row r="2" spans="1:19" x14ac:dyDescent="0.45">
      <c r="A2" s="459" t="str">
        <f>"ส่วนราชการ  สำนักช่าง  องค์การบริหารส่วนจังหวัดสระบุรี"</f>
        <v>ส่วนราชการ  สำนักช่าง  องค์การบริหารส่วนจังหวัดสระบุรี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</row>
    <row r="3" spans="1:19" x14ac:dyDescent="0.45">
      <c r="A3" s="459" t="str">
        <f>"งบประมาณประจำปี 2567"</f>
        <v>งบประมาณประจำปี 2567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</row>
    <row r="4" spans="1:19" x14ac:dyDescent="0.45">
      <c r="A4" s="303" t="str">
        <f>+'ปร.5 (2)'!A5</f>
        <v xml:space="preserve">โครงการ   ปรับปรุงถนนลาดยาง หมู่ที่ 1,2,3,5 (เลียบคลอง 24 ขวา ฝั่งขวา) เชื่อมระหว่าง ต.ไผ่ขวาง อ.บ้านหมอ กับ </v>
      </c>
      <c r="C4" s="304"/>
      <c r="D4" s="304"/>
      <c r="F4" s="304"/>
      <c r="I4" s="254"/>
      <c r="J4" s="303"/>
      <c r="K4" s="303"/>
      <c r="L4" s="303"/>
      <c r="M4" s="303"/>
    </row>
    <row r="5" spans="1:19" x14ac:dyDescent="0.45">
      <c r="B5" s="254" t="s">
        <v>319</v>
      </c>
      <c r="O5" s="254" t="e">
        <f>IF(Data!B4=0,"ตำบล  "&amp;Data!B5&amp;"    อำเภอ  "&amp;Data!B6&amp;"  จังหวัด  สระบุรี",IF(Data!B4&gt;0,"หมู่ที่   "&amp;Data!B4&amp;"  บ้านปากคลอง          ตำบล     "&amp;Data!B5&amp;"          อำเภอ       "&amp;Data!B6&amp;"            จังหวัด  สระบุรี"))</f>
        <v>#REF!</v>
      </c>
    </row>
    <row r="6" spans="1:19" x14ac:dyDescent="0.45">
      <c r="A6" s="254" t="s">
        <v>191</v>
      </c>
      <c r="B6" s="307" t="s">
        <v>315</v>
      </c>
      <c r="C6" s="308"/>
      <c r="D6" s="308"/>
      <c r="E6" s="308"/>
      <c r="F6" s="308"/>
      <c r="G6" s="308"/>
      <c r="H6" s="308"/>
      <c r="I6" s="305"/>
      <c r="J6" s="305"/>
      <c r="K6" s="309" t="str">
        <f>+'ปร.5 (2)'!A8</f>
        <v xml:space="preserve">                       หรือคิดเป็นพื้นที่ลาดยางไม่น้อยกว่า </v>
      </c>
      <c r="L6" s="310">
        <v>31800</v>
      </c>
      <c r="M6" s="311" t="str">
        <f>+'ปร.5 (2)'!E8</f>
        <v>ตร.ม.</v>
      </c>
    </row>
    <row r="7" spans="1:19" x14ac:dyDescent="0.45">
      <c r="A7" s="254" t="s">
        <v>259</v>
      </c>
      <c r="C7" s="451" t="str">
        <f>+Data!C2</f>
        <v>มกราคม  2567</v>
      </c>
      <c r="D7" s="452"/>
      <c r="E7" s="312"/>
      <c r="H7" s="306" t="s">
        <v>192</v>
      </c>
      <c r="I7" s="313"/>
      <c r="J7" s="313"/>
      <c r="K7" s="306" t="s">
        <v>193</v>
      </c>
      <c r="L7" s="314">
        <f>+Data!F2</f>
        <v>30.11</v>
      </c>
      <c r="M7" s="262" t="str">
        <f>+Data!G2</f>
        <v>บาท/ลิตร</v>
      </c>
      <c r="O7" s="254">
        <v>6</v>
      </c>
      <c r="P7" s="254">
        <v>5300</v>
      </c>
      <c r="Q7" s="254">
        <f>+O7*P7</f>
        <v>31800</v>
      </c>
    </row>
    <row r="8" spans="1:19" x14ac:dyDescent="0.45">
      <c r="A8" s="460" t="s">
        <v>194</v>
      </c>
      <c r="B8" s="463" t="s">
        <v>1</v>
      </c>
      <c r="C8" s="464"/>
      <c r="D8" s="464"/>
      <c r="E8" s="465"/>
      <c r="F8" s="460" t="s">
        <v>8</v>
      </c>
      <c r="G8" s="460" t="s">
        <v>7</v>
      </c>
      <c r="H8" s="315" t="s">
        <v>195</v>
      </c>
      <c r="I8" s="460" t="s">
        <v>196</v>
      </c>
      <c r="J8" s="460" t="s">
        <v>2</v>
      </c>
      <c r="K8" s="316" t="s">
        <v>197</v>
      </c>
      <c r="L8" s="316" t="s">
        <v>198</v>
      </c>
      <c r="M8" s="456" t="s">
        <v>5</v>
      </c>
      <c r="O8" s="254">
        <f>6*2500</f>
        <v>15000</v>
      </c>
    </row>
    <row r="9" spans="1:19" ht="21.75" customHeight="1" x14ac:dyDescent="0.45">
      <c r="A9" s="462"/>
      <c r="B9" s="466"/>
      <c r="C9" s="442"/>
      <c r="D9" s="442"/>
      <c r="E9" s="467"/>
      <c r="F9" s="462"/>
      <c r="G9" s="462"/>
      <c r="H9" s="317" t="s">
        <v>8</v>
      </c>
      <c r="I9" s="461"/>
      <c r="J9" s="461"/>
      <c r="K9" s="318" t="s">
        <v>199</v>
      </c>
      <c r="L9" s="318" t="s">
        <v>14</v>
      </c>
      <c r="M9" s="457"/>
    </row>
    <row r="10" spans="1:19" ht="21.75" customHeight="1" x14ac:dyDescent="0.45">
      <c r="A10" s="319"/>
      <c r="B10" s="320"/>
      <c r="C10" s="321"/>
      <c r="D10" s="321"/>
      <c r="E10" s="322"/>
      <c r="F10" s="319"/>
      <c r="G10" s="323" t="s">
        <v>249</v>
      </c>
      <c r="H10" s="323" t="s">
        <v>250</v>
      </c>
      <c r="I10" s="323" t="s">
        <v>251</v>
      </c>
      <c r="J10" s="323" t="s">
        <v>252</v>
      </c>
      <c r="K10" s="323" t="s">
        <v>253</v>
      </c>
      <c r="L10" s="323" t="s">
        <v>254</v>
      </c>
      <c r="M10" s="458"/>
      <c r="N10" s="254" t="s">
        <v>314</v>
      </c>
      <c r="O10" s="254">
        <v>1900</v>
      </c>
      <c r="P10" s="254">
        <v>6</v>
      </c>
      <c r="Q10" s="254">
        <f>+O10*P10</f>
        <v>11400</v>
      </c>
    </row>
    <row r="11" spans="1:19" ht="21.75" customHeight="1" x14ac:dyDescent="0.45">
      <c r="A11" s="324">
        <v>1</v>
      </c>
      <c r="B11" s="453" t="s">
        <v>274</v>
      </c>
      <c r="C11" s="454"/>
      <c r="D11" s="454"/>
      <c r="E11" s="455"/>
      <c r="F11" s="325"/>
      <c r="G11" s="326"/>
      <c r="H11" s="327"/>
      <c r="I11" s="328"/>
      <c r="J11" s="328"/>
      <c r="K11" s="329"/>
      <c r="L11" s="330"/>
      <c r="M11" s="325"/>
      <c r="N11" s="262" t="s">
        <v>230</v>
      </c>
      <c r="O11" s="262" t="s">
        <v>231</v>
      </c>
      <c r="P11" s="262" t="s">
        <v>275</v>
      </c>
      <c r="Q11" s="254" t="s">
        <v>312</v>
      </c>
      <c r="R11" s="254" t="s">
        <v>311</v>
      </c>
      <c r="S11" s="254" t="s">
        <v>313</v>
      </c>
    </row>
    <row r="12" spans="1:19" ht="21.75" customHeight="1" x14ac:dyDescent="0.45">
      <c r="A12" s="331">
        <f>A11+0.1</f>
        <v>1.1000000000000001</v>
      </c>
      <c r="B12" s="332" t="s">
        <v>278</v>
      </c>
      <c r="C12" s="333"/>
      <c r="D12" s="333"/>
      <c r="E12" s="334"/>
      <c r="F12" s="335" t="s">
        <v>17</v>
      </c>
      <c r="G12" s="336">
        <f>+S12</f>
        <v>15919.875</v>
      </c>
      <c r="H12" s="337">
        <v>50.68</v>
      </c>
      <c r="I12" s="338">
        <f>ROUND(ROUND(G12,2)*ROUND(H12,2),2)</f>
        <v>806819.52</v>
      </c>
      <c r="J12" s="339">
        <f>$G$36</f>
        <v>1.2878000000000001</v>
      </c>
      <c r="K12" s="340">
        <f t="shared" ref="K12:K33" si="0">ROUND(J12*ROUND(H12,2),2)</f>
        <v>65.27</v>
      </c>
      <c r="L12" s="341">
        <f>ROUNDDOWN(J12*I12,2)</f>
        <v>1039022.17</v>
      </c>
      <c r="M12" s="335"/>
      <c r="N12" s="262">
        <v>6</v>
      </c>
      <c r="O12" s="262">
        <v>5300</v>
      </c>
      <c r="P12" s="262">
        <v>0.45</v>
      </c>
      <c r="Q12" s="254">
        <f>+N12+1.5*P12*2</f>
        <v>7.35</v>
      </c>
      <c r="R12" s="254">
        <f>0.5*(N12+Q12)*P12</f>
        <v>3.0037500000000001</v>
      </c>
      <c r="S12" s="254">
        <f>+O12*R12</f>
        <v>15919.875</v>
      </c>
    </row>
    <row r="13" spans="1:19" ht="21.75" customHeight="1" x14ac:dyDescent="0.45">
      <c r="A13" s="331"/>
      <c r="B13" s="332" t="s">
        <v>277</v>
      </c>
      <c r="C13" s="333"/>
      <c r="D13" s="333"/>
      <c r="E13" s="334"/>
      <c r="F13" s="335"/>
      <c r="G13" s="336"/>
      <c r="H13" s="337"/>
      <c r="I13" s="338"/>
      <c r="J13" s="339"/>
      <c r="K13" s="340"/>
      <c r="L13" s="341"/>
      <c r="M13" s="335"/>
      <c r="N13" s="262"/>
      <c r="O13" s="262"/>
      <c r="P13" s="262"/>
    </row>
    <row r="14" spans="1:19" ht="21.75" customHeight="1" x14ac:dyDescent="0.45">
      <c r="A14" s="342">
        <v>2</v>
      </c>
      <c r="B14" s="343" t="s">
        <v>200</v>
      </c>
      <c r="C14" s="344"/>
      <c r="D14" s="344"/>
      <c r="E14" s="334"/>
      <c r="F14" s="335"/>
      <c r="G14" s="345"/>
      <c r="H14" s="346"/>
      <c r="I14" s="338"/>
      <c r="J14" s="339" t="s">
        <v>192</v>
      </c>
      <c r="K14" s="340"/>
      <c r="L14" s="347"/>
      <c r="M14" s="335"/>
      <c r="N14" s="262"/>
      <c r="O14" s="262"/>
      <c r="P14" s="262"/>
    </row>
    <row r="15" spans="1:19" ht="21.75" customHeight="1" x14ac:dyDescent="0.45">
      <c r="A15" s="342">
        <f>A14+0.1</f>
        <v>2.1</v>
      </c>
      <c r="B15" s="343" t="s">
        <v>233</v>
      </c>
      <c r="C15" s="344"/>
      <c r="D15" s="344"/>
      <c r="E15" s="334"/>
      <c r="F15" s="335"/>
      <c r="G15" s="345"/>
      <c r="H15" s="346"/>
      <c r="I15" s="338"/>
      <c r="J15" s="339"/>
      <c r="K15" s="340"/>
      <c r="L15" s="347"/>
      <c r="M15" s="335"/>
      <c r="O15" s="254" t="s">
        <v>307</v>
      </c>
    </row>
    <row r="16" spans="1:19" ht="21.75" customHeight="1" x14ac:dyDescent="0.45">
      <c r="A16" s="331" t="s">
        <v>270</v>
      </c>
      <c r="B16" s="333" t="s">
        <v>316</v>
      </c>
      <c r="C16" s="333"/>
      <c r="D16" s="333"/>
      <c r="E16" s="334"/>
      <c r="F16" s="335" t="s">
        <v>16</v>
      </c>
      <c r="G16" s="345">
        <f>+Q12*5300</f>
        <v>38955</v>
      </c>
      <c r="H16" s="346">
        <v>10.94</v>
      </c>
      <c r="I16" s="338">
        <f t="shared" ref="I16:I18" si="1">ROUND(ROUND(G16,2)*ROUND(H16,2),2)</f>
        <v>426167.7</v>
      </c>
      <c r="J16" s="339">
        <f>$G$36</f>
        <v>1.2878000000000001</v>
      </c>
      <c r="K16" s="340">
        <f t="shared" si="0"/>
        <v>14.09</v>
      </c>
      <c r="L16" s="341">
        <f t="shared" ref="L16:L18" si="2">ROUNDDOWN(J16*I16,2)</f>
        <v>548818.76</v>
      </c>
      <c r="M16" s="335"/>
      <c r="N16" s="348" t="s">
        <v>276</v>
      </c>
      <c r="O16" s="254" t="s">
        <v>309</v>
      </c>
      <c r="P16" s="254" t="s">
        <v>308</v>
      </c>
      <c r="Q16" s="254" t="s">
        <v>40</v>
      </c>
      <c r="R16" s="254" t="s">
        <v>310</v>
      </c>
      <c r="S16" s="254" t="s">
        <v>311</v>
      </c>
    </row>
    <row r="17" spans="1:19" ht="21.75" customHeight="1" x14ac:dyDescent="0.45">
      <c r="A17" s="331" t="s">
        <v>271</v>
      </c>
      <c r="B17" s="333" t="s">
        <v>279</v>
      </c>
      <c r="C17" s="333"/>
      <c r="D17" s="349">
        <v>0.2</v>
      </c>
      <c r="E17" s="334" t="s">
        <v>99</v>
      </c>
      <c r="F17" s="335" t="s">
        <v>17</v>
      </c>
      <c r="G17" s="345">
        <f>+S18*O12</f>
        <v>7313.9999999999991</v>
      </c>
      <c r="H17" s="346">
        <v>311.47000000000003</v>
      </c>
      <c r="I17" s="338">
        <f t="shared" si="1"/>
        <v>2278091.58</v>
      </c>
      <c r="J17" s="339">
        <f>$G$36</f>
        <v>1.2878000000000001</v>
      </c>
      <c r="K17" s="340">
        <f t="shared" si="0"/>
        <v>401.11</v>
      </c>
      <c r="L17" s="341">
        <f t="shared" si="2"/>
        <v>2933726.33</v>
      </c>
      <c r="M17" s="335"/>
      <c r="N17" s="348"/>
      <c r="O17" s="254">
        <v>6</v>
      </c>
      <c r="P17" s="254">
        <v>1.5</v>
      </c>
      <c r="Q17" s="254">
        <v>0.2</v>
      </c>
      <c r="R17" s="254">
        <f>+O17+P17*Q17*2</f>
        <v>6.6</v>
      </c>
      <c r="S17" s="254">
        <f>0.5*(O17+R17)*Q17</f>
        <v>1.26</v>
      </c>
    </row>
    <row r="18" spans="1:19" ht="21.75" customHeight="1" x14ac:dyDescent="0.45">
      <c r="A18" s="331" t="s">
        <v>272</v>
      </c>
      <c r="B18" s="333" t="s">
        <v>280</v>
      </c>
      <c r="C18" s="333"/>
      <c r="D18" s="349">
        <v>0.2</v>
      </c>
      <c r="E18" s="334" t="s">
        <v>99</v>
      </c>
      <c r="F18" s="335" t="s">
        <v>17</v>
      </c>
      <c r="G18" s="345">
        <f>+S17*O12</f>
        <v>6678</v>
      </c>
      <c r="H18" s="346">
        <v>350.7</v>
      </c>
      <c r="I18" s="338">
        <f t="shared" si="1"/>
        <v>2341974.6</v>
      </c>
      <c r="J18" s="339">
        <f>$G$36</f>
        <v>1.2878000000000001</v>
      </c>
      <c r="K18" s="340">
        <f t="shared" si="0"/>
        <v>451.63</v>
      </c>
      <c r="L18" s="341">
        <f t="shared" si="2"/>
        <v>3015994.88</v>
      </c>
      <c r="M18" s="335"/>
      <c r="N18" s="348">
        <v>4692</v>
      </c>
      <c r="O18" s="254">
        <f>+R17</f>
        <v>6.6</v>
      </c>
      <c r="P18" s="254">
        <v>1.5</v>
      </c>
      <c r="Q18" s="254">
        <v>0.2</v>
      </c>
      <c r="R18" s="254">
        <f>+O18+P18*Q18*2</f>
        <v>7.1999999999999993</v>
      </c>
      <c r="S18" s="254">
        <f>0.5*(O18+R18)*Q18</f>
        <v>1.38</v>
      </c>
    </row>
    <row r="19" spans="1:19" ht="20.25" customHeight="1" x14ac:dyDescent="0.45">
      <c r="A19" s="350">
        <f>A14+0.2</f>
        <v>2.2000000000000002</v>
      </c>
      <c r="B19" s="344" t="s">
        <v>18</v>
      </c>
      <c r="C19" s="333"/>
      <c r="D19" s="333"/>
      <c r="E19" s="334"/>
      <c r="F19" s="335"/>
      <c r="G19" s="336"/>
      <c r="H19" s="346"/>
      <c r="I19" s="338"/>
      <c r="J19" s="339"/>
      <c r="K19" s="340"/>
      <c r="L19" s="341"/>
      <c r="M19" s="335"/>
    </row>
    <row r="20" spans="1:19" ht="20.25" customHeight="1" x14ac:dyDescent="0.45">
      <c r="A20" s="331" t="s">
        <v>273</v>
      </c>
      <c r="B20" s="333" t="s">
        <v>281</v>
      </c>
      <c r="C20" s="333"/>
      <c r="D20" s="333"/>
      <c r="E20" s="334"/>
      <c r="F20" s="335" t="s">
        <v>16</v>
      </c>
      <c r="G20" s="336">
        <v>31800</v>
      </c>
      <c r="H20" s="346">
        <v>30.09</v>
      </c>
      <c r="I20" s="338">
        <f t="shared" ref="I20:I33" si="3">ROUND(ROUND(G20,2)*ROUND(H20,2),2)</f>
        <v>956862</v>
      </c>
      <c r="J20" s="339">
        <f>$G$36</f>
        <v>1.2878000000000001</v>
      </c>
      <c r="K20" s="340">
        <f t="shared" si="0"/>
        <v>38.75</v>
      </c>
      <c r="L20" s="341">
        <f t="shared" ref="L20:L31" si="4">ROUNDDOWN(J20*I20,2)</f>
        <v>1232246.8799999999</v>
      </c>
      <c r="M20" s="335"/>
    </row>
    <row r="21" spans="1:19" ht="20.25" customHeight="1" x14ac:dyDescent="0.45">
      <c r="A21" s="331" t="s">
        <v>237</v>
      </c>
      <c r="B21" s="333" t="s">
        <v>234</v>
      </c>
      <c r="C21" s="333"/>
      <c r="D21" s="333"/>
      <c r="E21" s="334"/>
      <c r="F21" s="335"/>
      <c r="G21" s="336"/>
      <c r="H21" s="346"/>
      <c r="I21" s="338"/>
      <c r="J21" s="339"/>
      <c r="K21" s="340"/>
      <c r="L21" s="341"/>
      <c r="M21" s="335"/>
    </row>
    <row r="22" spans="1:19" ht="20.25" customHeight="1" x14ac:dyDescent="0.45">
      <c r="A22" s="331"/>
      <c r="B22" s="333" t="s">
        <v>21</v>
      </c>
      <c r="C22" s="333"/>
      <c r="D22" s="333"/>
      <c r="E22" s="334"/>
      <c r="F22" s="335" t="s">
        <v>16</v>
      </c>
      <c r="G22" s="336">
        <f>+G20</f>
        <v>31800</v>
      </c>
      <c r="H22" s="346">
        <v>226.44</v>
      </c>
      <c r="I22" s="338">
        <f t="shared" si="3"/>
        <v>7200792</v>
      </c>
      <c r="J22" s="339">
        <f>$G$36</f>
        <v>1.2878000000000001</v>
      </c>
      <c r="K22" s="340">
        <f t="shared" si="0"/>
        <v>291.61</v>
      </c>
      <c r="L22" s="341">
        <f t="shared" si="4"/>
        <v>9273179.9299999997</v>
      </c>
      <c r="M22" s="335" t="s">
        <v>236</v>
      </c>
    </row>
    <row r="23" spans="1:19" ht="20.25" customHeight="1" x14ac:dyDescent="0.45">
      <c r="A23" s="351">
        <v>3</v>
      </c>
      <c r="B23" s="352" t="s">
        <v>201</v>
      </c>
      <c r="C23" s="450" t="s">
        <v>235</v>
      </c>
      <c r="D23" s="450"/>
      <c r="E23" s="334"/>
      <c r="F23" s="353"/>
      <c r="G23" s="354"/>
      <c r="H23" s="355"/>
      <c r="I23" s="338"/>
      <c r="J23" s="339"/>
      <c r="K23" s="340"/>
      <c r="L23" s="341"/>
      <c r="M23" s="335"/>
    </row>
    <row r="24" spans="1:19" ht="20.25" customHeight="1" x14ac:dyDescent="0.45">
      <c r="A24" s="356">
        <f>+A23+0.1</f>
        <v>3.1</v>
      </c>
      <c r="B24" s="333" t="s">
        <v>268</v>
      </c>
      <c r="C24" s="333"/>
      <c r="D24" s="357"/>
      <c r="E24" s="334"/>
      <c r="F24" s="335" t="s">
        <v>25</v>
      </c>
      <c r="G24" s="354">
        <v>1</v>
      </c>
      <c r="H24" s="355">
        <v>1500</v>
      </c>
      <c r="I24" s="338">
        <f t="shared" si="3"/>
        <v>1500</v>
      </c>
      <c r="J24" s="339">
        <f>$G$36</f>
        <v>1.2878000000000001</v>
      </c>
      <c r="K24" s="340">
        <f t="shared" si="0"/>
        <v>1931.7</v>
      </c>
      <c r="L24" s="341">
        <f t="shared" si="4"/>
        <v>1931.7</v>
      </c>
      <c r="M24" s="335"/>
      <c r="N24" s="348"/>
    </row>
    <row r="25" spans="1:19" ht="20.25" customHeight="1" x14ac:dyDescent="0.45">
      <c r="A25" s="356">
        <f t="shared" ref="A25:A27" si="5">A24+0.1</f>
        <v>3.2</v>
      </c>
      <c r="B25" s="333" t="s">
        <v>269</v>
      </c>
      <c r="C25" s="333"/>
      <c r="D25" s="357"/>
      <c r="E25" s="334"/>
      <c r="F25" s="335" t="s">
        <v>25</v>
      </c>
      <c r="G25" s="354">
        <v>1</v>
      </c>
      <c r="H25" s="355">
        <v>4680</v>
      </c>
      <c r="I25" s="338">
        <f t="shared" si="3"/>
        <v>4680</v>
      </c>
      <c r="J25" s="339">
        <f>$G$36</f>
        <v>1.2878000000000001</v>
      </c>
      <c r="K25" s="340">
        <f t="shared" si="0"/>
        <v>6026.9</v>
      </c>
      <c r="L25" s="341">
        <f t="shared" si="4"/>
        <v>6026.9</v>
      </c>
      <c r="M25" s="335"/>
    </row>
    <row r="26" spans="1:19" ht="20.25" customHeight="1" x14ac:dyDescent="0.45">
      <c r="A26" s="356">
        <f t="shared" si="5"/>
        <v>3.3000000000000003</v>
      </c>
      <c r="B26" s="333" t="s">
        <v>282</v>
      </c>
      <c r="C26" s="333"/>
      <c r="D26" s="357"/>
      <c r="E26" s="334"/>
      <c r="F26" s="335" t="s">
        <v>25</v>
      </c>
      <c r="G26" s="354">
        <v>1</v>
      </c>
      <c r="H26" s="355">
        <v>2980</v>
      </c>
      <c r="I26" s="338">
        <f t="shared" si="3"/>
        <v>2980</v>
      </c>
      <c r="J26" s="339">
        <f>$G$36</f>
        <v>1.2878000000000001</v>
      </c>
      <c r="K26" s="340">
        <f t="shared" si="0"/>
        <v>3837.64</v>
      </c>
      <c r="L26" s="341">
        <f t="shared" si="4"/>
        <v>3837.64</v>
      </c>
      <c r="M26" s="335"/>
    </row>
    <row r="27" spans="1:19" ht="20.25" customHeight="1" x14ac:dyDescent="0.45">
      <c r="A27" s="356">
        <f t="shared" si="5"/>
        <v>3.4000000000000004</v>
      </c>
      <c r="B27" s="333" t="s">
        <v>283</v>
      </c>
      <c r="C27" s="333"/>
      <c r="D27" s="357"/>
      <c r="E27" s="334"/>
      <c r="F27" s="335" t="s">
        <v>25</v>
      </c>
      <c r="G27" s="354">
        <v>2</v>
      </c>
      <c r="H27" s="355">
        <v>2980</v>
      </c>
      <c r="I27" s="338">
        <f t="shared" si="3"/>
        <v>5960</v>
      </c>
      <c r="J27" s="339">
        <f>$G$36</f>
        <v>1.2878000000000001</v>
      </c>
      <c r="K27" s="340">
        <f t="shared" si="0"/>
        <v>3837.64</v>
      </c>
      <c r="L27" s="341">
        <f t="shared" si="4"/>
        <v>7675.28</v>
      </c>
      <c r="M27" s="335"/>
    </row>
    <row r="28" spans="1:19" ht="20.25" customHeight="1" x14ac:dyDescent="0.45">
      <c r="A28" s="342">
        <f>+A23+1</f>
        <v>4</v>
      </c>
      <c r="B28" s="343" t="s">
        <v>202</v>
      </c>
      <c r="C28" s="333"/>
      <c r="D28" s="333"/>
      <c r="E28" s="334"/>
      <c r="F28" s="335"/>
      <c r="G28" s="358"/>
      <c r="H28" s="346"/>
      <c r="I28" s="338"/>
      <c r="J28" s="339"/>
      <c r="K28" s="340"/>
      <c r="L28" s="341"/>
      <c r="M28" s="335"/>
    </row>
    <row r="29" spans="1:19" ht="20.25" customHeight="1" x14ac:dyDescent="0.45">
      <c r="A29" s="331">
        <f>A28+0.1</f>
        <v>4.0999999999999996</v>
      </c>
      <c r="B29" s="359" t="s">
        <v>246</v>
      </c>
      <c r="C29" s="360" t="s">
        <v>203</v>
      </c>
      <c r="D29" s="361"/>
      <c r="E29" s="362"/>
      <c r="F29" s="335" t="s">
        <v>16</v>
      </c>
      <c r="G29" s="363">
        <v>1192.5999999999999</v>
      </c>
      <c r="H29" s="346">
        <v>290</v>
      </c>
      <c r="I29" s="338">
        <f t="shared" si="3"/>
        <v>345854</v>
      </c>
      <c r="J29" s="339">
        <f>$G$36</f>
        <v>1.2878000000000001</v>
      </c>
      <c r="K29" s="340">
        <f t="shared" si="0"/>
        <v>373.46</v>
      </c>
      <c r="L29" s="341">
        <f t="shared" si="4"/>
        <v>445390.78</v>
      </c>
      <c r="M29" s="335"/>
    </row>
    <row r="30" spans="1:19" ht="20.25" customHeight="1" x14ac:dyDescent="0.45">
      <c r="A30" s="331">
        <f>A29+0.1</f>
        <v>4.1999999999999993</v>
      </c>
      <c r="B30" s="359" t="s">
        <v>232</v>
      </c>
      <c r="C30" s="360"/>
      <c r="D30" s="361"/>
      <c r="E30" s="362"/>
      <c r="F30" s="335" t="s">
        <v>16</v>
      </c>
      <c r="G30" s="363">
        <v>21.6</v>
      </c>
      <c r="H30" s="346">
        <v>460</v>
      </c>
      <c r="I30" s="338">
        <f t="shared" si="3"/>
        <v>9936</v>
      </c>
      <c r="J30" s="339">
        <f>$G$36</f>
        <v>1.2878000000000001</v>
      </c>
      <c r="K30" s="340">
        <f t="shared" si="0"/>
        <v>592.39</v>
      </c>
      <c r="L30" s="341">
        <f t="shared" si="4"/>
        <v>12795.58</v>
      </c>
      <c r="M30" s="335"/>
    </row>
    <row r="31" spans="1:19" ht="20.25" customHeight="1" x14ac:dyDescent="0.45">
      <c r="A31" s="331">
        <f>A30+0.1</f>
        <v>4.2999999999999989</v>
      </c>
      <c r="B31" s="359" t="s">
        <v>238</v>
      </c>
      <c r="C31" s="360"/>
      <c r="D31" s="361"/>
      <c r="E31" s="362"/>
      <c r="F31" s="335" t="s">
        <v>16</v>
      </c>
      <c r="G31" s="363">
        <v>0.84</v>
      </c>
      <c r="H31" s="346">
        <v>290</v>
      </c>
      <c r="I31" s="338">
        <f t="shared" si="3"/>
        <v>243.6</v>
      </c>
      <c r="J31" s="339">
        <f>$G$36</f>
        <v>1.2878000000000001</v>
      </c>
      <c r="K31" s="340">
        <f t="shared" si="0"/>
        <v>373.46</v>
      </c>
      <c r="L31" s="341">
        <f t="shared" si="4"/>
        <v>313.7</v>
      </c>
      <c r="M31" s="335"/>
    </row>
    <row r="32" spans="1:19" ht="20.25" customHeight="1" x14ac:dyDescent="0.45">
      <c r="A32" s="342">
        <f>+A28+1</f>
        <v>5</v>
      </c>
      <c r="B32" s="343" t="s">
        <v>204</v>
      </c>
      <c r="C32" s="333"/>
      <c r="D32" s="333"/>
      <c r="E32" s="334"/>
      <c r="F32" s="335"/>
      <c r="G32" s="364"/>
      <c r="H32" s="365"/>
      <c r="I32" s="338"/>
      <c r="J32" s="339"/>
      <c r="K32" s="340"/>
      <c r="L32" s="341"/>
      <c r="M32" s="335"/>
    </row>
    <row r="33" spans="1:13" ht="20.25" customHeight="1" x14ac:dyDescent="0.45">
      <c r="A33" s="366">
        <f>A32+0.1</f>
        <v>5.0999999999999996</v>
      </c>
      <c r="B33" s="367" t="s">
        <v>205</v>
      </c>
      <c r="C33" s="368"/>
      <c r="D33" s="368"/>
      <c r="E33" s="369"/>
      <c r="F33" s="370" t="s">
        <v>25</v>
      </c>
      <c r="G33" s="371">
        <v>1</v>
      </c>
      <c r="H33" s="372">
        <v>4840</v>
      </c>
      <c r="I33" s="373">
        <f t="shared" si="3"/>
        <v>4840</v>
      </c>
      <c r="J33" s="374">
        <f>$G$36</f>
        <v>1.2878000000000001</v>
      </c>
      <c r="K33" s="375">
        <f t="shared" si="0"/>
        <v>6232.95</v>
      </c>
      <c r="L33" s="376">
        <f>ROUNDDOWN(J33*I33,2)</f>
        <v>6232.95</v>
      </c>
      <c r="M33" s="370"/>
    </row>
    <row r="34" spans="1:13" ht="23.25" x14ac:dyDescent="0.6">
      <c r="A34" s="377"/>
      <c r="B34" s="378" t="s">
        <v>206</v>
      </c>
      <c r="C34" s="379"/>
      <c r="D34" s="379"/>
      <c r="E34" s="380"/>
      <c r="F34" s="381"/>
      <c r="G34" s="382"/>
      <c r="H34" s="383"/>
      <c r="I34" s="384">
        <f>SUM(I12:I33)</f>
        <v>14386701</v>
      </c>
      <c r="J34" s="385"/>
      <c r="K34" s="386"/>
      <c r="L34" s="387">
        <f>ROUNDDOWN(SUM(L11:L33),2)</f>
        <v>18527193.48</v>
      </c>
      <c r="M34" s="381"/>
    </row>
    <row r="35" spans="1:13" x14ac:dyDescent="0.45">
      <c r="B35" s="254" t="s">
        <v>207</v>
      </c>
      <c r="G35" s="388">
        <f>SUM(I12:I33)</f>
        <v>14386701</v>
      </c>
      <c r="H35" s="389" t="s">
        <v>31</v>
      </c>
      <c r="I35" s="390"/>
      <c r="J35" s="390"/>
      <c r="K35" s="391"/>
      <c r="L35" s="391"/>
    </row>
    <row r="36" spans="1:13" x14ac:dyDescent="0.45">
      <c r="B36" s="254" t="s">
        <v>208</v>
      </c>
      <c r="G36" s="392">
        <f>+'F 7% ทาง(โม)'!J11</f>
        <v>1.2878000000000001</v>
      </c>
      <c r="H36" s="389"/>
      <c r="I36" s="390"/>
      <c r="J36" s="281"/>
      <c r="K36" s="393"/>
      <c r="L36" s="391"/>
    </row>
    <row r="37" spans="1:13" x14ac:dyDescent="0.45">
      <c r="G37" s="394"/>
      <c r="H37" s="298"/>
      <c r="I37" s="281"/>
      <c r="J37" s="254"/>
    </row>
    <row r="38" spans="1:13" x14ac:dyDescent="0.45">
      <c r="H38" s="303"/>
    </row>
    <row r="39" spans="1:13" x14ac:dyDescent="0.45">
      <c r="A39" s="263"/>
      <c r="B39" s="263"/>
      <c r="C39" s="263"/>
      <c r="D39" s="263"/>
      <c r="E39" s="263"/>
      <c r="H39" s="303"/>
      <c r="I39" s="303"/>
      <c r="K39" s="263"/>
      <c r="L39" s="263"/>
      <c r="M39" s="263"/>
    </row>
    <row r="40" spans="1:13" x14ac:dyDescent="0.45">
      <c r="A40" s="263"/>
      <c r="B40" s="263"/>
      <c r="C40" s="263"/>
      <c r="D40" s="263"/>
      <c r="E40" s="263"/>
      <c r="H40" s="303"/>
      <c r="K40" s="263"/>
      <c r="L40" s="263"/>
      <c r="M40" s="263"/>
    </row>
    <row r="41" spans="1:13" x14ac:dyDescent="0.45">
      <c r="A41" s="263"/>
      <c r="B41" s="263"/>
      <c r="C41" s="263"/>
      <c r="D41" s="263"/>
      <c r="E41" s="263"/>
      <c r="H41" s="303"/>
      <c r="K41" s="263"/>
      <c r="L41" s="263"/>
      <c r="M41" s="263"/>
    </row>
    <row r="42" spans="1:13" x14ac:dyDescent="0.45">
      <c r="A42" s="263"/>
      <c r="B42" s="263"/>
      <c r="C42" s="263"/>
      <c r="D42" s="263"/>
      <c r="E42" s="263"/>
      <c r="H42" s="303"/>
      <c r="K42" s="263"/>
      <c r="L42" s="263"/>
      <c r="M42" s="263"/>
    </row>
    <row r="43" spans="1:13" x14ac:dyDescent="0.45">
      <c r="A43" s="263"/>
      <c r="B43" s="263"/>
      <c r="C43" s="263"/>
      <c r="D43" s="263"/>
      <c r="E43" s="263"/>
      <c r="H43" s="303"/>
      <c r="K43" s="263"/>
      <c r="L43" s="263"/>
      <c r="M43" s="263"/>
    </row>
    <row r="44" spans="1:13" x14ac:dyDescent="0.45">
      <c r="A44" s="263"/>
      <c r="B44" s="263"/>
      <c r="C44" s="263"/>
      <c r="D44" s="263"/>
      <c r="E44" s="263"/>
      <c r="H44" s="303"/>
      <c r="K44" s="263"/>
      <c r="L44" s="263"/>
      <c r="M44" s="263"/>
    </row>
    <row r="45" spans="1:13" x14ac:dyDescent="0.45">
      <c r="A45" s="263"/>
      <c r="B45" s="263"/>
      <c r="C45" s="263"/>
      <c r="D45" s="263"/>
      <c r="E45" s="263"/>
      <c r="H45" s="303"/>
      <c r="K45" s="263"/>
      <c r="L45" s="263"/>
      <c r="M45" s="263"/>
    </row>
    <row r="46" spans="1:13" x14ac:dyDescent="0.45">
      <c r="A46" s="263"/>
      <c r="B46" s="263"/>
      <c r="C46" s="263"/>
      <c r="D46" s="263"/>
      <c r="E46" s="263"/>
      <c r="H46" s="303"/>
      <c r="K46" s="263"/>
      <c r="L46" s="263"/>
      <c r="M46" s="263"/>
    </row>
    <row r="57" spans="1:13" s="263" customFormat="1" x14ac:dyDescent="0.45">
      <c r="A57" s="254"/>
      <c r="B57" s="254"/>
      <c r="C57" s="254"/>
      <c r="D57" s="254"/>
      <c r="E57" s="254"/>
      <c r="F57" s="262"/>
      <c r="G57" s="305"/>
      <c r="H57" s="306"/>
      <c r="K57" s="254"/>
      <c r="L57" s="254"/>
      <c r="M57" s="254"/>
    </row>
    <row r="58" spans="1:13" s="263" customFormat="1" x14ac:dyDescent="0.45">
      <c r="A58" s="254"/>
      <c r="B58" s="254"/>
      <c r="C58" s="254"/>
      <c r="D58" s="254"/>
      <c r="E58" s="254"/>
      <c r="F58" s="262"/>
      <c r="G58" s="305"/>
      <c r="H58" s="306"/>
      <c r="K58" s="254"/>
      <c r="L58" s="254"/>
      <c r="M58" s="254"/>
    </row>
    <row r="59" spans="1:13" s="263" customFormat="1" x14ac:dyDescent="0.45">
      <c r="A59" s="254"/>
      <c r="B59" s="254"/>
      <c r="C59" s="254"/>
      <c r="D59" s="254"/>
      <c r="E59" s="254"/>
      <c r="F59" s="262"/>
      <c r="G59" s="305"/>
      <c r="H59" s="306"/>
      <c r="K59" s="254"/>
      <c r="L59" s="254"/>
      <c r="M59" s="254"/>
    </row>
    <row r="60" spans="1:13" s="263" customFormat="1" x14ac:dyDescent="0.45">
      <c r="A60" s="254"/>
      <c r="B60" s="254"/>
      <c r="C60" s="254"/>
      <c r="D60" s="254"/>
      <c r="E60" s="254"/>
      <c r="F60" s="262"/>
      <c r="G60" s="305"/>
      <c r="H60" s="306"/>
      <c r="K60" s="254"/>
      <c r="L60" s="254"/>
      <c r="M60" s="254"/>
    </row>
    <row r="61" spans="1:13" s="263" customFormat="1" x14ac:dyDescent="0.45">
      <c r="A61" s="254"/>
      <c r="B61" s="254"/>
      <c r="C61" s="254"/>
      <c r="D61" s="254"/>
      <c r="E61" s="254"/>
      <c r="F61" s="262"/>
      <c r="G61" s="305"/>
      <c r="H61" s="306"/>
      <c r="K61" s="254"/>
      <c r="L61" s="254"/>
      <c r="M61" s="254"/>
    </row>
    <row r="62" spans="1:13" s="263" customFormat="1" x14ac:dyDescent="0.45">
      <c r="A62" s="254"/>
      <c r="B62" s="254"/>
      <c r="C62" s="254"/>
      <c r="D62" s="254"/>
      <c r="E62" s="254"/>
      <c r="F62" s="262"/>
      <c r="G62" s="305"/>
      <c r="H62" s="306"/>
      <c r="K62" s="254"/>
      <c r="L62" s="254"/>
      <c r="M62" s="254"/>
    </row>
    <row r="63" spans="1:13" s="263" customFormat="1" x14ac:dyDescent="0.45">
      <c r="A63" s="254"/>
      <c r="B63" s="254"/>
      <c r="C63" s="254"/>
      <c r="D63" s="254"/>
      <c r="E63" s="254"/>
      <c r="F63" s="262"/>
      <c r="G63" s="305"/>
      <c r="H63" s="306"/>
      <c r="K63" s="254"/>
      <c r="L63" s="254"/>
      <c r="M63" s="254"/>
    </row>
    <row r="64" spans="1:13" s="263" customFormat="1" x14ac:dyDescent="0.45">
      <c r="A64" s="254"/>
      <c r="B64" s="254"/>
      <c r="C64" s="254"/>
      <c r="D64" s="254"/>
      <c r="E64" s="254"/>
      <c r="F64" s="262"/>
      <c r="G64" s="305"/>
      <c r="H64" s="306"/>
      <c r="K64" s="254"/>
      <c r="L64" s="254"/>
      <c r="M64" s="254"/>
    </row>
  </sheetData>
  <mergeCells count="13">
    <mergeCell ref="C23:D23"/>
    <mergeCell ref="C7:D7"/>
    <mergeCell ref="B11:E11"/>
    <mergeCell ref="M8:M10"/>
    <mergeCell ref="A1:M1"/>
    <mergeCell ref="A2:M2"/>
    <mergeCell ref="A3:M3"/>
    <mergeCell ref="I8:I9"/>
    <mergeCell ref="A8:A9"/>
    <mergeCell ref="G8:G9"/>
    <mergeCell ref="J8:J9"/>
    <mergeCell ref="B8:E9"/>
    <mergeCell ref="F8:F9"/>
  </mergeCells>
  <phoneticPr fontId="29" type="noConversion"/>
  <pageMargins left="0.17" right="3.9370078740157501E-2" top="0.31496062992126" bottom="0.3" header="0.31496062992126" footer="0.23622047244094499"/>
  <pageSetup scale="95" orientation="landscape" r:id="rId1"/>
  <headerFooter alignWithMargins="0">
    <oddHeader>&amp;R&amp;"TH Sarabun New,Regular"&amp;12ปร.4ท แผ่นที่ &amp;P&amp;'/&amp;N</oddHeader>
    <oddFooter xml:space="preserve">&amp;Lประธานกรรมการ....................&amp;Cกรรมการ....................&amp;Rกรรมการ...................... </oddFooter>
  </headerFooter>
  <rowBreaks count="1" manualBreakCount="1">
    <brk id="22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5"/>
  <sheetViews>
    <sheetView zoomScaleNormal="100" workbookViewId="0">
      <selection activeCell="G11" sqref="G11"/>
    </sheetView>
  </sheetViews>
  <sheetFormatPr defaultColWidth="9.140625" defaultRowHeight="24" x14ac:dyDescent="0.55000000000000004"/>
  <cols>
    <col min="1" max="1" width="17.140625" style="232" customWidth="1"/>
    <col min="2" max="2" width="22.140625" style="232" customWidth="1"/>
    <col min="3" max="3" width="14.7109375" style="232" customWidth="1"/>
    <col min="4" max="4" width="14.85546875" style="232" customWidth="1"/>
    <col min="5" max="6" width="15" style="232" bestFit="1" customWidth="1"/>
    <col min="7" max="7" width="16.28515625" style="232" customWidth="1"/>
    <col min="8" max="8" width="11.140625" style="232" bestFit="1" customWidth="1"/>
    <col min="9" max="9" width="9.140625" style="232"/>
    <col min="10" max="10" width="11.140625" style="232" bestFit="1" customWidth="1"/>
    <col min="11" max="16384" width="9.140625" style="232"/>
  </cols>
  <sheetData>
    <row r="1" spans="1:11" x14ac:dyDescent="0.55000000000000004">
      <c r="A1" s="468" t="s">
        <v>285</v>
      </c>
      <c r="B1" s="468"/>
      <c r="C1" s="468"/>
      <c r="D1" s="468"/>
      <c r="E1" s="468"/>
    </row>
    <row r="2" spans="1:11" x14ac:dyDescent="0.55000000000000004">
      <c r="A2" s="232" t="s">
        <v>286</v>
      </c>
      <c r="B2" s="233">
        <v>0</v>
      </c>
      <c r="C2" s="232" t="s">
        <v>56</v>
      </c>
      <c r="D2" s="233">
        <v>7.0000000000000007E-2</v>
      </c>
      <c r="E2" s="232" t="s">
        <v>287</v>
      </c>
    </row>
    <row r="3" spans="1:11" x14ac:dyDescent="0.55000000000000004">
      <c r="A3" s="232" t="s">
        <v>288</v>
      </c>
      <c r="B3" s="233">
        <v>0</v>
      </c>
      <c r="C3" s="232" t="s">
        <v>289</v>
      </c>
      <c r="D3" s="233">
        <v>7.0000000000000007E-2</v>
      </c>
    </row>
    <row r="4" spans="1:11" ht="48" x14ac:dyDescent="0.55000000000000004">
      <c r="A4" s="234"/>
      <c r="B4" s="235" t="s">
        <v>290</v>
      </c>
      <c r="C4" s="236" t="s">
        <v>2</v>
      </c>
    </row>
    <row r="5" spans="1:11" x14ac:dyDescent="0.55000000000000004">
      <c r="A5" s="237" t="s">
        <v>291</v>
      </c>
      <c r="B5" s="238">
        <v>5</v>
      </c>
      <c r="C5" s="238">
        <v>1.3642000000000001</v>
      </c>
      <c r="E5" s="239" t="s">
        <v>292</v>
      </c>
      <c r="F5" s="240" t="s">
        <v>293</v>
      </c>
      <c r="G5" s="241">
        <f>+'ปร.4 (2)'!G35</f>
        <v>14386701</v>
      </c>
      <c r="H5" s="242" t="str">
        <f>IF(G5&lt;F8*10^6,"NG",IF(G5&lt;F9*10^6,"OK","NG"))</f>
        <v>OK</v>
      </c>
      <c r="I5" s="240"/>
      <c r="J5" s="240"/>
    </row>
    <row r="6" spans="1:11" x14ac:dyDescent="0.55000000000000004">
      <c r="A6" s="234"/>
      <c r="B6" s="238">
        <v>10</v>
      </c>
      <c r="C6" s="238">
        <v>1.3132999999999999</v>
      </c>
      <c r="E6" s="469" t="s">
        <v>294</v>
      </c>
      <c r="F6" s="470"/>
      <c r="G6" s="471"/>
      <c r="H6" s="240"/>
      <c r="I6" s="240"/>
      <c r="J6" s="240"/>
    </row>
    <row r="7" spans="1:11" x14ac:dyDescent="0.55000000000000004">
      <c r="A7" s="234"/>
      <c r="B7" s="238">
        <v>20</v>
      </c>
      <c r="C7" s="238">
        <v>1.2551000000000001</v>
      </c>
      <c r="E7" s="243"/>
      <c r="F7" s="244" t="s">
        <v>295</v>
      </c>
      <c r="G7" s="243"/>
      <c r="H7" s="244" t="s">
        <v>296</v>
      </c>
      <c r="I7" s="240"/>
      <c r="J7" s="240"/>
    </row>
    <row r="8" spans="1:11" x14ac:dyDescent="0.55000000000000004">
      <c r="A8" s="234"/>
      <c r="B8" s="238">
        <v>30</v>
      </c>
      <c r="C8" s="238">
        <v>1.2221</v>
      </c>
      <c r="E8" s="243" t="s">
        <v>297</v>
      </c>
      <c r="F8" s="245">
        <f>IF($G$5/10^6&lt;=$B$5,$B$5,IF($G$5/10^6&lt;$B$6,$B$5,ROUNDDOWN($G$5/10^6,-1)))</f>
        <v>10</v>
      </c>
      <c r="G8" s="246" t="s">
        <v>298</v>
      </c>
      <c r="H8" s="247">
        <f>INDEX($B$5:$C$15,MATCH(F8,$B$5:$B$15,0),2)</f>
        <v>1.3132999999999999</v>
      </c>
      <c r="I8" s="248"/>
      <c r="J8" s="248"/>
    </row>
    <row r="9" spans="1:11" x14ac:dyDescent="0.55000000000000004">
      <c r="A9" s="234"/>
      <c r="B9" s="238">
        <v>40</v>
      </c>
      <c r="C9" s="238">
        <v>1.2154</v>
      </c>
      <c r="E9" s="243" t="s">
        <v>299</v>
      </c>
      <c r="F9" s="245">
        <f>IF($G$5/10^6&lt;=$B$5,$B$5,ROUNDUP($G$5/10^6,-1))</f>
        <v>20</v>
      </c>
      <c r="G9" s="246" t="s">
        <v>300</v>
      </c>
      <c r="H9" s="247">
        <f>INDEX($B$5:$C$15,MATCH(F9,$B$5:$B$15,0),2)</f>
        <v>1.2551000000000001</v>
      </c>
      <c r="I9" s="248"/>
      <c r="J9" s="248"/>
    </row>
    <row r="10" spans="1:11" x14ac:dyDescent="0.55000000000000004">
      <c r="A10" s="234"/>
      <c r="B10" s="238">
        <v>50</v>
      </c>
      <c r="C10" s="238">
        <v>1.2101</v>
      </c>
      <c r="E10" s="240"/>
      <c r="F10" s="248"/>
      <c r="G10" s="248"/>
      <c r="H10" s="248"/>
      <c r="I10" s="248"/>
      <c r="J10" s="249" t="s">
        <v>301</v>
      </c>
    </row>
    <row r="11" spans="1:11" x14ac:dyDescent="0.55000000000000004">
      <c r="A11" s="234"/>
      <c r="B11" s="238">
        <v>60</v>
      </c>
      <c r="C11" s="238">
        <v>1.2040999999999999</v>
      </c>
      <c r="E11" s="240"/>
      <c r="F11" s="240" t="s">
        <v>302</v>
      </c>
      <c r="G11" s="250">
        <f>IF($G$5&lt;=$B$5*10^6,$C$5,ROUND(H8-((H8-H9)/(F9*10^6-F8*10^6)*(G5-F8*10^6)),4))</f>
        <v>1.2878000000000001</v>
      </c>
      <c r="H11" s="240"/>
      <c r="I11" s="240"/>
      <c r="J11" s="251">
        <f>IF($G$5&lt;=$B$5*10^6,$C$5,ROUND(H8-((H8-H9)*(G5-F8*10^6)/(F9*10^6-F8*10^6)),4))</f>
        <v>1.2878000000000001</v>
      </c>
      <c r="K11" s="242" t="str">
        <f>IF(G11=J11,"OK","NG")</f>
        <v>OK</v>
      </c>
    </row>
    <row r="12" spans="1:11" x14ac:dyDescent="0.55000000000000004">
      <c r="A12" s="234"/>
      <c r="B12" s="238">
        <v>70</v>
      </c>
      <c r="C12" s="252">
        <v>1.1984999999999999</v>
      </c>
    </row>
    <row r="13" spans="1:11" x14ac:dyDescent="0.55000000000000004">
      <c r="A13" s="234"/>
      <c r="B13" s="238">
        <v>80</v>
      </c>
      <c r="C13" s="238">
        <v>1.1949000000000001</v>
      </c>
    </row>
    <row r="14" spans="1:11" x14ac:dyDescent="0.55000000000000004">
      <c r="A14" s="234"/>
      <c r="B14" s="238">
        <v>90</v>
      </c>
      <c r="C14" s="252">
        <v>1.1890000000000001</v>
      </c>
    </row>
    <row r="15" spans="1:11" x14ac:dyDescent="0.55000000000000004">
      <c r="A15" s="234"/>
      <c r="B15" s="238">
        <v>100</v>
      </c>
      <c r="C15" s="238">
        <v>1.1858</v>
      </c>
    </row>
    <row r="16" spans="1:11" x14ac:dyDescent="0.55000000000000004">
      <c r="B16" s="253"/>
      <c r="C16" s="253"/>
    </row>
    <row r="17" spans="2:3" x14ac:dyDescent="0.55000000000000004">
      <c r="B17" s="253"/>
      <c r="C17" s="253"/>
    </row>
    <row r="18" spans="2:3" x14ac:dyDescent="0.55000000000000004">
      <c r="B18" s="253"/>
      <c r="C18" s="253"/>
    </row>
    <row r="19" spans="2:3" x14ac:dyDescent="0.55000000000000004">
      <c r="B19" s="253"/>
      <c r="C19" s="253"/>
    </row>
    <row r="20" spans="2:3" x14ac:dyDescent="0.55000000000000004">
      <c r="B20" s="253"/>
      <c r="C20" s="253"/>
    </row>
    <row r="21" spans="2:3" x14ac:dyDescent="0.55000000000000004">
      <c r="B21" s="253"/>
      <c r="C21" s="253"/>
    </row>
    <row r="22" spans="2:3" x14ac:dyDescent="0.55000000000000004">
      <c r="B22" s="253"/>
      <c r="C22" s="253"/>
    </row>
    <row r="23" spans="2:3" x14ac:dyDescent="0.55000000000000004">
      <c r="B23" s="253"/>
      <c r="C23" s="253"/>
    </row>
    <row r="24" spans="2:3" x14ac:dyDescent="0.55000000000000004">
      <c r="B24" s="253"/>
      <c r="C24" s="253"/>
    </row>
    <row r="25" spans="2:3" x14ac:dyDescent="0.55000000000000004">
      <c r="B25" s="253"/>
      <c r="C25" s="253"/>
    </row>
  </sheetData>
  <mergeCells count="2">
    <mergeCell ref="A1:E1"/>
    <mergeCell ref="E6:G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/>
  <dimension ref="A1:AW206"/>
  <sheetViews>
    <sheetView topLeftCell="Z1" workbookViewId="0">
      <selection activeCell="Y29" sqref="Y29"/>
    </sheetView>
  </sheetViews>
  <sheetFormatPr defaultColWidth="9.140625" defaultRowHeight="21" x14ac:dyDescent="0.45"/>
  <cols>
    <col min="1" max="35" width="9.140625" style="1"/>
    <col min="36" max="36" width="9.28515625" style="1" bestFit="1" customWidth="1"/>
    <col min="37" max="16384" width="9.140625" style="1"/>
  </cols>
  <sheetData>
    <row r="1" spans="1:49" ht="24" thickBot="1" x14ac:dyDescent="0.55000000000000004">
      <c r="A1" s="89" t="s">
        <v>59</v>
      </c>
      <c r="B1" s="89"/>
      <c r="C1" s="89"/>
      <c r="D1" s="89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W1" s="4"/>
      <c r="X1" s="4"/>
      <c r="Y1" s="4"/>
      <c r="Z1" s="4"/>
      <c r="AA1" s="89" t="s">
        <v>60</v>
      </c>
      <c r="AB1" s="89"/>
      <c r="AC1" s="89"/>
      <c r="AD1" s="89"/>
      <c r="AE1" s="89"/>
      <c r="AF1" s="4"/>
      <c r="AG1" s="4"/>
      <c r="AH1" s="4"/>
      <c r="AS1" s="4"/>
      <c r="AT1" s="4"/>
      <c r="AU1" s="4"/>
      <c r="AV1" s="4"/>
    </row>
    <row r="2" spans="1:49" x14ac:dyDescent="0.45">
      <c r="A2" s="9" t="s">
        <v>41</v>
      </c>
      <c r="B2" s="10" t="s">
        <v>41</v>
      </c>
      <c r="C2" s="10" t="s">
        <v>41</v>
      </c>
      <c r="D2" s="11" t="s">
        <v>41</v>
      </c>
      <c r="E2" s="10" t="s">
        <v>41</v>
      </c>
      <c r="F2" s="147" t="s">
        <v>41</v>
      </c>
      <c r="G2" s="147" t="s">
        <v>41</v>
      </c>
      <c r="H2" s="147" t="s">
        <v>41</v>
      </c>
      <c r="I2" s="147" t="s">
        <v>41</v>
      </c>
      <c r="J2" s="147" t="s">
        <v>41</v>
      </c>
      <c r="K2" s="147" t="s">
        <v>41</v>
      </c>
      <c r="L2" s="147" t="s">
        <v>41</v>
      </c>
      <c r="M2" s="10" t="s">
        <v>41</v>
      </c>
      <c r="N2" s="10" t="s">
        <v>41</v>
      </c>
      <c r="O2" s="10" t="s">
        <v>41</v>
      </c>
      <c r="P2" s="10" t="s">
        <v>41</v>
      </c>
      <c r="Q2" s="10" t="s">
        <v>41</v>
      </c>
      <c r="R2" s="145" t="s">
        <v>41</v>
      </c>
      <c r="S2" s="145" t="s">
        <v>41</v>
      </c>
      <c r="T2" s="145" t="s">
        <v>41</v>
      </c>
      <c r="U2" s="145" t="s">
        <v>41</v>
      </c>
      <c r="V2" s="145" t="s">
        <v>41</v>
      </c>
      <c r="W2" s="145" t="s">
        <v>41</v>
      </c>
      <c r="X2" s="5" t="s">
        <v>3</v>
      </c>
      <c r="Y2" s="145" t="s">
        <v>41</v>
      </c>
      <c r="Z2" s="145" t="s">
        <v>41</v>
      </c>
      <c r="AA2" s="9" t="s">
        <v>41</v>
      </c>
      <c r="AB2" s="10" t="s">
        <v>41</v>
      </c>
      <c r="AC2" s="10" t="s">
        <v>41</v>
      </c>
      <c r="AD2" s="11" t="s">
        <v>41</v>
      </c>
      <c r="AE2" s="11" t="s">
        <v>41</v>
      </c>
      <c r="AF2" s="147" t="s">
        <v>41</v>
      </c>
      <c r="AG2" s="147" t="s">
        <v>41</v>
      </c>
      <c r="AH2" s="147" t="s">
        <v>41</v>
      </c>
      <c r="AI2" s="147" t="s">
        <v>41</v>
      </c>
      <c r="AJ2" s="147" t="s">
        <v>41</v>
      </c>
      <c r="AK2" s="147" t="s">
        <v>41</v>
      </c>
      <c r="AL2" s="147" t="s">
        <v>41</v>
      </c>
      <c r="AM2" s="10" t="s">
        <v>41</v>
      </c>
      <c r="AN2" s="10" t="s">
        <v>41</v>
      </c>
      <c r="AO2" s="10" t="s">
        <v>41</v>
      </c>
      <c r="AP2" s="10" t="s">
        <v>41</v>
      </c>
      <c r="AQ2" s="10" t="s">
        <v>41</v>
      </c>
      <c r="AR2" s="145" t="s">
        <v>41</v>
      </c>
      <c r="AS2" s="145" t="s">
        <v>41</v>
      </c>
      <c r="AT2" s="145" t="s">
        <v>41</v>
      </c>
      <c r="AU2" s="145" t="s">
        <v>41</v>
      </c>
      <c r="AV2" s="145" t="s">
        <v>41</v>
      </c>
      <c r="AW2" s="145" t="s">
        <v>41</v>
      </c>
    </row>
    <row r="3" spans="1:49" ht="21.75" thickBot="1" x14ac:dyDescent="0.5">
      <c r="A3" s="12" t="s">
        <v>4</v>
      </c>
      <c r="B3" s="13" t="s">
        <v>4</v>
      </c>
      <c r="C3" s="13" t="s">
        <v>4</v>
      </c>
      <c r="D3" s="14" t="s">
        <v>4</v>
      </c>
      <c r="E3" s="13" t="s">
        <v>4</v>
      </c>
      <c r="F3" s="148" t="s">
        <v>4</v>
      </c>
      <c r="G3" s="148" t="s">
        <v>4</v>
      </c>
      <c r="H3" s="148" t="s">
        <v>4</v>
      </c>
      <c r="I3" s="148" t="s">
        <v>4</v>
      </c>
      <c r="J3" s="148" t="s">
        <v>4</v>
      </c>
      <c r="K3" s="148" t="s">
        <v>4</v>
      </c>
      <c r="L3" s="148" t="s">
        <v>4</v>
      </c>
      <c r="M3" s="13" t="s">
        <v>4</v>
      </c>
      <c r="N3" s="13" t="s">
        <v>4</v>
      </c>
      <c r="O3" s="13" t="s">
        <v>4</v>
      </c>
      <c r="P3" s="13" t="s">
        <v>4</v>
      </c>
      <c r="Q3" s="13" t="s">
        <v>4</v>
      </c>
      <c r="R3" s="146" t="s">
        <v>4</v>
      </c>
      <c r="S3" s="146" t="s">
        <v>4</v>
      </c>
      <c r="T3" s="146" t="s">
        <v>4</v>
      </c>
      <c r="U3" s="146" t="s">
        <v>4</v>
      </c>
      <c r="V3" s="146" t="s">
        <v>4</v>
      </c>
      <c r="W3" s="146" t="s">
        <v>4</v>
      </c>
      <c r="X3" s="6" t="s">
        <v>29</v>
      </c>
      <c r="Y3" s="146" t="s">
        <v>4</v>
      </c>
      <c r="Z3" s="146" t="s">
        <v>4</v>
      </c>
      <c r="AA3" s="12" t="s">
        <v>4</v>
      </c>
      <c r="AB3" s="13" t="s">
        <v>4</v>
      </c>
      <c r="AC3" s="13" t="s">
        <v>4</v>
      </c>
      <c r="AD3" s="14" t="s">
        <v>4</v>
      </c>
      <c r="AE3" s="14" t="s">
        <v>4</v>
      </c>
      <c r="AF3" s="148" t="s">
        <v>4</v>
      </c>
      <c r="AG3" s="148" t="s">
        <v>4</v>
      </c>
      <c r="AH3" s="148" t="s">
        <v>4</v>
      </c>
      <c r="AI3" s="148" t="s">
        <v>4</v>
      </c>
      <c r="AJ3" s="148" t="s">
        <v>4</v>
      </c>
      <c r="AK3" s="148" t="s">
        <v>4</v>
      </c>
      <c r="AL3" s="148" t="s">
        <v>4</v>
      </c>
      <c r="AM3" s="13" t="s">
        <v>4</v>
      </c>
      <c r="AN3" s="13" t="s">
        <v>4</v>
      </c>
      <c r="AO3" s="13" t="s">
        <v>4</v>
      </c>
      <c r="AP3" s="13" t="s">
        <v>4</v>
      </c>
      <c r="AQ3" s="13" t="s">
        <v>4</v>
      </c>
      <c r="AR3" s="146" t="s">
        <v>4</v>
      </c>
      <c r="AS3" s="146" t="s">
        <v>4</v>
      </c>
      <c r="AT3" s="146" t="s">
        <v>4</v>
      </c>
      <c r="AU3" s="146" t="s">
        <v>4</v>
      </c>
      <c r="AV3" s="146" t="s">
        <v>4</v>
      </c>
      <c r="AW3" s="146" t="s">
        <v>4</v>
      </c>
    </row>
    <row r="4" spans="1:49" ht="21.75" thickBot="1" x14ac:dyDescent="0.5">
      <c r="A4" s="88">
        <v>22.5</v>
      </c>
      <c r="B4" s="79">
        <v>23.5</v>
      </c>
      <c r="C4" s="80">
        <v>24.5</v>
      </c>
      <c r="D4" s="171">
        <v>25.5</v>
      </c>
      <c r="E4" s="171">
        <v>26.5</v>
      </c>
      <c r="F4" s="171">
        <v>27.5</v>
      </c>
      <c r="G4" s="171">
        <v>28.5</v>
      </c>
      <c r="H4" s="172">
        <v>29.5</v>
      </c>
      <c r="I4" s="173">
        <v>30.5</v>
      </c>
      <c r="J4" s="174">
        <v>31.5</v>
      </c>
      <c r="K4" s="171">
        <v>32.5</v>
      </c>
      <c r="L4" s="171">
        <v>33.5</v>
      </c>
      <c r="M4" s="171">
        <v>34.5</v>
      </c>
      <c r="N4" s="171">
        <v>35.5</v>
      </c>
      <c r="O4" s="80">
        <v>36.5</v>
      </c>
      <c r="P4" s="80">
        <v>37.5</v>
      </c>
      <c r="Q4" s="80">
        <v>38.5</v>
      </c>
      <c r="R4" s="80">
        <v>39.5</v>
      </c>
      <c r="S4" s="80">
        <v>21.5</v>
      </c>
      <c r="T4" s="80">
        <v>20.5</v>
      </c>
      <c r="U4" s="80">
        <v>19.5</v>
      </c>
      <c r="V4" s="80">
        <v>18.5</v>
      </c>
      <c r="W4" s="80">
        <v>17.5</v>
      </c>
      <c r="X4" s="71"/>
      <c r="Y4" s="222">
        <v>20.5</v>
      </c>
      <c r="Z4" s="79">
        <v>21.5</v>
      </c>
      <c r="AA4" s="88">
        <v>22.5</v>
      </c>
      <c r="AB4" s="79">
        <v>23.5</v>
      </c>
      <c r="AC4" s="80">
        <v>24.5</v>
      </c>
      <c r="AD4" s="174">
        <v>25.5</v>
      </c>
      <c r="AE4" s="171">
        <v>26.5</v>
      </c>
      <c r="AF4" s="171">
        <v>27.5</v>
      </c>
      <c r="AG4" s="171">
        <v>28.5</v>
      </c>
      <c r="AH4" s="172">
        <v>29.5</v>
      </c>
      <c r="AI4" s="173">
        <v>30.5</v>
      </c>
      <c r="AJ4" s="174">
        <v>31.5</v>
      </c>
      <c r="AK4" s="174">
        <v>32.5</v>
      </c>
      <c r="AL4" s="174">
        <v>33.5</v>
      </c>
      <c r="AM4" s="174">
        <v>34.5</v>
      </c>
      <c r="AN4" s="174">
        <v>35.5</v>
      </c>
      <c r="AO4" s="79">
        <v>36.5</v>
      </c>
      <c r="AP4" s="79">
        <v>37.5</v>
      </c>
      <c r="AQ4" s="79">
        <v>38.5</v>
      </c>
      <c r="AR4" s="79">
        <v>39.5</v>
      </c>
      <c r="AS4" s="79">
        <v>21.5</v>
      </c>
      <c r="AT4" s="79">
        <v>20.5</v>
      </c>
      <c r="AU4" s="79">
        <v>19.5</v>
      </c>
      <c r="AV4" s="79">
        <v>18.5</v>
      </c>
      <c r="AW4" s="79">
        <v>17.5</v>
      </c>
    </row>
    <row r="5" spans="1:49" x14ac:dyDescent="0.45">
      <c r="A5" s="81">
        <v>4.99</v>
      </c>
      <c r="B5" s="75">
        <v>5.03</v>
      </c>
      <c r="C5" s="76">
        <v>5.07</v>
      </c>
      <c r="D5" s="175">
        <v>6.2</v>
      </c>
      <c r="E5" s="176">
        <v>6.23</v>
      </c>
      <c r="F5" s="176">
        <v>6.27</v>
      </c>
      <c r="G5" s="176">
        <v>6.31</v>
      </c>
      <c r="H5" s="177">
        <v>6.34</v>
      </c>
      <c r="I5" s="178">
        <v>6.38</v>
      </c>
      <c r="J5" s="178">
        <v>6.42</v>
      </c>
      <c r="K5" s="178">
        <v>6.45</v>
      </c>
      <c r="L5" s="178">
        <v>6.49</v>
      </c>
      <c r="M5" s="178">
        <v>6.52</v>
      </c>
      <c r="N5" s="178">
        <v>6.56</v>
      </c>
      <c r="O5" s="133">
        <v>5.5</v>
      </c>
      <c r="P5" s="133">
        <v>5.54</v>
      </c>
      <c r="Q5" s="133">
        <v>5.58</v>
      </c>
      <c r="R5" s="133">
        <v>5.61</v>
      </c>
      <c r="S5" s="133">
        <v>4.96</v>
      </c>
      <c r="T5" s="133">
        <v>4.92</v>
      </c>
      <c r="U5" s="133">
        <v>4.8899999999999997</v>
      </c>
      <c r="V5" s="133">
        <v>4.8499999999999996</v>
      </c>
      <c r="W5" s="133">
        <v>4.8099999999999996</v>
      </c>
      <c r="X5" s="72">
        <v>1</v>
      </c>
      <c r="Y5" s="223">
        <v>2.2400000000000002</v>
      </c>
      <c r="Z5" s="133">
        <v>2.91</v>
      </c>
      <c r="AA5" s="93">
        <v>2.93</v>
      </c>
      <c r="AB5" s="94">
        <v>2.96</v>
      </c>
      <c r="AC5" s="95">
        <v>2.99</v>
      </c>
      <c r="AD5" s="197">
        <v>3.85</v>
      </c>
      <c r="AE5" s="198">
        <v>3.87</v>
      </c>
      <c r="AF5" s="198">
        <v>3.9</v>
      </c>
      <c r="AG5" s="199">
        <v>3.92</v>
      </c>
      <c r="AH5" s="200">
        <v>3.95</v>
      </c>
      <c r="AI5" s="178">
        <v>3.97</v>
      </c>
      <c r="AJ5" s="178">
        <v>4</v>
      </c>
      <c r="AK5" s="178">
        <v>4.03</v>
      </c>
      <c r="AL5" s="178">
        <v>4.05</v>
      </c>
      <c r="AM5" s="178">
        <v>4.08</v>
      </c>
      <c r="AN5" s="178">
        <v>4.0999999999999996</v>
      </c>
      <c r="AO5" s="133">
        <v>3.29</v>
      </c>
      <c r="AP5" s="133">
        <v>3.32</v>
      </c>
      <c r="AQ5" s="133">
        <v>3.35</v>
      </c>
      <c r="AR5" s="133">
        <v>3.37</v>
      </c>
      <c r="AS5" s="133">
        <v>2.91</v>
      </c>
      <c r="AT5" s="133">
        <v>2.88</v>
      </c>
      <c r="AU5" s="133">
        <v>2.86</v>
      </c>
      <c r="AV5" s="133">
        <v>2.83</v>
      </c>
      <c r="AW5" s="133">
        <v>2.81</v>
      </c>
    </row>
    <row r="6" spans="1:49" x14ac:dyDescent="0.45">
      <c r="A6" s="82">
        <v>6.31</v>
      </c>
      <c r="B6" s="73">
        <v>6.38</v>
      </c>
      <c r="C6" s="74">
        <v>6.45</v>
      </c>
      <c r="D6" s="179">
        <v>7.66</v>
      </c>
      <c r="E6" s="180">
        <v>7.73</v>
      </c>
      <c r="F6" s="180">
        <v>7.81</v>
      </c>
      <c r="G6" s="180">
        <v>7.88</v>
      </c>
      <c r="H6" s="181">
        <v>7.95</v>
      </c>
      <c r="I6" s="182">
        <v>8.0299999999999994</v>
      </c>
      <c r="J6" s="182">
        <v>8.1</v>
      </c>
      <c r="K6" s="182">
        <v>8.17</v>
      </c>
      <c r="L6" s="182">
        <v>8.24</v>
      </c>
      <c r="M6" s="182">
        <v>8.32</v>
      </c>
      <c r="N6" s="182">
        <v>8.39</v>
      </c>
      <c r="O6" s="134">
        <v>7.33</v>
      </c>
      <c r="P6" s="134">
        <v>7.4</v>
      </c>
      <c r="Q6" s="134">
        <v>7.47</v>
      </c>
      <c r="R6" s="134">
        <v>7.55</v>
      </c>
      <c r="S6" s="134">
        <v>6.24</v>
      </c>
      <c r="T6" s="134">
        <v>6.16</v>
      </c>
      <c r="U6" s="134">
        <v>6.09</v>
      </c>
      <c r="V6" s="134">
        <v>6.02</v>
      </c>
      <c r="W6" s="134">
        <v>5.94</v>
      </c>
      <c r="X6" s="72">
        <v>2</v>
      </c>
      <c r="Y6" s="224">
        <v>5.37</v>
      </c>
      <c r="Z6" s="134">
        <v>3.87</v>
      </c>
      <c r="AA6" s="82">
        <v>3.93</v>
      </c>
      <c r="AB6" s="73">
        <v>3.98</v>
      </c>
      <c r="AC6" s="74">
        <v>4.03</v>
      </c>
      <c r="AD6" s="179">
        <v>4.9800000000000004</v>
      </c>
      <c r="AE6" s="180">
        <v>5.03</v>
      </c>
      <c r="AF6" s="180">
        <v>5.08</v>
      </c>
      <c r="AG6" s="201">
        <v>5.13</v>
      </c>
      <c r="AH6" s="181">
        <v>5.18</v>
      </c>
      <c r="AI6" s="182">
        <v>5.23</v>
      </c>
      <c r="AJ6" s="182">
        <v>5.28</v>
      </c>
      <c r="AK6" s="182">
        <v>5.34</v>
      </c>
      <c r="AL6" s="182">
        <v>5.39</v>
      </c>
      <c r="AM6" s="182">
        <v>5.44</v>
      </c>
      <c r="AN6" s="182">
        <v>5.49</v>
      </c>
      <c r="AO6" s="134">
        <v>4.6500000000000004</v>
      </c>
      <c r="AP6" s="134">
        <v>4.7</v>
      </c>
      <c r="AQ6" s="134">
        <v>4.75</v>
      </c>
      <c r="AR6" s="134">
        <v>4.8</v>
      </c>
      <c r="AS6" s="134">
        <v>3.87</v>
      </c>
      <c r="AT6" s="134">
        <v>3.82</v>
      </c>
      <c r="AU6" s="134">
        <v>3.77</v>
      </c>
      <c r="AV6" s="134">
        <v>3.72</v>
      </c>
      <c r="AW6" s="134">
        <v>3.67</v>
      </c>
    </row>
    <row r="7" spans="1:49" x14ac:dyDescent="0.45">
      <c r="A7" s="82">
        <v>7.62</v>
      </c>
      <c r="B7" s="73">
        <v>7.73</v>
      </c>
      <c r="C7" s="74">
        <v>7.84</v>
      </c>
      <c r="D7" s="179">
        <v>9.1300000000000008</v>
      </c>
      <c r="E7" s="180">
        <v>9.24</v>
      </c>
      <c r="F7" s="180">
        <v>9.35</v>
      </c>
      <c r="G7" s="180">
        <v>9.4499999999999993</v>
      </c>
      <c r="H7" s="181">
        <v>9.56</v>
      </c>
      <c r="I7" s="183">
        <v>9.67</v>
      </c>
      <c r="J7" s="183">
        <v>9.7799999999999994</v>
      </c>
      <c r="K7" s="183">
        <v>9.89</v>
      </c>
      <c r="L7" s="183">
        <v>10</v>
      </c>
      <c r="M7" s="183">
        <v>10.11</v>
      </c>
      <c r="N7" s="183">
        <v>10.220000000000001</v>
      </c>
      <c r="O7" s="135">
        <v>9.15</v>
      </c>
      <c r="P7" s="135">
        <v>9.26</v>
      </c>
      <c r="Q7" s="135">
        <v>9.3699999999999992</v>
      </c>
      <c r="R7" s="135">
        <v>9.48</v>
      </c>
      <c r="S7" s="135">
        <v>7.51</v>
      </c>
      <c r="T7" s="135">
        <v>7.4</v>
      </c>
      <c r="U7" s="135">
        <v>7.29</v>
      </c>
      <c r="V7" s="135">
        <v>7.19</v>
      </c>
      <c r="W7" s="135">
        <v>7.08</v>
      </c>
      <c r="X7" s="83">
        <v>3</v>
      </c>
      <c r="Y7" s="225">
        <v>6.5</v>
      </c>
      <c r="Z7" s="135">
        <v>4.84</v>
      </c>
      <c r="AA7" s="82">
        <v>4.92</v>
      </c>
      <c r="AB7" s="73">
        <v>4.99</v>
      </c>
      <c r="AC7" s="74">
        <v>5.07</v>
      </c>
      <c r="AD7" s="179">
        <v>6.1</v>
      </c>
      <c r="AE7" s="180">
        <v>6.18</v>
      </c>
      <c r="AF7" s="180">
        <v>6.26</v>
      </c>
      <c r="AG7" s="201">
        <v>6.34</v>
      </c>
      <c r="AH7" s="181">
        <v>6.41</v>
      </c>
      <c r="AI7" s="183">
        <v>6.49</v>
      </c>
      <c r="AJ7" s="183">
        <v>6.57</v>
      </c>
      <c r="AK7" s="183">
        <v>6.64</v>
      </c>
      <c r="AL7" s="183">
        <v>6.72</v>
      </c>
      <c r="AM7" s="183">
        <v>6.8</v>
      </c>
      <c r="AN7" s="183">
        <v>6.88</v>
      </c>
      <c r="AO7" s="135">
        <v>6</v>
      </c>
      <c r="AP7" s="135">
        <v>6</v>
      </c>
      <c r="AQ7" s="135">
        <v>6.15</v>
      </c>
      <c r="AR7" s="135">
        <v>6.23</v>
      </c>
      <c r="AS7" s="135">
        <v>4.84</v>
      </c>
      <c r="AT7" s="135">
        <v>4.76</v>
      </c>
      <c r="AU7" s="135">
        <v>4.6900000000000004</v>
      </c>
      <c r="AV7" s="135">
        <v>4.6100000000000003</v>
      </c>
      <c r="AW7" s="135">
        <v>4.53</v>
      </c>
    </row>
    <row r="8" spans="1:49" x14ac:dyDescent="0.45">
      <c r="A8" s="82">
        <v>8.94</v>
      </c>
      <c r="B8" s="73">
        <v>9.08</v>
      </c>
      <c r="C8" s="74">
        <v>9.23</v>
      </c>
      <c r="D8" s="179">
        <v>10.59</v>
      </c>
      <c r="E8" s="180">
        <v>10.74</v>
      </c>
      <c r="F8" s="180">
        <v>10.88</v>
      </c>
      <c r="G8" s="180">
        <v>11.03</v>
      </c>
      <c r="H8" s="181">
        <v>11.17</v>
      </c>
      <c r="I8" s="184">
        <v>11.32</v>
      </c>
      <c r="J8" s="184">
        <v>11.47</v>
      </c>
      <c r="K8" s="184">
        <v>11.61</v>
      </c>
      <c r="L8" s="184">
        <v>11.76</v>
      </c>
      <c r="M8" s="184">
        <v>11.9</v>
      </c>
      <c r="N8" s="184">
        <v>12.05</v>
      </c>
      <c r="O8" s="136">
        <v>10.97</v>
      </c>
      <c r="P8" s="136">
        <v>11.12</v>
      </c>
      <c r="Q8" s="136">
        <v>11.27</v>
      </c>
      <c r="R8" s="136">
        <v>11.41</v>
      </c>
      <c r="S8" s="136">
        <v>8.7899999999999991</v>
      </c>
      <c r="T8" s="136">
        <v>8.64</v>
      </c>
      <c r="U8" s="136">
        <v>8.5</v>
      </c>
      <c r="V8" s="136">
        <v>8.35</v>
      </c>
      <c r="W8" s="136">
        <v>8.2100000000000009</v>
      </c>
      <c r="X8" s="7">
        <v>4</v>
      </c>
      <c r="Y8" s="226">
        <v>7.63</v>
      </c>
      <c r="Z8" s="136">
        <v>5.8</v>
      </c>
      <c r="AA8" s="82">
        <v>5.91</v>
      </c>
      <c r="AB8" s="73">
        <v>6.01</v>
      </c>
      <c r="AC8" s="74">
        <v>6.11</v>
      </c>
      <c r="AD8" s="179">
        <v>7.23</v>
      </c>
      <c r="AE8" s="180">
        <v>7.34</v>
      </c>
      <c r="AF8" s="180">
        <v>7.44</v>
      </c>
      <c r="AG8" s="201">
        <v>7.54</v>
      </c>
      <c r="AH8" s="181">
        <v>7.64</v>
      </c>
      <c r="AI8" s="184">
        <v>7.75</v>
      </c>
      <c r="AJ8" s="184">
        <v>7.85</v>
      </c>
      <c r="AK8" s="184">
        <v>7.95</v>
      </c>
      <c r="AL8" s="184">
        <v>8.06</v>
      </c>
      <c r="AM8" s="184">
        <v>8.16</v>
      </c>
      <c r="AN8" s="184">
        <v>8.26</v>
      </c>
      <c r="AO8" s="136">
        <v>7.35</v>
      </c>
      <c r="AP8" s="136">
        <v>7.45</v>
      </c>
      <c r="AQ8" s="136">
        <v>7.55</v>
      </c>
      <c r="AR8" s="136">
        <v>7.66</v>
      </c>
      <c r="AS8" s="136">
        <v>5.8</v>
      </c>
      <c r="AT8" s="136">
        <v>5.7</v>
      </c>
      <c r="AU8" s="136">
        <v>5.6</v>
      </c>
      <c r="AV8" s="136">
        <v>5.5</v>
      </c>
      <c r="AW8" s="135">
        <v>5.39</v>
      </c>
    </row>
    <row r="9" spans="1:49" x14ac:dyDescent="0.45">
      <c r="A9" s="82">
        <v>10.25</v>
      </c>
      <c r="B9" s="73">
        <v>10.43</v>
      </c>
      <c r="C9" s="74">
        <v>10.61</v>
      </c>
      <c r="D9" s="179">
        <v>12.06</v>
      </c>
      <c r="E9" s="180">
        <v>12.24</v>
      </c>
      <c r="F9" s="180">
        <v>12.42</v>
      </c>
      <c r="G9" s="180">
        <v>12.6</v>
      </c>
      <c r="H9" s="181">
        <v>12.79</v>
      </c>
      <c r="I9" s="184">
        <v>12.97</v>
      </c>
      <c r="J9" s="184">
        <v>13.15</v>
      </c>
      <c r="K9" s="184">
        <v>13.33</v>
      </c>
      <c r="L9" s="184">
        <v>13.51</v>
      </c>
      <c r="M9" s="184">
        <v>13.7</v>
      </c>
      <c r="N9" s="184">
        <v>13.88</v>
      </c>
      <c r="O9" s="136">
        <v>12.8</v>
      </c>
      <c r="P9" s="136">
        <v>12.98</v>
      </c>
      <c r="Q9" s="136">
        <v>13.16</v>
      </c>
      <c r="R9" s="136">
        <v>13.34</v>
      </c>
      <c r="S9" s="136">
        <v>10.07</v>
      </c>
      <c r="T9" s="136">
        <v>9.89</v>
      </c>
      <c r="U9" s="136">
        <v>9.6999999999999993</v>
      </c>
      <c r="V9" s="136">
        <v>9.52</v>
      </c>
      <c r="W9" s="136">
        <v>9.34</v>
      </c>
      <c r="X9" s="7">
        <v>5</v>
      </c>
      <c r="Y9" s="226">
        <v>8.75</v>
      </c>
      <c r="Z9" s="136">
        <v>6.77</v>
      </c>
      <c r="AA9" s="82">
        <v>6.9</v>
      </c>
      <c r="AB9" s="73">
        <v>7.03</v>
      </c>
      <c r="AC9" s="74">
        <v>7.16</v>
      </c>
      <c r="AD9" s="179">
        <v>8.36</v>
      </c>
      <c r="AE9" s="180">
        <v>8.49</v>
      </c>
      <c r="AF9" s="180">
        <v>8.6199999999999992</v>
      </c>
      <c r="AG9" s="201">
        <v>8.75</v>
      </c>
      <c r="AH9" s="181">
        <v>8.8800000000000008</v>
      </c>
      <c r="AI9" s="184">
        <v>9</v>
      </c>
      <c r="AJ9" s="184">
        <v>9.1300000000000008</v>
      </c>
      <c r="AK9" s="184">
        <v>9.26</v>
      </c>
      <c r="AL9" s="184">
        <v>9.39</v>
      </c>
      <c r="AM9" s="184">
        <v>9.52</v>
      </c>
      <c r="AN9" s="184">
        <v>9.65</v>
      </c>
      <c r="AO9" s="136">
        <v>8.6999999999999993</v>
      </c>
      <c r="AP9" s="136">
        <v>8.83</v>
      </c>
      <c r="AQ9" s="136">
        <v>8.9499999999999993</v>
      </c>
      <c r="AR9" s="136">
        <v>9.08</v>
      </c>
      <c r="AS9" s="136">
        <v>6.77</v>
      </c>
      <c r="AT9" s="136">
        <v>6.64</v>
      </c>
      <c r="AU9" s="136">
        <v>6.51</v>
      </c>
      <c r="AV9" s="136">
        <v>6.38</v>
      </c>
      <c r="AW9" s="135">
        <v>6.26</v>
      </c>
    </row>
    <row r="10" spans="1:49" x14ac:dyDescent="0.45">
      <c r="A10" s="82">
        <v>11.56</v>
      </c>
      <c r="B10" s="73">
        <v>11.78</v>
      </c>
      <c r="C10" s="74">
        <v>12</v>
      </c>
      <c r="D10" s="179">
        <v>13.52</v>
      </c>
      <c r="E10" s="180">
        <v>13.74</v>
      </c>
      <c r="F10" s="180">
        <v>13.96</v>
      </c>
      <c r="G10" s="180">
        <v>14.18</v>
      </c>
      <c r="H10" s="181">
        <v>14.4</v>
      </c>
      <c r="I10" s="184">
        <v>14.61</v>
      </c>
      <c r="J10" s="184">
        <v>14.83</v>
      </c>
      <c r="K10" s="184">
        <v>15.05</v>
      </c>
      <c r="L10" s="184">
        <v>15.27</v>
      </c>
      <c r="M10" s="184">
        <v>15.49</v>
      </c>
      <c r="N10" s="184">
        <v>15.71</v>
      </c>
      <c r="O10" s="136">
        <v>14.62</v>
      </c>
      <c r="P10" s="136">
        <v>14.84</v>
      </c>
      <c r="Q10" s="136">
        <v>15.06</v>
      </c>
      <c r="R10" s="136">
        <v>15.28</v>
      </c>
      <c r="S10" s="136">
        <v>11.35</v>
      </c>
      <c r="T10" s="136">
        <v>11.13</v>
      </c>
      <c r="U10" s="136">
        <v>10.91</v>
      </c>
      <c r="V10" s="136">
        <v>10.69</v>
      </c>
      <c r="W10" s="136">
        <v>10.47</v>
      </c>
      <c r="X10" s="7">
        <v>6</v>
      </c>
      <c r="Y10" s="226">
        <v>9.8800000000000008</v>
      </c>
      <c r="Z10" s="136">
        <v>7.74</v>
      </c>
      <c r="AA10" s="82">
        <v>7.89</v>
      </c>
      <c r="AB10" s="73">
        <v>8.0399999999999991</v>
      </c>
      <c r="AC10" s="74">
        <v>8.1999999999999993</v>
      </c>
      <c r="AD10" s="179">
        <v>9.49</v>
      </c>
      <c r="AE10" s="180">
        <v>9.65</v>
      </c>
      <c r="AF10" s="180">
        <v>9.8000000000000007</v>
      </c>
      <c r="AG10" s="201">
        <v>9.9499999999999993</v>
      </c>
      <c r="AH10" s="181">
        <v>10.11</v>
      </c>
      <c r="AI10" s="184">
        <v>10.26</v>
      </c>
      <c r="AJ10" s="184">
        <v>10.42</v>
      </c>
      <c r="AK10" s="184">
        <v>10.57</v>
      </c>
      <c r="AL10" s="184">
        <v>10.72</v>
      </c>
      <c r="AM10" s="184">
        <v>10.88</v>
      </c>
      <c r="AN10" s="184">
        <v>11.03</v>
      </c>
      <c r="AO10" s="136">
        <v>10.050000000000001</v>
      </c>
      <c r="AP10" s="136">
        <v>10.199999999999999</v>
      </c>
      <c r="AQ10" s="136">
        <v>10.36</v>
      </c>
      <c r="AR10" s="136">
        <v>10.51</v>
      </c>
      <c r="AS10" s="136">
        <v>7.74</v>
      </c>
      <c r="AT10" s="136">
        <v>7.58</v>
      </c>
      <c r="AU10" s="136">
        <v>7.43</v>
      </c>
      <c r="AV10" s="136">
        <v>7.27</v>
      </c>
      <c r="AW10" s="135">
        <v>7.12</v>
      </c>
    </row>
    <row r="11" spans="1:49" x14ac:dyDescent="0.45">
      <c r="A11" s="82">
        <v>12.88</v>
      </c>
      <c r="B11" s="73">
        <v>13.13</v>
      </c>
      <c r="C11" s="74">
        <v>13.39</v>
      </c>
      <c r="D11" s="179">
        <v>14.99</v>
      </c>
      <c r="E11" s="180">
        <v>15.24</v>
      </c>
      <c r="F11" s="180">
        <v>15.5</v>
      </c>
      <c r="G11" s="180">
        <v>15.75</v>
      </c>
      <c r="H11" s="181">
        <v>16.010000000000002</v>
      </c>
      <c r="I11" s="184">
        <v>16.260000000000002</v>
      </c>
      <c r="J11" s="184">
        <v>16.52</v>
      </c>
      <c r="K11" s="184">
        <v>16.77</v>
      </c>
      <c r="L11" s="184">
        <v>17.03</v>
      </c>
      <c r="M11" s="184">
        <v>17.28</v>
      </c>
      <c r="N11" s="184">
        <v>17.54</v>
      </c>
      <c r="O11" s="136">
        <v>16.440000000000001</v>
      </c>
      <c r="P11" s="136">
        <v>16.7</v>
      </c>
      <c r="Q11" s="136">
        <v>16.95</v>
      </c>
      <c r="R11" s="136">
        <v>17.21</v>
      </c>
      <c r="S11" s="136">
        <v>12.62</v>
      </c>
      <c r="T11" s="136">
        <v>12.37</v>
      </c>
      <c r="U11" s="136">
        <v>12.11</v>
      </c>
      <c r="V11" s="136">
        <v>11.86</v>
      </c>
      <c r="W11" s="136">
        <v>11.6</v>
      </c>
      <c r="X11" s="7">
        <v>7</v>
      </c>
      <c r="Y11" s="226">
        <v>11.01</v>
      </c>
      <c r="Z11" s="136">
        <v>8.6999999999999993</v>
      </c>
      <c r="AA11" s="82">
        <v>8.8800000000000008</v>
      </c>
      <c r="AB11" s="73">
        <v>9.06</v>
      </c>
      <c r="AC11" s="74">
        <v>9.24</v>
      </c>
      <c r="AD11" s="179">
        <v>10.62</v>
      </c>
      <c r="AE11" s="180">
        <v>10.8</v>
      </c>
      <c r="AF11" s="180">
        <v>10.98</v>
      </c>
      <c r="AG11" s="201">
        <v>11.16</v>
      </c>
      <c r="AH11" s="181">
        <v>11.34</v>
      </c>
      <c r="AI11" s="184">
        <v>11.52</v>
      </c>
      <c r="AJ11" s="184">
        <v>11.7</v>
      </c>
      <c r="AK11" s="184">
        <v>11.88</v>
      </c>
      <c r="AL11" s="184">
        <v>12.06</v>
      </c>
      <c r="AM11" s="184">
        <v>12.24</v>
      </c>
      <c r="AN11" s="184">
        <v>12.42</v>
      </c>
      <c r="AO11" s="136">
        <v>11.4</v>
      </c>
      <c r="AP11" s="136">
        <v>11.58</v>
      </c>
      <c r="AQ11" s="136">
        <v>11.76</v>
      </c>
      <c r="AR11" s="136">
        <v>11.94</v>
      </c>
      <c r="AS11" s="136">
        <v>8.6999999999999993</v>
      </c>
      <c r="AT11" s="136">
        <v>8.52</v>
      </c>
      <c r="AU11" s="136">
        <v>8.34</v>
      </c>
      <c r="AV11" s="136">
        <v>8.16</v>
      </c>
      <c r="AW11" s="135">
        <v>7.98</v>
      </c>
    </row>
    <row r="12" spans="1:49" x14ac:dyDescent="0.45">
      <c r="A12" s="82">
        <v>14.33</v>
      </c>
      <c r="B12" s="73">
        <v>14.62</v>
      </c>
      <c r="C12" s="74">
        <v>14.91</v>
      </c>
      <c r="D12" s="179">
        <v>16.63</v>
      </c>
      <c r="E12" s="180">
        <v>16.920000000000002</v>
      </c>
      <c r="F12" s="180">
        <v>17.21</v>
      </c>
      <c r="G12" s="180">
        <v>17.5</v>
      </c>
      <c r="H12" s="181">
        <v>17.79</v>
      </c>
      <c r="I12" s="184">
        <v>18.09</v>
      </c>
      <c r="J12" s="184">
        <v>18.38</v>
      </c>
      <c r="K12" s="184">
        <v>18.670000000000002</v>
      </c>
      <c r="L12" s="184">
        <v>18.96</v>
      </c>
      <c r="M12" s="184">
        <v>19.25</v>
      </c>
      <c r="N12" s="184">
        <v>19.54</v>
      </c>
      <c r="O12" s="136">
        <v>18.41</v>
      </c>
      <c r="P12" s="136">
        <v>18.7</v>
      </c>
      <c r="Q12" s="136">
        <v>18.989999999999998</v>
      </c>
      <c r="R12" s="136">
        <v>19.28</v>
      </c>
      <c r="S12" s="136">
        <v>14.04</v>
      </c>
      <c r="T12" s="136">
        <v>13.75</v>
      </c>
      <c r="U12" s="136">
        <v>13.46</v>
      </c>
      <c r="V12" s="136">
        <v>13.16</v>
      </c>
      <c r="W12" s="136">
        <v>12.87</v>
      </c>
      <c r="X12" s="7">
        <v>8</v>
      </c>
      <c r="Y12" s="226">
        <v>12.14</v>
      </c>
      <c r="Z12" s="136">
        <v>9.67</v>
      </c>
      <c r="AA12" s="82">
        <v>9.8699999999999992</v>
      </c>
      <c r="AB12" s="73">
        <v>10.08</v>
      </c>
      <c r="AC12" s="74">
        <v>10.28</v>
      </c>
      <c r="AD12" s="179">
        <v>11.75</v>
      </c>
      <c r="AE12" s="180">
        <v>11.95</v>
      </c>
      <c r="AF12" s="180">
        <v>12.16</v>
      </c>
      <c r="AG12" s="201">
        <v>12.37</v>
      </c>
      <c r="AH12" s="181">
        <v>12.57</v>
      </c>
      <c r="AI12" s="184">
        <v>12.78</v>
      </c>
      <c r="AJ12" s="184">
        <v>12.98</v>
      </c>
      <c r="AK12" s="184">
        <v>13.19</v>
      </c>
      <c r="AL12" s="184">
        <v>13.39</v>
      </c>
      <c r="AM12" s="184">
        <v>13.6</v>
      </c>
      <c r="AN12" s="184">
        <v>13.8</v>
      </c>
      <c r="AO12" s="136">
        <v>12.75</v>
      </c>
      <c r="AP12" s="136">
        <v>12.96</v>
      </c>
      <c r="AQ12" s="136">
        <v>13.16</v>
      </c>
      <c r="AR12" s="136">
        <v>13.37</v>
      </c>
      <c r="AS12" s="136">
        <v>9.67</v>
      </c>
      <c r="AT12" s="136">
        <v>9.4600000000000009</v>
      </c>
      <c r="AU12" s="136">
        <v>9.26</v>
      </c>
      <c r="AV12" s="136">
        <v>9.0500000000000007</v>
      </c>
      <c r="AW12" s="135">
        <v>8.84</v>
      </c>
    </row>
    <row r="13" spans="1:49" x14ac:dyDescent="0.45">
      <c r="A13" s="82">
        <v>16.03</v>
      </c>
      <c r="B13" s="73">
        <v>16.36</v>
      </c>
      <c r="C13" s="74">
        <v>16.68</v>
      </c>
      <c r="D13" s="179">
        <v>18.59</v>
      </c>
      <c r="E13" s="180">
        <v>18.920000000000002</v>
      </c>
      <c r="F13" s="180">
        <v>19.25</v>
      </c>
      <c r="G13" s="180">
        <v>19.57</v>
      </c>
      <c r="H13" s="181">
        <v>19.899999999999999</v>
      </c>
      <c r="I13" s="184">
        <v>20.23</v>
      </c>
      <c r="J13" s="184">
        <v>20.56</v>
      </c>
      <c r="K13" s="184">
        <v>20.88</v>
      </c>
      <c r="L13" s="184">
        <v>21.21</v>
      </c>
      <c r="M13" s="184">
        <v>21.54</v>
      </c>
      <c r="N13" s="184">
        <v>21.87</v>
      </c>
      <c r="O13" s="136">
        <v>20.62</v>
      </c>
      <c r="P13" s="136">
        <v>20.94</v>
      </c>
      <c r="Q13" s="136">
        <v>21.27</v>
      </c>
      <c r="R13" s="136">
        <v>21.6</v>
      </c>
      <c r="S13" s="136">
        <v>15.7</v>
      </c>
      <c r="T13" s="136">
        <v>15.37</v>
      </c>
      <c r="U13" s="136">
        <v>15.05</v>
      </c>
      <c r="V13" s="136">
        <v>14.72</v>
      </c>
      <c r="W13" s="136">
        <v>14.39</v>
      </c>
      <c r="X13" s="7">
        <v>9</v>
      </c>
      <c r="Y13" s="226">
        <v>13.27</v>
      </c>
      <c r="Z13" s="136">
        <v>10.63</v>
      </c>
      <c r="AA13" s="82">
        <v>10.86</v>
      </c>
      <c r="AB13" s="73">
        <v>11.09</v>
      </c>
      <c r="AC13" s="74">
        <v>11.33</v>
      </c>
      <c r="AD13" s="179">
        <v>12.88</v>
      </c>
      <c r="AE13" s="180">
        <v>13.11</v>
      </c>
      <c r="AF13" s="180">
        <v>13.34</v>
      </c>
      <c r="AG13" s="201">
        <v>13.57</v>
      </c>
      <c r="AH13" s="181">
        <v>13.8</v>
      </c>
      <c r="AI13" s="184">
        <v>14.04</v>
      </c>
      <c r="AJ13" s="184">
        <v>14.27</v>
      </c>
      <c r="AK13" s="184">
        <v>14.5</v>
      </c>
      <c r="AL13" s="184">
        <v>14.73</v>
      </c>
      <c r="AM13" s="184">
        <v>14.96</v>
      </c>
      <c r="AN13" s="184">
        <v>15.19</v>
      </c>
      <c r="AO13" s="136">
        <v>14.1</v>
      </c>
      <c r="AP13" s="136">
        <v>14.33</v>
      </c>
      <c r="AQ13" s="136">
        <v>14.56</v>
      </c>
      <c r="AR13" s="136">
        <v>14.8</v>
      </c>
      <c r="AS13" s="136">
        <v>10.63</v>
      </c>
      <c r="AT13" s="136">
        <v>10.4</v>
      </c>
      <c r="AU13" s="136">
        <v>10.17</v>
      </c>
      <c r="AV13" s="136">
        <v>9.94</v>
      </c>
      <c r="AW13" s="135">
        <v>9.7100000000000009</v>
      </c>
    </row>
    <row r="14" spans="1:49" x14ac:dyDescent="0.45">
      <c r="A14" s="82">
        <v>17.73</v>
      </c>
      <c r="B14" s="73">
        <v>18.09</v>
      </c>
      <c r="C14" s="74">
        <v>18.46</v>
      </c>
      <c r="D14" s="179">
        <v>20.55</v>
      </c>
      <c r="E14" s="180">
        <v>20.92</v>
      </c>
      <c r="F14" s="180">
        <v>21.28</v>
      </c>
      <c r="G14" s="180">
        <v>21.64</v>
      </c>
      <c r="H14" s="181">
        <v>22.01</v>
      </c>
      <c r="I14" s="184">
        <v>22.37</v>
      </c>
      <c r="J14" s="184">
        <v>22.4</v>
      </c>
      <c r="K14" s="184">
        <v>23.1</v>
      </c>
      <c r="L14" s="184">
        <v>23.46</v>
      </c>
      <c r="M14" s="184">
        <v>23.83</v>
      </c>
      <c r="N14" s="184">
        <v>24.19</v>
      </c>
      <c r="O14" s="136">
        <v>22.82</v>
      </c>
      <c r="P14" s="136">
        <v>23.19</v>
      </c>
      <c r="Q14" s="136">
        <v>23.55</v>
      </c>
      <c r="R14" s="136">
        <v>23.92</v>
      </c>
      <c r="S14" s="136">
        <v>17.36</v>
      </c>
      <c r="T14" s="136">
        <v>17</v>
      </c>
      <c r="U14" s="136">
        <v>16.64</v>
      </c>
      <c r="V14" s="136">
        <v>16.27</v>
      </c>
      <c r="W14" s="136">
        <v>15.91</v>
      </c>
      <c r="X14" s="7">
        <v>10</v>
      </c>
      <c r="Y14" s="226">
        <v>14.4</v>
      </c>
      <c r="Z14" s="136">
        <v>11.6</v>
      </c>
      <c r="AA14" s="82">
        <v>11.85</v>
      </c>
      <c r="AB14" s="73">
        <v>12.11</v>
      </c>
      <c r="AC14" s="74">
        <v>12.37</v>
      </c>
      <c r="AD14" s="179">
        <v>14.01</v>
      </c>
      <c r="AE14" s="180">
        <v>14.26</v>
      </c>
      <c r="AF14" s="180">
        <v>14.52</v>
      </c>
      <c r="AG14" s="201">
        <v>14.78</v>
      </c>
      <c r="AH14" s="181">
        <v>15.04</v>
      </c>
      <c r="AI14" s="184">
        <v>15.29</v>
      </c>
      <c r="AJ14" s="184">
        <v>15.55</v>
      </c>
      <c r="AK14" s="184">
        <v>15.81</v>
      </c>
      <c r="AL14" s="184">
        <v>16.059999999999999</v>
      </c>
      <c r="AM14" s="184">
        <v>16.32</v>
      </c>
      <c r="AN14" s="184">
        <v>16.579999999999998</v>
      </c>
      <c r="AO14" s="136">
        <v>15.45</v>
      </c>
      <c r="AP14" s="136">
        <v>15.71</v>
      </c>
      <c r="AQ14" s="136">
        <v>15.97</v>
      </c>
      <c r="AR14" s="136">
        <v>16.22</v>
      </c>
      <c r="AS14" s="136">
        <v>11.6</v>
      </c>
      <c r="AT14" s="136">
        <v>11.34</v>
      </c>
      <c r="AU14" s="136">
        <v>11.08</v>
      </c>
      <c r="AV14" s="136">
        <v>10.83</v>
      </c>
      <c r="AW14" s="135">
        <v>10.57</v>
      </c>
    </row>
    <row r="15" spans="1:49" x14ac:dyDescent="0.45">
      <c r="A15" s="82">
        <v>19.43</v>
      </c>
      <c r="B15" s="73">
        <v>19.829999999999998</v>
      </c>
      <c r="C15" s="74">
        <v>20.23</v>
      </c>
      <c r="D15" s="179">
        <v>22.51</v>
      </c>
      <c r="E15" s="180">
        <v>22.91</v>
      </c>
      <c r="F15" s="180">
        <v>23.31</v>
      </c>
      <c r="G15" s="180">
        <v>23.71</v>
      </c>
      <c r="H15" s="181">
        <v>24.11</v>
      </c>
      <c r="I15" s="184">
        <v>24.51</v>
      </c>
      <c r="J15" s="184">
        <v>24.91</v>
      </c>
      <c r="K15" s="184">
        <v>25.31</v>
      </c>
      <c r="L15" s="184">
        <v>25.72</v>
      </c>
      <c r="M15" s="184">
        <v>26.12</v>
      </c>
      <c r="N15" s="184">
        <v>26.52</v>
      </c>
      <c r="O15" s="136">
        <v>25.03</v>
      </c>
      <c r="P15" s="136">
        <v>25.43</v>
      </c>
      <c r="Q15" s="136">
        <v>25.83</v>
      </c>
      <c r="R15" s="136">
        <v>26.23</v>
      </c>
      <c r="S15" s="136">
        <v>19.03</v>
      </c>
      <c r="T15" s="136">
        <v>18.63</v>
      </c>
      <c r="U15" s="136">
        <v>18.23</v>
      </c>
      <c r="V15" s="136">
        <v>17.829999999999998</v>
      </c>
      <c r="W15" s="136">
        <v>17.43</v>
      </c>
      <c r="X15" s="7">
        <v>11</v>
      </c>
      <c r="Y15" s="226">
        <v>15.52</v>
      </c>
      <c r="Z15" s="136">
        <v>12.56</v>
      </c>
      <c r="AA15" s="82">
        <v>12.84</v>
      </c>
      <c r="AB15" s="73">
        <v>13.13</v>
      </c>
      <c r="AC15" s="74">
        <v>13.41</v>
      </c>
      <c r="AD15" s="179">
        <v>15.14</v>
      </c>
      <c r="AE15" s="180">
        <v>15.42</v>
      </c>
      <c r="AF15" s="180">
        <v>15.7</v>
      </c>
      <c r="AG15" s="201">
        <v>15.98</v>
      </c>
      <c r="AH15" s="181">
        <v>16.27</v>
      </c>
      <c r="AI15" s="184">
        <v>16.55</v>
      </c>
      <c r="AJ15" s="184">
        <v>16.829999999999998</v>
      </c>
      <c r="AK15" s="184">
        <v>17.11</v>
      </c>
      <c r="AL15" s="184">
        <v>17.399999999999999</v>
      </c>
      <c r="AM15" s="184">
        <v>17.68</v>
      </c>
      <c r="AN15" s="184">
        <v>17.96</v>
      </c>
      <c r="AO15" s="136">
        <v>16.8</v>
      </c>
      <c r="AP15" s="136">
        <v>17.09</v>
      </c>
      <c r="AQ15" s="136">
        <v>17.37</v>
      </c>
      <c r="AR15" s="136">
        <v>17.649999999999999</v>
      </c>
      <c r="AS15" s="136">
        <v>12.56</v>
      </c>
      <c r="AT15" s="136">
        <v>12.28</v>
      </c>
      <c r="AU15" s="136">
        <v>12</v>
      </c>
      <c r="AV15" s="136">
        <v>11.71</v>
      </c>
      <c r="AW15" s="135">
        <v>11.43</v>
      </c>
    </row>
    <row r="16" spans="1:49" x14ac:dyDescent="0.45">
      <c r="A16" s="82">
        <v>21.13</v>
      </c>
      <c r="B16" s="73">
        <v>21.56</v>
      </c>
      <c r="C16" s="74">
        <v>22</v>
      </c>
      <c r="D16" s="179">
        <v>24.47</v>
      </c>
      <c r="E16" s="180">
        <v>24.91</v>
      </c>
      <c r="F16" s="180">
        <v>25.35</v>
      </c>
      <c r="G16" s="180">
        <v>25.78</v>
      </c>
      <c r="H16" s="181">
        <v>26.22</v>
      </c>
      <c r="I16" s="184">
        <v>26.66</v>
      </c>
      <c r="J16" s="184">
        <v>27.09</v>
      </c>
      <c r="K16" s="184">
        <v>27.53</v>
      </c>
      <c r="L16" s="184">
        <v>27.97</v>
      </c>
      <c r="M16" s="184">
        <v>28.4</v>
      </c>
      <c r="N16" s="184">
        <v>28.84</v>
      </c>
      <c r="O16" s="136">
        <v>27.24</v>
      </c>
      <c r="P16" s="136">
        <v>27.68</v>
      </c>
      <c r="Q16" s="136">
        <v>28.11</v>
      </c>
      <c r="R16" s="136">
        <v>28.55</v>
      </c>
      <c r="S16" s="136">
        <v>20.69</v>
      </c>
      <c r="T16" s="136">
        <v>20.25</v>
      </c>
      <c r="U16" s="136">
        <v>19.82</v>
      </c>
      <c r="V16" s="136">
        <v>19.38</v>
      </c>
      <c r="W16" s="136">
        <v>18.940000000000001</v>
      </c>
      <c r="X16" s="7">
        <v>12</v>
      </c>
      <c r="Y16" s="226">
        <v>16.649999999999999</v>
      </c>
      <c r="Z16" s="136">
        <v>13.53</v>
      </c>
      <c r="AA16" s="82">
        <v>13.84</v>
      </c>
      <c r="AB16" s="73">
        <v>14.14</v>
      </c>
      <c r="AC16" s="74">
        <v>14.45</v>
      </c>
      <c r="AD16" s="179">
        <v>16.27</v>
      </c>
      <c r="AE16" s="180">
        <v>16.57</v>
      </c>
      <c r="AF16" s="180">
        <v>16.88</v>
      </c>
      <c r="AG16" s="201">
        <v>17.190000000000001</v>
      </c>
      <c r="AH16" s="181">
        <v>17.5</v>
      </c>
      <c r="AI16" s="184">
        <v>17.809999999999999</v>
      </c>
      <c r="AJ16" s="184">
        <v>18.12</v>
      </c>
      <c r="AK16" s="184">
        <v>18.420000000000002</v>
      </c>
      <c r="AL16" s="184">
        <v>18.73</v>
      </c>
      <c r="AM16" s="184">
        <v>19.04</v>
      </c>
      <c r="AN16" s="184">
        <v>19.350000000000001</v>
      </c>
      <c r="AO16" s="136">
        <v>18.149999999999999</v>
      </c>
      <c r="AP16" s="136">
        <v>18.46</v>
      </c>
      <c r="AQ16" s="136">
        <v>18.77</v>
      </c>
      <c r="AR16" s="136">
        <v>19.079999999999998</v>
      </c>
      <c r="AS16" s="136">
        <v>13.53</v>
      </c>
      <c r="AT16" s="136">
        <v>13.22</v>
      </c>
      <c r="AU16" s="136">
        <v>12.91</v>
      </c>
      <c r="AV16" s="136">
        <v>12.6</v>
      </c>
      <c r="AW16" s="135">
        <v>12.29</v>
      </c>
    </row>
    <row r="17" spans="1:49" x14ac:dyDescent="0.45">
      <c r="A17" s="82">
        <v>22.83</v>
      </c>
      <c r="B17" s="73">
        <v>23.3</v>
      </c>
      <c r="C17" s="74">
        <v>23.77</v>
      </c>
      <c r="D17" s="179">
        <v>26.43</v>
      </c>
      <c r="E17" s="180">
        <v>26.91</v>
      </c>
      <c r="F17" s="180">
        <v>27.38</v>
      </c>
      <c r="G17" s="180">
        <v>27.85</v>
      </c>
      <c r="H17" s="181">
        <v>28.33</v>
      </c>
      <c r="I17" s="184">
        <v>28.8</v>
      </c>
      <c r="J17" s="184">
        <v>29.27</v>
      </c>
      <c r="K17" s="184">
        <v>29.75</v>
      </c>
      <c r="L17" s="184">
        <v>30.22</v>
      </c>
      <c r="M17" s="184">
        <v>30.69</v>
      </c>
      <c r="N17" s="184">
        <v>31.17</v>
      </c>
      <c r="O17" s="136">
        <v>29.45</v>
      </c>
      <c r="P17" s="136">
        <v>29.92</v>
      </c>
      <c r="Q17" s="136">
        <v>30.4</v>
      </c>
      <c r="R17" s="136">
        <v>30.87</v>
      </c>
      <c r="S17" s="136">
        <v>22.35</v>
      </c>
      <c r="T17" s="136">
        <v>21.88</v>
      </c>
      <c r="U17" s="136">
        <v>21.41</v>
      </c>
      <c r="V17" s="136">
        <v>20.93</v>
      </c>
      <c r="W17" s="136">
        <v>20.46</v>
      </c>
      <c r="X17" s="7">
        <v>13</v>
      </c>
      <c r="Y17" s="226">
        <v>17.78</v>
      </c>
      <c r="Z17" s="136">
        <v>14.49</v>
      </c>
      <c r="AA17" s="82">
        <v>14.83</v>
      </c>
      <c r="AB17" s="73">
        <v>15.16</v>
      </c>
      <c r="AC17" s="74">
        <v>15.5</v>
      </c>
      <c r="AD17" s="179">
        <v>17.39</v>
      </c>
      <c r="AE17" s="180">
        <v>17.73</v>
      </c>
      <c r="AF17" s="180">
        <v>18.059999999999999</v>
      </c>
      <c r="AG17" s="201">
        <v>18.399999999999999</v>
      </c>
      <c r="AH17" s="181">
        <v>18.73</v>
      </c>
      <c r="AI17" s="184">
        <v>19.07</v>
      </c>
      <c r="AJ17" s="184">
        <v>19.399999999999999</v>
      </c>
      <c r="AK17" s="184">
        <v>19.73</v>
      </c>
      <c r="AL17" s="184">
        <v>20.07</v>
      </c>
      <c r="AM17" s="184">
        <v>20.399999999999999</v>
      </c>
      <c r="AN17" s="184">
        <v>20.74</v>
      </c>
      <c r="AO17" s="136">
        <v>19.510000000000002</v>
      </c>
      <c r="AP17" s="136">
        <v>19.84</v>
      </c>
      <c r="AQ17" s="136">
        <v>20.170000000000002</v>
      </c>
      <c r="AR17" s="136">
        <v>20.51</v>
      </c>
      <c r="AS17" s="136">
        <v>14.49</v>
      </c>
      <c r="AT17" s="136">
        <v>14.16</v>
      </c>
      <c r="AU17" s="136">
        <v>13.83</v>
      </c>
      <c r="AV17" s="136">
        <v>13.49</v>
      </c>
      <c r="AW17" s="135">
        <v>13.16</v>
      </c>
    </row>
    <row r="18" spans="1:49" x14ac:dyDescent="0.45">
      <c r="A18" s="82">
        <v>24.53</v>
      </c>
      <c r="B18" s="73">
        <v>25.04</v>
      </c>
      <c r="C18" s="74">
        <v>25.55</v>
      </c>
      <c r="D18" s="179">
        <v>28.39</v>
      </c>
      <c r="E18" s="180">
        <v>28.9</v>
      </c>
      <c r="F18" s="180">
        <v>29.41</v>
      </c>
      <c r="G18" s="180">
        <v>29.92</v>
      </c>
      <c r="H18" s="181">
        <v>30.43</v>
      </c>
      <c r="I18" s="184">
        <v>30.94</v>
      </c>
      <c r="J18" s="184">
        <v>31.45</v>
      </c>
      <c r="K18" s="184">
        <v>31.96</v>
      </c>
      <c r="L18" s="184">
        <v>32.47</v>
      </c>
      <c r="M18" s="184">
        <v>32.979999999999997</v>
      </c>
      <c r="N18" s="184">
        <v>33.49</v>
      </c>
      <c r="O18" s="136">
        <v>31.66</v>
      </c>
      <c r="P18" s="136">
        <v>32.17</v>
      </c>
      <c r="Q18" s="136">
        <v>32.68</v>
      </c>
      <c r="R18" s="136">
        <v>33.19</v>
      </c>
      <c r="S18" s="136">
        <v>24.02</v>
      </c>
      <c r="T18" s="136">
        <v>23.51</v>
      </c>
      <c r="U18" s="136">
        <v>23</v>
      </c>
      <c r="V18" s="136">
        <v>22.49</v>
      </c>
      <c r="W18" s="136">
        <v>21.98</v>
      </c>
      <c r="X18" s="7">
        <v>14</v>
      </c>
      <c r="Y18" s="226">
        <v>18.91</v>
      </c>
      <c r="Z18" s="136">
        <v>15.46</v>
      </c>
      <c r="AA18" s="82">
        <v>15.82</v>
      </c>
      <c r="AB18" s="73">
        <v>16.18</v>
      </c>
      <c r="AC18" s="74">
        <v>16.54</v>
      </c>
      <c r="AD18" s="179">
        <v>18.52</v>
      </c>
      <c r="AE18" s="180">
        <v>18.88</v>
      </c>
      <c r="AF18" s="180">
        <v>19.239999999999998</v>
      </c>
      <c r="AG18" s="201">
        <v>19.600000000000001</v>
      </c>
      <c r="AH18" s="181">
        <v>19.96</v>
      </c>
      <c r="AI18" s="184">
        <v>20.32</v>
      </c>
      <c r="AJ18" s="184">
        <v>20.68</v>
      </c>
      <c r="AK18" s="184">
        <v>21.04</v>
      </c>
      <c r="AL18" s="184">
        <v>21.4</v>
      </c>
      <c r="AM18" s="184">
        <v>21.76</v>
      </c>
      <c r="AN18" s="184">
        <v>22.12</v>
      </c>
      <c r="AO18" s="136">
        <v>20.86</v>
      </c>
      <c r="AP18" s="136">
        <v>21.22</v>
      </c>
      <c r="AQ18" s="136">
        <v>21.58</v>
      </c>
      <c r="AR18" s="136">
        <v>21.94</v>
      </c>
      <c r="AS18" s="136">
        <v>15.46</v>
      </c>
      <c r="AT18" s="136">
        <v>15.1</v>
      </c>
      <c r="AU18" s="136">
        <v>14.74</v>
      </c>
      <c r="AV18" s="136">
        <v>14.38</v>
      </c>
      <c r="AW18" s="135">
        <v>14.02</v>
      </c>
    </row>
    <row r="19" spans="1:49" x14ac:dyDescent="0.45">
      <c r="A19" s="82">
        <v>26.22</v>
      </c>
      <c r="B19" s="73">
        <v>26.77</v>
      </c>
      <c r="C19" s="74">
        <v>27.32</v>
      </c>
      <c r="D19" s="179">
        <v>30.35</v>
      </c>
      <c r="E19" s="180">
        <v>30.9</v>
      </c>
      <c r="F19" s="180">
        <v>31.45</v>
      </c>
      <c r="G19" s="180">
        <v>31.99</v>
      </c>
      <c r="H19" s="181">
        <v>32.54</v>
      </c>
      <c r="I19" s="184">
        <v>33.08</v>
      </c>
      <c r="J19" s="184">
        <v>33.630000000000003</v>
      </c>
      <c r="K19" s="184">
        <v>34.18</v>
      </c>
      <c r="L19" s="184">
        <v>34.72</v>
      </c>
      <c r="M19" s="184">
        <v>35.270000000000003</v>
      </c>
      <c r="N19" s="184">
        <v>35.81</v>
      </c>
      <c r="O19" s="136">
        <v>33.869999999999997</v>
      </c>
      <c r="P19" s="136">
        <v>34.409999999999997</v>
      </c>
      <c r="Q19" s="136">
        <v>34.96</v>
      </c>
      <c r="R19" s="136">
        <v>35.51</v>
      </c>
      <c r="S19" s="136">
        <v>25.68</v>
      </c>
      <c r="T19" s="136">
        <v>25.13</v>
      </c>
      <c r="U19" s="136">
        <v>24.59</v>
      </c>
      <c r="V19" s="136">
        <v>24.04</v>
      </c>
      <c r="W19" s="136">
        <v>23.49</v>
      </c>
      <c r="X19" s="7">
        <v>15</v>
      </c>
      <c r="Y19" s="226">
        <v>20.09</v>
      </c>
      <c r="Z19" s="136">
        <v>16.46</v>
      </c>
      <c r="AA19" s="82">
        <v>16.850000000000001</v>
      </c>
      <c r="AB19" s="73">
        <v>17.23</v>
      </c>
      <c r="AC19" s="74">
        <v>17.62</v>
      </c>
      <c r="AD19" s="179">
        <v>19.7</v>
      </c>
      <c r="AE19" s="180">
        <v>20.09</v>
      </c>
      <c r="AF19" s="180">
        <v>20.47</v>
      </c>
      <c r="AG19" s="201">
        <v>20.86</v>
      </c>
      <c r="AH19" s="181">
        <v>21.24</v>
      </c>
      <c r="AI19" s="184">
        <v>21.63</v>
      </c>
      <c r="AJ19" s="184">
        <v>22.02</v>
      </c>
      <c r="AK19" s="184">
        <v>22.4</v>
      </c>
      <c r="AL19" s="184">
        <v>22.79</v>
      </c>
      <c r="AM19" s="184">
        <v>23.17</v>
      </c>
      <c r="AN19" s="184">
        <v>23.56</v>
      </c>
      <c r="AO19" s="136">
        <v>22.24</v>
      </c>
      <c r="AP19" s="136">
        <v>22.63</v>
      </c>
      <c r="AQ19" s="136">
        <v>23.01</v>
      </c>
      <c r="AR19" s="136">
        <v>23.4</v>
      </c>
      <c r="AS19" s="136">
        <v>16.46</v>
      </c>
      <c r="AT19" s="136">
        <v>16.07</v>
      </c>
      <c r="AU19" s="136">
        <v>15.69</v>
      </c>
      <c r="AV19" s="136">
        <v>15.3</v>
      </c>
      <c r="AW19" s="135">
        <v>14.92</v>
      </c>
    </row>
    <row r="20" spans="1:49" x14ac:dyDescent="0.45">
      <c r="A20" s="82">
        <v>27.93</v>
      </c>
      <c r="B20" s="73">
        <v>28.51</v>
      </c>
      <c r="C20" s="74">
        <v>29.09</v>
      </c>
      <c r="D20" s="179">
        <v>32.32</v>
      </c>
      <c r="E20" s="180">
        <v>32.9</v>
      </c>
      <c r="F20" s="180">
        <v>33.479999999999997</v>
      </c>
      <c r="G20" s="180">
        <v>34.06</v>
      </c>
      <c r="H20" s="181">
        <v>34.65</v>
      </c>
      <c r="I20" s="184">
        <v>35.229999999999997</v>
      </c>
      <c r="J20" s="184">
        <v>35.81</v>
      </c>
      <c r="K20" s="184">
        <v>36.39</v>
      </c>
      <c r="L20" s="184">
        <v>36.979999999999997</v>
      </c>
      <c r="M20" s="184">
        <v>37.56</v>
      </c>
      <c r="N20" s="184">
        <v>38.14</v>
      </c>
      <c r="O20" s="136">
        <v>36.08</v>
      </c>
      <c r="P20" s="136">
        <v>36.659999999999997</v>
      </c>
      <c r="Q20" s="136">
        <v>37.24</v>
      </c>
      <c r="R20" s="136">
        <v>37.83</v>
      </c>
      <c r="S20" s="136">
        <v>27.34</v>
      </c>
      <c r="T20" s="136">
        <v>26.76</v>
      </c>
      <c r="U20" s="136">
        <v>26.18</v>
      </c>
      <c r="V20" s="136">
        <v>25.6</v>
      </c>
      <c r="W20" s="136">
        <v>25.01</v>
      </c>
      <c r="X20" s="7">
        <v>16</v>
      </c>
      <c r="Y20" s="226">
        <v>21.39</v>
      </c>
      <c r="Z20" s="136">
        <v>17.53</v>
      </c>
      <c r="AA20" s="82">
        <v>17.940000000000001</v>
      </c>
      <c r="AB20" s="73">
        <v>18.350000000000001</v>
      </c>
      <c r="AC20" s="74">
        <v>18.760000000000002</v>
      </c>
      <c r="AD20" s="179">
        <v>20.98</v>
      </c>
      <c r="AE20" s="180">
        <v>21.39</v>
      </c>
      <c r="AF20" s="180">
        <v>21.8</v>
      </c>
      <c r="AG20" s="201">
        <v>22.21</v>
      </c>
      <c r="AH20" s="181">
        <v>22.62</v>
      </c>
      <c r="AI20" s="184">
        <v>23.04</v>
      </c>
      <c r="AJ20" s="184">
        <v>23.45</v>
      </c>
      <c r="AK20" s="184">
        <v>23.86</v>
      </c>
      <c r="AL20" s="184">
        <v>24.27</v>
      </c>
      <c r="AM20" s="184">
        <v>24.68</v>
      </c>
      <c r="AN20" s="184">
        <v>25.09</v>
      </c>
      <c r="AO20" s="136">
        <v>23.7</v>
      </c>
      <c r="AP20" s="136">
        <v>24.11</v>
      </c>
      <c r="AQ20" s="136">
        <v>24.52</v>
      </c>
      <c r="AR20" s="136">
        <v>24.93</v>
      </c>
      <c r="AS20" s="136">
        <v>17.53</v>
      </c>
      <c r="AT20" s="136">
        <v>17.12</v>
      </c>
      <c r="AU20" s="136">
        <v>16.71</v>
      </c>
      <c r="AV20" s="136">
        <v>16.3</v>
      </c>
      <c r="AW20" s="135">
        <v>15.89</v>
      </c>
    </row>
    <row r="21" spans="1:49" x14ac:dyDescent="0.45">
      <c r="A21" s="82">
        <v>29.62</v>
      </c>
      <c r="B21" s="73">
        <v>30.24</v>
      </c>
      <c r="C21" s="74">
        <v>30.86</v>
      </c>
      <c r="D21" s="179">
        <v>34.28</v>
      </c>
      <c r="E21" s="180">
        <v>34.89</v>
      </c>
      <c r="F21" s="180">
        <v>35.51</v>
      </c>
      <c r="G21" s="180">
        <v>36.130000000000003</v>
      </c>
      <c r="H21" s="181">
        <v>36.75</v>
      </c>
      <c r="I21" s="184">
        <v>37.369999999999997</v>
      </c>
      <c r="J21" s="184">
        <v>37.99</v>
      </c>
      <c r="K21" s="184">
        <v>38.61</v>
      </c>
      <c r="L21" s="184">
        <v>39.229999999999997</v>
      </c>
      <c r="M21" s="184">
        <v>39.840000000000003</v>
      </c>
      <c r="N21" s="184">
        <v>40.46</v>
      </c>
      <c r="O21" s="136">
        <v>38.29</v>
      </c>
      <c r="P21" s="136">
        <v>38.909999999999997</v>
      </c>
      <c r="Q21" s="136">
        <v>39.520000000000003</v>
      </c>
      <c r="R21" s="136">
        <v>40.14</v>
      </c>
      <c r="S21" s="136">
        <v>29</v>
      </c>
      <c r="T21" s="136">
        <v>28.39</v>
      </c>
      <c r="U21" s="136">
        <v>27.77</v>
      </c>
      <c r="V21" s="136">
        <v>27.15</v>
      </c>
      <c r="W21" s="136">
        <v>26.53</v>
      </c>
      <c r="X21" s="7">
        <v>17</v>
      </c>
      <c r="Y21" s="226">
        <v>22.69</v>
      </c>
      <c r="Z21" s="136">
        <v>18.600000000000001</v>
      </c>
      <c r="AA21" s="82">
        <v>19.04</v>
      </c>
      <c r="AB21" s="73">
        <v>19.48</v>
      </c>
      <c r="AC21" s="74">
        <v>19.91</v>
      </c>
      <c r="AD21" s="179">
        <v>22.26</v>
      </c>
      <c r="AE21" s="180">
        <v>22.69</v>
      </c>
      <c r="AF21" s="180">
        <v>23.13</v>
      </c>
      <c r="AG21" s="201">
        <v>23.57</v>
      </c>
      <c r="AH21" s="181">
        <v>24</v>
      </c>
      <c r="AI21" s="184">
        <v>24.44</v>
      </c>
      <c r="AJ21" s="184">
        <v>24.88</v>
      </c>
      <c r="AK21" s="184">
        <v>25.31</v>
      </c>
      <c r="AL21" s="184">
        <v>25.75</v>
      </c>
      <c r="AM21" s="184">
        <v>26.19</v>
      </c>
      <c r="AN21" s="184">
        <v>26.63</v>
      </c>
      <c r="AO21" s="136">
        <v>25.16</v>
      </c>
      <c r="AP21" s="136">
        <v>25.59</v>
      </c>
      <c r="AQ21" s="136">
        <v>26.03</v>
      </c>
      <c r="AR21" s="136">
        <v>26.47</v>
      </c>
      <c r="AS21" s="136">
        <v>18.600000000000001</v>
      </c>
      <c r="AT21" s="136">
        <v>18.170000000000002</v>
      </c>
      <c r="AU21" s="136">
        <v>17.73</v>
      </c>
      <c r="AV21" s="136">
        <v>17.29</v>
      </c>
      <c r="AW21" s="136">
        <v>16.850000000000001</v>
      </c>
    </row>
    <row r="22" spans="1:49" x14ac:dyDescent="0.45">
      <c r="A22" s="82">
        <v>31.32</v>
      </c>
      <c r="B22" s="73">
        <v>31.98</v>
      </c>
      <c r="C22" s="74">
        <v>32.630000000000003</v>
      </c>
      <c r="D22" s="179">
        <v>36.229999999999997</v>
      </c>
      <c r="E22" s="180">
        <v>36.89</v>
      </c>
      <c r="F22" s="180">
        <v>37.54</v>
      </c>
      <c r="G22" s="180">
        <v>38.200000000000003</v>
      </c>
      <c r="H22" s="181">
        <v>38.85</v>
      </c>
      <c r="I22" s="184">
        <v>39.51</v>
      </c>
      <c r="J22" s="184">
        <v>40.17</v>
      </c>
      <c r="K22" s="184">
        <v>40.82</v>
      </c>
      <c r="L22" s="184">
        <v>41.48</v>
      </c>
      <c r="M22" s="184">
        <v>42.13</v>
      </c>
      <c r="N22" s="184">
        <v>42.79</v>
      </c>
      <c r="O22" s="136">
        <v>40.49</v>
      </c>
      <c r="P22" s="136">
        <v>41.15</v>
      </c>
      <c r="Q22" s="136">
        <v>41.8</v>
      </c>
      <c r="R22" s="136">
        <v>42.46</v>
      </c>
      <c r="S22" s="136">
        <v>30.67</v>
      </c>
      <c r="T22" s="136">
        <v>30.01</v>
      </c>
      <c r="U22" s="136">
        <v>29.36</v>
      </c>
      <c r="V22" s="136">
        <v>28.7</v>
      </c>
      <c r="W22" s="136">
        <v>28.05</v>
      </c>
      <c r="X22" s="7">
        <v>18</v>
      </c>
      <c r="Y22" s="226">
        <v>23.99</v>
      </c>
      <c r="Z22" s="136">
        <v>19.670000000000002</v>
      </c>
      <c r="AA22" s="82">
        <v>20.14</v>
      </c>
      <c r="AB22" s="73">
        <v>20.6</v>
      </c>
      <c r="AC22" s="74">
        <v>21.06</v>
      </c>
      <c r="AD22" s="179">
        <v>23.53</v>
      </c>
      <c r="AE22" s="180">
        <v>24</v>
      </c>
      <c r="AF22" s="180">
        <v>24.46</v>
      </c>
      <c r="AG22" s="201">
        <v>24.92</v>
      </c>
      <c r="AH22" s="181">
        <v>25.38</v>
      </c>
      <c r="AI22" s="184">
        <v>25.85</v>
      </c>
      <c r="AJ22" s="184">
        <v>26.31</v>
      </c>
      <c r="AK22" s="184">
        <v>26.77</v>
      </c>
      <c r="AL22" s="184">
        <v>27.23</v>
      </c>
      <c r="AM22" s="184">
        <v>27.7</v>
      </c>
      <c r="AN22" s="184">
        <v>28.16</v>
      </c>
      <c r="AO22" s="136">
        <v>26.61</v>
      </c>
      <c r="AP22" s="136">
        <v>27.08</v>
      </c>
      <c r="AQ22" s="136">
        <v>27.54</v>
      </c>
      <c r="AR22" s="136">
        <v>28</v>
      </c>
      <c r="AS22" s="136">
        <v>19.670000000000002</v>
      </c>
      <c r="AT22" s="136">
        <v>19.21</v>
      </c>
      <c r="AU22" s="136">
        <v>18.75</v>
      </c>
      <c r="AV22" s="136">
        <v>18.29</v>
      </c>
      <c r="AW22" s="136">
        <v>17.82</v>
      </c>
    </row>
    <row r="23" spans="1:49" x14ac:dyDescent="0.45">
      <c r="A23" s="82">
        <v>33.020000000000003</v>
      </c>
      <c r="B23" s="73">
        <v>33.71</v>
      </c>
      <c r="C23" s="74">
        <v>34.409999999999997</v>
      </c>
      <c r="D23" s="179">
        <v>38.200000000000003</v>
      </c>
      <c r="E23" s="180">
        <v>38.89</v>
      </c>
      <c r="F23" s="180">
        <v>39.58</v>
      </c>
      <c r="G23" s="180">
        <v>40.270000000000003</v>
      </c>
      <c r="H23" s="181">
        <v>40.97</v>
      </c>
      <c r="I23" s="184">
        <v>41.66</v>
      </c>
      <c r="J23" s="184">
        <v>42.35</v>
      </c>
      <c r="K23" s="184">
        <v>43.04</v>
      </c>
      <c r="L23" s="184">
        <v>43.73</v>
      </c>
      <c r="M23" s="184">
        <v>44.42</v>
      </c>
      <c r="N23" s="184">
        <v>45.11</v>
      </c>
      <c r="O23" s="136">
        <v>42.71</v>
      </c>
      <c r="P23" s="136">
        <v>43.4</v>
      </c>
      <c r="Q23" s="136">
        <v>44.09</v>
      </c>
      <c r="R23" s="136">
        <v>44.78</v>
      </c>
      <c r="S23" s="136">
        <v>32.33</v>
      </c>
      <c r="T23" s="136">
        <v>31.64</v>
      </c>
      <c r="U23" s="136">
        <v>30.95</v>
      </c>
      <c r="V23" s="136">
        <v>30.26</v>
      </c>
      <c r="W23" s="136">
        <v>29.57</v>
      </c>
      <c r="X23" s="7">
        <v>19</v>
      </c>
      <c r="Y23" s="226">
        <v>25.29</v>
      </c>
      <c r="Z23" s="136">
        <v>20.75</v>
      </c>
      <c r="AA23" s="82">
        <v>21.23</v>
      </c>
      <c r="AB23" s="73">
        <v>21.72</v>
      </c>
      <c r="AC23" s="74">
        <v>22.21</v>
      </c>
      <c r="AD23" s="179">
        <v>24.81</v>
      </c>
      <c r="AE23" s="180">
        <v>25.3</v>
      </c>
      <c r="AF23" s="180">
        <v>25.79</v>
      </c>
      <c r="AG23" s="201">
        <v>26.28</v>
      </c>
      <c r="AH23" s="181">
        <v>26.76</v>
      </c>
      <c r="AI23" s="184">
        <v>27.25</v>
      </c>
      <c r="AJ23" s="184">
        <v>27.74</v>
      </c>
      <c r="AK23" s="184">
        <v>28.23</v>
      </c>
      <c r="AL23" s="184">
        <v>28.72</v>
      </c>
      <c r="AM23" s="184">
        <v>29.21</v>
      </c>
      <c r="AN23" s="184">
        <v>29.69</v>
      </c>
      <c r="AO23" s="136">
        <v>27.07</v>
      </c>
      <c r="AP23" s="136">
        <v>28.56</v>
      </c>
      <c r="AQ23" s="136">
        <v>29.05</v>
      </c>
      <c r="AR23" s="136">
        <v>29.53</v>
      </c>
      <c r="AS23" s="136">
        <v>20.75</v>
      </c>
      <c r="AT23" s="136">
        <v>20.260000000000002</v>
      </c>
      <c r="AU23" s="136">
        <v>19.77</v>
      </c>
      <c r="AV23" s="136">
        <v>19.28</v>
      </c>
      <c r="AW23" s="136">
        <v>18.79</v>
      </c>
    </row>
    <row r="24" spans="1:49" x14ac:dyDescent="0.45">
      <c r="A24" s="82">
        <v>34.72</v>
      </c>
      <c r="B24" s="73">
        <v>35.450000000000003</v>
      </c>
      <c r="C24" s="74">
        <v>36.18</v>
      </c>
      <c r="D24" s="179">
        <v>40.159999999999997</v>
      </c>
      <c r="E24" s="180">
        <v>40.89</v>
      </c>
      <c r="F24" s="180">
        <v>41.62</v>
      </c>
      <c r="G24" s="180">
        <v>42.34</v>
      </c>
      <c r="H24" s="181">
        <v>43.07</v>
      </c>
      <c r="I24" s="184">
        <v>43.8</v>
      </c>
      <c r="J24" s="184">
        <v>44.53</v>
      </c>
      <c r="K24" s="184">
        <v>45.26</v>
      </c>
      <c r="L24" s="184">
        <v>45.98</v>
      </c>
      <c r="M24" s="184">
        <v>46.71</v>
      </c>
      <c r="N24" s="184">
        <v>47.44</v>
      </c>
      <c r="O24" s="136">
        <v>44.91</v>
      </c>
      <c r="P24" s="136">
        <v>45.64</v>
      </c>
      <c r="Q24" s="136">
        <v>46.37</v>
      </c>
      <c r="R24" s="136">
        <v>47.1</v>
      </c>
      <c r="S24" s="136">
        <v>33.99</v>
      </c>
      <c r="T24" s="136">
        <v>33.270000000000003</v>
      </c>
      <c r="U24" s="136">
        <v>32.54</v>
      </c>
      <c r="V24" s="136">
        <v>31.81</v>
      </c>
      <c r="W24" s="136">
        <v>31.08</v>
      </c>
      <c r="X24" s="7">
        <v>20</v>
      </c>
      <c r="Y24" s="226">
        <v>26.58</v>
      </c>
      <c r="Z24" s="136">
        <v>21.82</v>
      </c>
      <c r="AA24" s="82">
        <v>22.33</v>
      </c>
      <c r="AB24" s="73">
        <v>22.84</v>
      </c>
      <c r="AC24" s="74">
        <v>23.36</v>
      </c>
      <c r="AD24" s="179">
        <v>26.09</v>
      </c>
      <c r="AE24" s="180">
        <v>26.6</v>
      </c>
      <c r="AF24" s="180">
        <v>27.12</v>
      </c>
      <c r="AG24" s="201">
        <v>27.63</v>
      </c>
      <c r="AH24" s="181">
        <v>28.14</v>
      </c>
      <c r="AI24" s="184">
        <v>28.66</v>
      </c>
      <c r="AJ24" s="184">
        <v>29.17</v>
      </c>
      <c r="AK24" s="184">
        <v>29.69</v>
      </c>
      <c r="AL24" s="184">
        <v>30.2</v>
      </c>
      <c r="AM24" s="184">
        <v>30.71</v>
      </c>
      <c r="AN24" s="184">
        <v>31.23</v>
      </c>
      <c r="AO24" s="136">
        <v>29.53</v>
      </c>
      <c r="AP24" s="136">
        <v>30.04</v>
      </c>
      <c r="AQ24" s="136">
        <v>30.55</v>
      </c>
      <c r="AR24" s="136">
        <v>31.07</v>
      </c>
      <c r="AS24" s="136">
        <v>21.82</v>
      </c>
      <c r="AT24" s="136">
        <v>21.3</v>
      </c>
      <c r="AU24" s="136">
        <v>20.79</v>
      </c>
      <c r="AV24" s="136">
        <v>20.27</v>
      </c>
      <c r="AW24" s="136">
        <v>19.760000000000002</v>
      </c>
    </row>
    <row r="25" spans="1:49" x14ac:dyDescent="0.45">
      <c r="A25" s="82">
        <v>36.42</v>
      </c>
      <c r="B25" s="73">
        <v>37.18</v>
      </c>
      <c r="C25" s="74">
        <v>37.950000000000003</v>
      </c>
      <c r="D25" s="179">
        <v>42.12</v>
      </c>
      <c r="E25" s="180">
        <v>42.88</v>
      </c>
      <c r="F25" s="180">
        <v>43.65</v>
      </c>
      <c r="G25" s="180">
        <v>44.41</v>
      </c>
      <c r="H25" s="181">
        <v>45.18</v>
      </c>
      <c r="I25" s="184">
        <v>45.94</v>
      </c>
      <c r="J25" s="184">
        <v>46.7</v>
      </c>
      <c r="K25" s="184">
        <v>47.47</v>
      </c>
      <c r="L25" s="184">
        <v>48.23</v>
      </c>
      <c r="M25" s="184">
        <v>49</v>
      </c>
      <c r="N25" s="184">
        <v>49.76</v>
      </c>
      <c r="O25" s="136">
        <v>47.12</v>
      </c>
      <c r="P25" s="136">
        <v>47.89</v>
      </c>
      <c r="Q25" s="136">
        <v>48.65</v>
      </c>
      <c r="R25" s="136">
        <v>49.41</v>
      </c>
      <c r="S25" s="136">
        <v>35.659999999999997</v>
      </c>
      <c r="T25" s="136">
        <v>34.89</v>
      </c>
      <c r="U25" s="136">
        <v>34.130000000000003</v>
      </c>
      <c r="V25" s="136">
        <v>33.36</v>
      </c>
      <c r="W25" s="136">
        <v>32.6</v>
      </c>
      <c r="X25" s="7">
        <v>21</v>
      </c>
      <c r="Y25" s="226">
        <v>27.88</v>
      </c>
      <c r="Z25" s="136">
        <v>22.89</v>
      </c>
      <c r="AA25" s="82">
        <v>23.43</v>
      </c>
      <c r="AB25" s="73">
        <v>23.97</v>
      </c>
      <c r="AC25" s="74">
        <v>24.51</v>
      </c>
      <c r="AD25" s="179">
        <v>27.37</v>
      </c>
      <c r="AE25" s="180">
        <v>27.91</v>
      </c>
      <c r="AF25" s="180">
        <v>28.45</v>
      </c>
      <c r="AG25" s="201">
        <v>28.99</v>
      </c>
      <c r="AH25" s="181">
        <v>29.53</v>
      </c>
      <c r="AI25" s="184">
        <v>30.07</v>
      </c>
      <c r="AJ25" s="184">
        <v>30.61</v>
      </c>
      <c r="AK25" s="184">
        <v>31.14</v>
      </c>
      <c r="AL25" s="184">
        <v>31.68</v>
      </c>
      <c r="AM25" s="184">
        <v>32.22</v>
      </c>
      <c r="AN25" s="184">
        <v>32.76</v>
      </c>
      <c r="AO25" s="136">
        <v>30.98</v>
      </c>
      <c r="AP25" s="136">
        <v>31.52</v>
      </c>
      <c r="AQ25" s="136">
        <v>32.06</v>
      </c>
      <c r="AR25" s="136">
        <v>32.6</v>
      </c>
      <c r="AS25" s="136">
        <v>22.89</v>
      </c>
      <c r="AT25" s="136">
        <v>22.35</v>
      </c>
      <c r="AU25" s="136">
        <v>21.81</v>
      </c>
      <c r="AV25" s="136">
        <v>21.27</v>
      </c>
      <c r="AW25" s="136">
        <v>20.73</v>
      </c>
    </row>
    <row r="26" spans="1:49" x14ac:dyDescent="0.45">
      <c r="A26" s="82">
        <v>38.119999999999997</v>
      </c>
      <c r="B26" s="73">
        <v>38.92</v>
      </c>
      <c r="C26" s="74">
        <v>39.72</v>
      </c>
      <c r="D26" s="179">
        <v>44.08</v>
      </c>
      <c r="E26" s="180">
        <v>44.88</v>
      </c>
      <c r="F26" s="180">
        <v>45.68</v>
      </c>
      <c r="G26" s="180">
        <v>46.49</v>
      </c>
      <c r="H26" s="181">
        <v>47.29</v>
      </c>
      <c r="I26" s="184">
        <v>48.09</v>
      </c>
      <c r="J26" s="184">
        <v>48.89</v>
      </c>
      <c r="K26" s="184">
        <v>49.69</v>
      </c>
      <c r="L26" s="184">
        <v>50.49</v>
      </c>
      <c r="M26" s="184">
        <v>51.29</v>
      </c>
      <c r="N26" s="184">
        <v>52.09</v>
      </c>
      <c r="O26" s="136">
        <v>49.33</v>
      </c>
      <c r="P26" s="136">
        <v>50.14</v>
      </c>
      <c r="Q26" s="136">
        <v>50.94</v>
      </c>
      <c r="R26" s="136">
        <v>51.74</v>
      </c>
      <c r="S26" s="136">
        <v>37.32</v>
      </c>
      <c r="T26" s="136">
        <v>36.520000000000003</v>
      </c>
      <c r="U26" s="136">
        <v>35.72</v>
      </c>
      <c r="V26" s="136">
        <v>34.92</v>
      </c>
      <c r="W26" s="136">
        <v>34.119999999999997</v>
      </c>
      <c r="X26" s="7">
        <v>22</v>
      </c>
      <c r="Y26" s="226">
        <v>29.18</v>
      </c>
      <c r="Z26" s="136">
        <v>23.96</v>
      </c>
      <c r="AA26" s="82">
        <v>24.52</v>
      </c>
      <c r="AB26" s="73">
        <v>25.09</v>
      </c>
      <c r="AC26" s="74">
        <v>25.65</v>
      </c>
      <c r="AD26" s="179">
        <v>28.64</v>
      </c>
      <c r="AE26" s="180">
        <v>29.21</v>
      </c>
      <c r="AF26" s="180">
        <v>29.77</v>
      </c>
      <c r="AG26" s="201">
        <v>30.34</v>
      </c>
      <c r="AH26" s="181">
        <v>30.9</v>
      </c>
      <c r="AI26" s="184">
        <v>31.47</v>
      </c>
      <c r="AJ26" s="184">
        <v>32.03</v>
      </c>
      <c r="AK26" s="184">
        <v>32.6</v>
      </c>
      <c r="AL26" s="184">
        <v>33.17</v>
      </c>
      <c r="AM26" s="184">
        <v>33.729999999999997</v>
      </c>
      <c r="AN26" s="184">
        <v>34.299999999999997</v>
      </c>
      <c r="AO26" s="136">
        <v>32.44</v>
      </c>
      <c r="AP26" s="136">
        <v>33.01</v>
      </c>
      <c r="AQ26" s="136">
        <v>33.57</v>
      </c>
      <c r="AR26" s="136">
        <v>34.14</v>
      </c>
      <c r="AS26" s="136">
        <v>23.96</v>
      </c>
      <c r="AT26" s="136">
        <v>23.39</v>
      </c>
      <c r="AU26" s="136">
        <v>22.83</v>
      </c>
      <c r="AV26" s="136">
        <v>22.26</v>
      </c>
      <c r="AW26" s="136">
        <v>21.7</v>
      </c>
    </row>
    <row r="27" spans="1:49" x14ac:dyDescent="0.45">
      <c r="A27" s="82">
        <v>39.82</v>
      </c>
      <c r="B27" s="73">
        <v>40.659999999999997</v>
      </c>
      <c r="C27" s="74">
        <v>41.49</v>
      </c>
      <c r="D27" s="179">
        <v>46.04</v>
      </c>
      <c r="E27" s="180">
        <v>46.88</v>
      </c>
      <c r="F27" s="180">
        <v>47.71</v>
      </c>
      <c r="G27" s="180">
        <v>48.55</v>
      </c>
      <c r="H27" s="181">
        <v>49.39</v>
      </c>
      <c r="I27" s="184">
        <v>50.22</v>
      </c>
      <c r="J27" s="184">
        <v>51.06</v>
      </c>
      <c r="K27" s="184">
        <v>51.9</v>
      </c>
      <c r="L27" s="184">
        <v>52.74</v>
      </c>
      <c r="M27" s="184">
        <v>53.57</v>
      </c>
      <c r="N27" s="184">
        <v>54.41</v>
      </c>
      <c r="O27" s="136">
        <v>51.54</v>
      </c>
      <c r="P27" s="136">
        <v>52.38</v>
      </c>
      <c r="Q27" s="136">
        <v>53.21</v>
      </c>
      <c r="R27" s="136">
        <v>54.05</v>
      </c>
      <c r="S27" s="136">
        <v>38.979999999999997</v>
      </c>
      <c r="T27" s="136">
        <v>38.14</v>
      </c>
      <c r="U27" s="136">
        <v>37.31</v>
      </c>
      <c r="V27" s="136">
        <v>36.47</v>
      </c>
      <c r="W27" s="136">
        <v>35.630000000000003</v>
      </c>
      <c r="X27" s="7">
        <v>23</v>
      </c>
      <c r="Y27" s="226">
        <v>30.48</v>
      </c>
      <c r="Z27" s="136">
        <v>25.03</v>
      </c>
      <c r="AA27" s="82">
        <v>25.62</v>
      </c>
      <c r="AB27" s="73">
        <v>26.21</v>
      </c>
      <c r="AC27" s="74">
        <v>26.81</v>
      </c>
      <c r="AD27" s="179">
        <v>29.92</v>
      </c>
      <c r="AE27" s="180">
        <v>30.51</v>
      </c>
      <c r="AF27" s="180">
        <v>31.1</v>
      </c>
      <c r="AG27" s="201">
        <v>31.7</v>
      </c>
      <c r="AH27" s="181">
        <v>32.29</v>
      </c>
      <c r="AI27" s="184">
        <v>32.880000000000003</v>
      </c>
      <c r="AJ27" s="184">
        <v>33.47</v>
      </c>
      <c r="AK27" s="184">
        <v>34.06</v>
      </c>
      <c r="AL27" s="184">
        <v>34.65</v>
      </c>
      <c r="AM27" s="184">
        <v>35.24</v>
      </c>
      <c r="AN27" s="184">
        <v>35.83</v>
      </c>
      <c r="AO27" s="136">
        <v>33.9</v>
      </c>
      <c r="AP27" s="136">
        <v>34.49</v>
      </c>
      <c r="AQ27" s="136">
        <v>35.08</v>
      </c>
      <c r="AR27" s="136">
        <v>35.67</v>
      </c>
      <c r="AS27" s="136">
        <v>25.03</v>
      </c>
      <c r="AT27" s="136">
        <v>24.44</v>
      </c>
      <c r="AU27" s="136">
        <v>23.85</v>
      </c>
      <c r="AV27" s="136">
        <v>23.26</v>
      </c>
      <c r="AW27" s="136">
        <v>22.67</v>
      </c>
    </row>
    <row r="28" spans="1:49" x14ac:dyDescent="0.45">
      <c r="A28" s="82">
        <v>41.52</v>
      </c>
      <c r="B28" s="73">
        <v>42.39</v>
      </c>
      <c r="C28" s="74">
        <v>43.27</v>
      </c>
      <c r="D28" s="179">
        <v>48</v>
      </c>
      <c r="E28" s="180">
        <v>48.88</v>
      </c>
      <c r="F28" s="180">
        <v>49.75</v>
      </c>
      <c r="G28" s="180">
        <v>50.62</v>
      </c>
      <c r="H28" s="181">
        <v>51.5</v>
      </c>
      <c r="I28" s="184">
        <v>52.37</v>
      </c>
      <c r="J28" s="184">
        <v>53.24</v>
      </c>
      <c r="K28" s="184">
        <v>54.12</v>
      </c>
      <c r="L28" s="184">
        <v>54.99</v>
      </c>
      <c r="M28" s="184">
        <v>55.86</v>
      </c>
      <c r="N28" s="184">
        <v>56.74</v>
      </c>
      <c r="O28" s="136">
        <v>53.75</v>
      </c>
      <c r="P28" s="136">
        <v>54.62</v>
      </c>
      <c r="Q28" s="136">
        <v>55.5</v>
      </c>
      <c r="R28" s="136">
        <v>56.37</v>
      </c>
      <c r="S28" s="136">
        <v>40.65</v>
      </c>
      <c r="T28" s="136">
        <v>39.770000000000003</v>
      </c>
      <c r="U28" s="136">
        <v>38.9</v>
      </c>
      <c r="V28" s="136">
        <v>38.03</v>
      </c>
      <c r="W28" s="136">
        <v>37.15</v>
      </c>
      <c r="X28" s="7">
        <v>24</v>
      </c>
      <c r="Y28" s="226">
        <v>31.78</v>
      </c>
      <c r="Z28" s="136">
        <v>26.1</v>
      </c>
      <c r="AA28" s="82">
        <v>26.72</v>
      </c>
      <c r="AB28" s="73">
        <v>27.34</v>
      </c>
      <c r="AC28" s="74">
        <v>27.95</v>
      </c>
      <c r="AD28" s="179">
        <v>31.2</v>
      </c>
      <c r="AE28" s="180">
        <v>31.81</v>
      </c>
      <c r="AF28" s="180">
        <v>32.43</v>
      </c>
      <c r="AG28" s="201">
        <v>33.049999999999997</v>
      </c>
      <c r="AH28" s="181">
        <v>33.659999999999997</v>
      </c>
      <c r="AI28" s="184">
        <v>34.28</v>
      </c>
      <c r="AJ28" s="184">
        <v>34.9</v>
      </c>
      <c r="AK28" s="184">
        <v>35.520000000000003</v>
      </c>
      <c r="AL28" s="184">
        <v>36.130000000000003</v>
      </c>
      <c r="AM28" s="184">
        <v>36.75</v>
      </c>
      <c r="AN28" s="184">
        <v>37.369999999999997</v>
      </c>
      <c r="AO28" s="136">
        <v>35.35</v>
      </c>
      <c r="AP28" s="136">
        <v>35.97</v>
      </c>
      <c r="AQ28" s="136">
        <v>36.590000000000003</v>
      </c>
      <c r="AR28" s="136">
        <v>37.200000000000003</v>
      </c>
      <c r="AS28" s="136">
        <v>26.1</v>
      </c>
      <c r="AT28" s="136">
        <v>25.49</v>
      </c>
      <c r="AU28" s="136">
        <v>24.87</v>
      </c>
      <c r="AV28" s="136">
        <v>24.25</v>
      </c>
      <c r="AW28" s="136">
        <v>23.63</v>
      </c>
    </row>
    <row r="29" spans="1:49" x14ac:dyDescent="0.45">
      <c r="A29" s="82">
        <v>43.22</v>
      </c>
      <c r="B29" s="73">
        <v>44.13</v>
      </c>
      <c r="C29" s="74">
        <v>45.04</v>
      </c>
      <c r="D29" s="179">
        <v>49.97</v>
      </c>
      <c r="E29" s="180">
        <v>50.88</v>
      </c>
      <c r="F29" s="180">
        <v>51.79</v>
      </c>
      <c r="G29" s="180">
        <v>52.7</v>
      </c>
      <c r="H29" s="181">
        <v>53.61</v>
      </c>
      <c r="I29" s="184">
        <v>54.52</v>
      </c>
      <c r="J29" s="184">
        <v>55.43</v>
      </c>
      <c r="K29" s="184">
        <v>56.34</v>
      </c>
      <c r="L29" s="184">
        <v>57.25</v>
      </c>
      <c r="M29" s="184">
        <v>58.16</v>
      </c>
      <c r="N29" s="184">
        <v>59.07</v>
      </c>
      <c r="O29" s="136">
        <v>55.96</v>
      </c>
      <c r="P29" s="136">
        <v>56.87</v>
      </c>
      <c r="Q29" s="136">
        <v>57.78</v>
      </c>
      <c r="R29" s="136">
        <v>58.69</v>
      </c>
      <c r="S29" s="136">
        <v>42.31</v>
      </c>
      <c r="T29" s="136">
        <v>41.4</v>
      </c>
      <c r="U29" s="136">
        <v>40.49</v>
      </c>
      <c r="V29" s="136">
        <v>39.58</v>
      </c>
      <c r="W29" s="136">
        <v>38.67</v>
      </c>
      <c r="X29" s="7">
        <v>25</v>
      </c>
      <c r="Y29" s="136">
        <v>26.53</v>
      </c>
      <c r="Z29" s="136">
        <v>27.17</v>
      </c>
      <c r="AA29" s="82">
        <v>27.82</v>
      </c>
      <c r="AB29" s="73">
        <v>28.46</v>
      </c>
      <c r="AC29" s="74">
        <v>29.1</v>
      </c>
      <c r="AD29" s="179">
        <v>32.479999999999997</v>
      </c>
      <c r="AE29" s="180">
        <v>33.119999999999997</v>
      </c>
      <c r="AF29" s="180">
        <v>33.76</v>
      </c>
      <c r="AG29" s="201">
        <v>34.4</v>
      </c>
      <c r="AH29" s="181">
        <v>35.049999999999997</v>
      </c>
      <c r="AI29" s="184">
        <v>35.69</v>
      </c>
      <c r="AJ29" s="184">
        <v>36.33</v>
      </c>
      <c r="AK29" s="184">
        <v>36.97</v>
      </c>
      <c r="AL29" s="184">
        <v>37.619999999999997</v>
      </c>
      <c r="AM29" s="184">
        <v>38.26</v>
      </c>
      <c r="AN29" s="184">
        <v>38.9</v>
      </c>
      <c r="AO29" s="136">
        <v>36.81</v>
      </c>
      <c r="AP29" s="136">
        <v>37.450000000000003</v>
      </c>
      <c r="AQ29" s="136">
        <v>38.1</v>
      </c>
      <c r="AR29" s="136">
        <v>38.74</v>
      </c>
      <c r="AS29" s="136">
        <v>27.17</v>
      </c>
      <c r="AT29" s="136">
        <v>26.53</v>
      </c>
      <c r="AU29" s="136">
        <v>25.89</v>
      </c>
      <c r="AV29" s="136">
        <v>25.25</v>
      </c>
      <c r="AW29" s="136">
        <v>24.6</v>
      </c>
    </row>
    <row r="30" spans="1:49" x14ac:dyDescent="0.45">
      <c r="A30" s="82">
        <v>44.92</v>
      </c>
      <c r="B30" s="73">
        <v>45.87</v>
      </c>
      <c r="C30" s="74">
        <v>46.81</v>
      </c>
      <c r="D30" s="179">
        <v>51.92</v>
      </c>
      <c r="E30" s="180">
        <v>52.87</v>
      </c>
      <c r="F30" s="180">
        <v>53.82</v>
      </c>
      <c r="G30" s="180">
        <v>54.76</v>
      </c>
      <c r="H30" s="181">
        <v>55.71</v>
      </c>
      <c r="I30" s="184">
        <v>56.66</v>
      </c>
      <c r="J30" s="184">
        <v>57.6</v>
      </c>
      <c r="K30" s="184">
        <v>58.55</v>
      </c>
      <c r="L30" s="184">
        <v>59.5</v>
      </c>
      <c r="M30" s="184">
        <v>60.44</v>
      </c>
      <c r="N30" s="184">
        <v>61.39</v>
      </c>
      <c r="O30" s="136">
        <v>58.17</v>
      </c>
      <c r="P30" s="136">
        <v>59.12</v>
      </c>
      <c r="Q30" s="136">
        <v>60.06</v>
      </c>
      <c r="R30" s="136">
        <v>61.01</v>
      </c>
      <c r="S30" s="136">
        <v>43.97</v>
      </c>
      <c r="T30" s="136">
        <v>43.03</v>
      </c>
      <c r="U30" s="136">
        <v>42.08</v>
      </c>
      <c r="V30" s="136">
        <v>41.13</v>
      </c>
      <c r="W30" s="136">
        <v>40.19</v>
      </c>
      <c r="X30" s="7">
        <v>26</v>
      </c>
      <c r="Y30" s="136">
        <v>27.58</v>
      </c>
      <c r="Z30" s="136">
        <v>28.24</v>
      </c>
      <c r="AA30" s="82">
        <v>28.91</v>
      </c>
      <c r="AB30" s="73">
        <v>29.58</v>
      </c>
      <c r="AC30" s="74">
        <v>30.25</v>
      </c>
      <c r="AD30" s="179">
        <v>33.75</v>
      </c>
      <c r="AE30" s="180">
        <v>34.42</v>
      </c>
      <c r="AF30" s="180">
        <v>35.090000000000003</v>
      </c>
      <c r="AG30" s="201">
        <v>35.76</v>
      </c>
      <c r="AH30" s="181">
        <v>36.42</v>
      </c>
      <c r="AI30" s="184">
        <v>37.090000000000003</v>
      </c>
      <c r="AJ30" s="184">
        <v>37.76</v>
      </c>
      <c r="AK30" s="184">
        <v>38.43</v>
      </c>
      <c r="AL30" s="184">
        <v>39.1</v>
      </c>
      <c r="AM30" s="184">
        <v>39.770000000000003</v>
      </c>
      <c r="AN30" s="184">
        <v>40.43</v>
      </c>
      <c r="AO30" s="136">
        <v>38.270000000000003</v>
      </c>
      <c r="AP30" s="136">
        <v>38.94</v>
      </c>
      <c r="AQ30" s="136">
        <v>39.6</v>
      </c>
      <c r="AR30" s="136">
        <v>40.270000000000003</v>
      </c>
      <c r="AS30" s="136">
        <v>28.24</v>
      </c>
      <c r="AT30" s="136">
        <v>27.58</v>
      </c>
      <c r="AU30" s="136">
        <v>26.91</v>
      </c>
      <c r="AV30" s="136">
        <v>26.24</v>
      </c>
      <c r="AW30" s="136">
        <v>25.57</v>
      </c>
    </row>
    <row r="31" spans="1:49" x14ac:dyDescent="0.45">
      <c r="A31" s="82">
        <v>46.62</v>
      </c>
      <c r="B31" s="73">
        <v>47.6</v>
      </c>
      <c r="C31" s="74">
        <v>48.59</v>
      </c>
      <c r="D31" s="179">
        <v>53.89</v>
      </c>
      <c r="E31" s="180">
        <v>54.87</v>
      </c>
      <c r="F31" s="180">
        <v>55.85</v>
      </c>
      <c r="G31" s="180">
        <v>56.84</v>
      </c>
      <c r="H31" s="181">
        <v>57.82</v>
      </c>
      <c r="I31" s="184">
        <v>58.8</v>
      </c>
      <c r="J31" s="184">
        <v>59.78</v>
      </c>
      <c r="K31" s="184">
        <v>60.77</v>
      </c>
      <c r="L31" s="184">
        <v>61.75</v>
      </c>
      <c r="M31" s="184">
        <v>62.73</v>
      </c>
      <c r="N31" s="184">
        <v>63.71</v>
      </c>
      <c r="O31" s="136">
        <v>60.38</v>
      </c>
      <c r="P31" s="136">
        <v>61.36</v>
      </c>
      <c r="Q31" s="136">
        <v>62.35</v>
      </c>
      <c r="R31" s="136">
        <v>63.33</v>
      </c>
      <c r="S31" s="136">
        <v>45.64</v>
      </c>
      <c r="T31" s="136">
        <v>44.65</v>
      </c>
      <c r="U31" s="136">
        <v>43.67</v>
      </c>
      <c r="V31" s="136">
        <v>42.69</v>
      </c>
      <c r="W31" s="136">
        <v>41.71</v>
      </c>
      <c r="X31" s="7">
        <v>27</v>
      </c>
      <c r="Y31" s="136">
        <v>28.62</v>
      </c>
      <c r="Z31" s="136">
        <v>29.32</v>
      </c>
      <c r="AA31" s="82">
        <v>30.01</v>
      </c>
      <c r="AB31" s="73">
        <v>30.7</v>
      </c>
      <c r="AC31" s="74">
        <v>31.4</v>
      </c>
      <c r="AD31" s="179">
        <v>35.03</v>
      </c>
      <c r="AE31" s="180">
        <v>35.72</v>
      </c>
      <c r="AF31" s="180">
        <v>36.42</v>
      </c>
      <c r="AG31" s="201">
        <v>37.11</v>
      </c>
      <c r="AH31" s="181">
        <v>37.799999999999997</v>
      </c>
      <c r="AI31" s="184">
        <v>38.5</v>
      </c>
      <c r="AJ31" s="184">
        <v>39.19</v>
      </c>
      <c r="AK31" s="184">
        <v>39.89</v>
      </c>
      <c r="AL31" s="184">
        <v>40.58</v>
      </c>
      <c r="AM31" s="184">
        <v>41.27</v>
      </c>
      <c r="AN31" s="184">
        <v>41.97</v>
      </c>
      <c r="AO31" s="136">
        <v>39.72</v>
      </c>
      <c r="AP31" s="136">
        <v>40.42</v>
      </c>
      <c r="AQ31" s="136">
        <v>41.11</v>
      </c>
      <c r="AR31" s="136">
        <v>41.81</v>
      </c>
      <c r="AS31" s="136">
        <v>29.32</v>
      </c>
      <c r="AT31" s="136">
        <v>28.62</v>
      </c>
      <c r="AU31" s="136">
        <v>27.93</v>
      </c>
      <c r="AV31" s="136">
        <v>27.23</v>
      </c>
      <c r="AW31" s="136">
        <v>26.54</v>
      </c>
    </row>
    <row r="32" spans="1:49" x14ac:dyDescent="0.45">
      <c r="A32" s="82">
        <v>48.32</v>
      </c>
      <c r="B32" s="73">
        <v>49.34</v>
      </c>
      <c r="C32" s="74">
        <v>50.36</v>
      </c>
      <c r="D32" s="179">
        <v>55.85</v>
      </c>
      <c r="E32" s="180">
        <v>56.87</v>
      </c>
      <c r="F32" s="180">
        <v>57.89</v>
      </c>
      <c r="G32" s="180">
        <v>58.91</v>
      </c>
      <c r="H32" s="181">
        <v>59.93</v>
      </c>
      <c r="I32" s="184">
        <v>60.95</v>
      </c>
      <c r="J32" s="184">
        <v>61.96</v>
      </c>
      <c r="K32" s="184">
        <v>62.98</v>
      </c>
      <c r="L32" s="184">
        <v>64</v>
      </c>
      <c r="M32" s="184">
        <v>65.02</v>
      </c>
      <c r="N32" s="184">
        <v>66.040000000000006</v>
      </c>
      <c r="O32" s="136">
        <v>62.59</v>
      </c>
      <c r="P32" s="136">
        <v>63.61</v>
      </c>
      <c r="Q32" s="136">
        <v>64.63</v>
      </c>
      <c r="R32" s="136">
        <v>65.650000000000006</v>
      </c>
      <c r="S32" s="136">
        <v>47.3</v>
      </c>
      <c r="T32" s="136">
        <v>46.28</v>
      </c>
      <c r="U32" s="136">
        <v>45.26</v>
      </c>
      <c r="V32" s="136">
        <v>44.24</v>
      </c>
      <c r="W32" s="136">
        <v>43.23</v>
      </c>
      <c r="X32" s="7">
        <v>28</v>
      </c>
      <c r="Y32" s="136">
        <v>29.67</v>
      </c>
      <c r="Z32" s="136">
        <v>30.39</v>
      </c>
      <c r="AA32" s="82">
        <v>31.11</v>
      </c>
      <c r="AB32" s="73">
        <v>31.83</v>
      </c>
      <c r="AC32" s="74">
        <v>32.549999999999997</v>
      </c>
      <c r="AD32" s="179">
        <v>36.31</v>
      </c>
      <c r="AE32" s="180">
        <v>37.03</v>
      </c>
      <c r="AF32" s="180">
        <v>37.75</v>
      </c>
      <c r="AG32" s="201">
        <v>38.47</v>
      </c>
      <c r="AH32" s="181">
        <v>39.19</v>
      </c>
      <c r="AI32" s="184">
        <v>39.909999999999997</v>
      </c>
      <c r="AJ32" s="184">
        <v>40.630000000000003</v>
      </c>
      <c r="AK32" s="184">
        <v>41.35</v>
      </c>
      <c r="AL32" s="184">
        <v>42.07</v>
      </c>
      <c r="AM32" s="184">
        <v>42.79</v>
      </c>
      <c r="AN32" s="184">
        <v>43.51</v>
      </c>
      <c r="AO32" s="136">
        <v>41.18</v>
      </c>
      <c r="AP32" s="136">
        <v>41.9</v>
      </c>
      <c r="AQ32" s="136">
        <v>42.62</v>
      </c>
      <c r="AR32" s="136">
        <v>43.34</v>
      </c>
      <c r="AS32" s="136">
        <v>30.39</v>
      </c>
      <c r="AT32" s="136">
        <v>29.67</v>
      </c>
      <c r="AU32" s="136">
        <v>28.95</v>
      </c>
      <c r="AV32" s="136">
        <v>28.23</v>
      </c>
      <c r="AW32" s="136">
        <v>27.51</v>
      </c>
    </row>
    <row r="33" spans="1:49" x14ac:dyDescent="0.45">
      <c r="A33" s="82">
        <v>50.01</v>
      </c>
      <c r="B33" s="73">
        <v>51.07</v>
      </c>
      <c r="C33" s="74">
        <v>52.12</v>
      </c>
      <c r="D33" s="179">
        <v>57.8</v>
      </c>
      <c r="E33" s="180">
        <v>58.85</v>
      </c>
      <c r="F33" s="180">
        <v>59.91</v>
      </c>
      <c r="G33" s="180">
        <v>60.97</v>
      </c>
      <c r="H33" s="181">
        <v>62.02</v>
      </c>
      <c r="I33" s="184">
        <v>63.08</v>
      </c>
      <c r="J33" s="184">
        <v>64.13</v>
      </c>
      <c r="K33" s="184">
        <v>65.19</v>
      </c>
      <c r="L33" s="184">
        <v>66.239999999999995</v>
      </c>
      <c r="M33" s="184">
        <v>67.3</v>
      </c>
      <c r="N33" s="184">
        <v>68.36</v>
      </c>
      <c r="O33" s="136">
        <v>64.790000000000006</v>
      </c>
      <c r="P33" s="136">
        <v>65.849999999999994</v>
      </c>
      <c r="Q33" s="136">
        <v>66.900000000000006</v>
      </c>
      <c r="R33" s="136">
        <v>67.959999999999994</v>
      </c>
      <c r="S33" s="136">
        <v>48.96</v>
      </c>
      <c r="T33" s="136">
        <v>47.9</v>
      </c>
      <c r="U33" s="136">
        <v>46.85</v>
      </c>
      <c r="V33" s="136">
        <v>45.79</v>
      </c>
      <c r="W33" s="136">
        <v>44.73</v>
      </c>
      <c r="X33" s="7">
        <v>29</v>
      </c>
      <c r="Y33" s="136">
        <v>30.71</v>
      </c>
      <c r="Z33" s="136">
        <v>31.46</v>
      </c>
      <c r="AA33" s="82">
        <v>32.200000000000003</v>
      </c>
      <c r="AB33" s="73">
        <v>32.950000000000003</v>
      </c>
      <c r="AC33" s="74">
        <v>33.69</v>
      </c>
      <c r="AD33" s="179">
        <v>37.58</v>
      </c>
      <c r="AE33" s="180">
        <v>38.33</v>
      </c>
      <c r="AF33" s="180">
        <v>39.07</v>
      </c>
      <c r="AG33" s="201">
        <v>39.82</v>
      </c>
      <c r="AH33" s="181">
        <v>40.56</v>
      </c>
      <c r="AI33" s="184">
        <v>41.31</v>
      </c>
      <c r="AJ33" s="184">
        <v>42.06</v>
      </c>
      <c r="AK33" s="184">
        <v>42.8</v>
      </c>
      <c r="AL33" s="184">
        <v>43.55</v>
      </c>
      <c r="AM33" s="184">
        <v>44.29</v>
      </c>
      <c r="AN33" s="184">
        <v>45.04</v>
      </c>
      <c r="AO33" s="136">
        <v>42.64</v>
      </c>
      <c r="AP33" s="136">
        <v>43.38</v>
      </c>
      <c r="AQ33" s="136">
        <v>44.13</v>
      </c>
      <c r="AR33" s="136">
        <v>44.87</v>
      </c>
      <c r="AS33" s="136">
        <v>31.46</v>
      </c>
      <c r="AT33" s="136">
        <v>30.71</v>
      </c>
      <c r="AU33" s="136">
        <v>29.97</v>
      </c>
      <c r="AV33" s="136">
        <v>29.22</v>
      </c>
      <c r="AW33" s="136">
        <v>28.48</v>
      </c>
    </row>
    <row r="34" spans="1:49" x14ac:dyDescent="0.45">
      <c r="A34" s="82">
        <v>51.72</v>
      </c>
      <c r="B34" s="73">
        <v>52.81</v>
      </c>
      <c r="C34" s="74">
        <v>53.9</v>
      </c>
      <c r="D34" s="179">
        <v>59.77</v>
      </c>
      <c r="E34" s="180">
        <v>60.86</v>
      </c>
      <c r="F34" s="180">
        <v>61.95</v>
      </c>
      <c r="G34" s="180">
        <v>63.05</v>
      </c>
      <c r="H34" s="181">
        <v>64.14</v>
      </c>
      <c r="I34" s="184">
        <v>65.23</v>
      </c>
      <c r="J34" s="184">
        <v>66.319999999999993</v>
      </c>
      <c r="K34" s="184">
        <v>67.41</v>
      </c>
      <c r="L34" s="184">
        <v>68.510000000000005</v>
      </c>
      <c r="M34" s="184">
        <v>69.599999999999994</v>
      </c>
      <c r="N34" s="184">
        <v>70.69</v>
      </c>
      <c r="O34" s="136">
        <v>67.010000000000005</v>
      </c>
      <c r="P34" s="136">
        <v>68.099999999999994</v>
      </c>
      <c r="Q34" s="136">
        <v>69.19</v>
      </c>
      <c r="R34" s="136">
        <v>70.28</v>
      </c>
      <c r="S34" s="136">
        <v>50.63</v>
      </c>
      <c r="T34" s="136">
        <v>49.53</v>
      </c>
      <c r="U34" s="136">
        <v>48.44</v>
      </c>
      <c r="V34" s="136">
        <v>47.35</v>
      </c>
      <c r="W34" s="136">
        <v>46.26</v>
      </c>
      <c r="X34" s="7">
        <v>30</v>
      </c>
      <c r="Y34" s="136">
        <v>31.76</v>
      </c>
      <c r="Z34" s="136">
        <v>32.53</v>
      </c>
      <c r="AA34" s="82">
        <v>33.299999999999997</v>
      </c>
      <c r="AB34" s="73">
        <v>34.07</v>
      </c>
      <c r="AC34" s="74">
        <v>34.840000000000003</v>
      </c>
      <c r="AD34" s="179">
        <v>38.86</v>
      </c>
      <c r="AE34" s="180">
        <v>39.630000000000003</v>
      </c>
      <c r="AF34" s="180">
        <v>40.409999999999997</v>
      </c>
      <c r="AG34" s="201">
        <v>41.18</v>
      </c>
      <c r="AH34" s="181">
        <v>41.95</v>
      </c>
      <c r="AI34" s="184">
        <v>42.72</v>
      </c>
      <c r="AJ34" s="184">
        <v>43.49</v>
      </c>
      <c r="AK34" s="184">
        <v>44.26</v>
      </c>
      <c r="AL34" s="184">
        <v>45.03</v>
      </c>
      <c r="AM34" s="184">
        <v>45.8</v>
      </c>
      <c r="AN34" s="184">
        <v>46.57</v>
      </c>
      <c r="AO34" s="136">
        <v>44.1</v>
      </c>
      <c r="AP34" s="136">
        <v>44.87</v>
      </c>
      <c r="AQ34" s="136">
        <v>45.64</v>
      </c>
      <c r="AR34" s="136">
        <v>46.41</v>
      </c>
      <c r="AS34" s="136">
        <v>32.53</v>
      </c>
      <c r="AT34" s="136">
        <v>31.76</v>
      </c>
      <c r="AU34" s="136">
        <v>30.99</v>
      </c>
      <c r="AV34" s="136">
        <v>30.22</v>
      </c>
      <c r="AW34" s="136">
        <v>29.45</v>
      </c>
    </row>
    <row r="35" spans="1:49" x14ac:dyDescent="0.45">
      <c r="A35" s="82">
        <v>53.41</v>
      </c>
      <c r="B35" s="73">
        <v>54.54</v>
      </c>
      <c r="C35" s="74">
        <v>55.67</v>
      </c>
      <c r="D35" s="179">
        <v>61.72</v>
      </c>
      <c r="E35" s="180">
        <v>62.85</v>
      </c>
      <c r="F35" s="180">
        <v>63.98</v>
      </c>
      <c r="G35" s="180">
        <v>65.11</v>
      </c>
      <c r="H35" s="181">
        <v>66.23</v>
      </c>
      <c r="I35" s="184">
        <v>67.36</v>
      </c>
      <c r="J35" s="184">
        <v>68.489999999999995</v>
      </c>
      <c r="K35" s="184">
        <v>69.62</v>
      </c>
      <c r="L35" s="184">
        <v>70.75</v>
      </c>
      <c r="M35" s="184">
        <v>71.88</v>
      </c>
      <c r="N35" s="184">
        <v>73</v>
      </c>
      <c r="O35" s="136">
        <v>69.209999999999994</v>
      </c>
      <c r="P35" s="136">
        <v>70.34</v>
      </c>
      <c r="Q35" s="136">
        <v>71.47</v>
      </c>
      <c r="R35" s="136">
        <v>72.59</v>
      </c>
      <c r="S35" s="136">
        <v>52.28</v>
      </c>
      <c r="T35" s="136">
        <v>51.15</v>
      </c>
      <c r="U35" s="136">
        <v>50.03</v>
      </c>
      <c r="V35" s="136">
        <v>48.9</v>
      </c>
      <c r="W35" s="136">
        <v>47.77</v>
      </c>
      <c r="X35" s="7">
        <v>31</v>
      </c>
      <c r="Y35" s="136">
        <v>32.81</v>
      </c>
      <c r="Z35" s="136">
        <v>33.6</v>
      </c>
      <c r="AA35" s="82">
        <v>34.4</v>
      </c>
      <c r="AB35" s="73">
        <v>35.200000000000003</v>
      </c>
      <c r="AC35" s="74">
        <v>35.99</v>
      </c>
      <c r="AD35" s="179">
        <v>40.14</v>
      </c>
      <c r="AE35" s="180">
        <v>40.94</v>
      </c>
      <c r="AF35" s="180">
        <v>41.73</v>
      </c>
      <c r="AG35" s="201">
        <v>42.53</v>
      </c>
      <c r="AH35" s="181">
        <v>43.33</v>
      </c>
      <c r="AI35" s="184">
        <v>44.12</v>
      </c>
      <c r="AJ35" s="184">
        <v>44.92</v>
      </c>
      <c r="AK35" s="184">
        <v>45.72</v>
      </c>
      <c r="AL35" s="184">
        <v>46.51</v>
      </c>
      <c r="AM35" s="184">
        <v>47.31</v>
      </c>
      <c r="AN35" s="184">
        <v>48.11</v>
      </c>
      <c r="AO35" s="136">
        <v>45.55</v>
      </c>
      <c r="AP35" s="136">
        <v>46.35</v>
      </c>
      <c r="AQ35" s="136">
        <v>47.15</v>
      </c>
      <c r="AR35" s="136">
        <v>47.94</v>
      </c>
      <c r="AS35" s="136">
        <v>33.6</v>
      </c>
      <c r="AT35" s="136">
        <v>32.81</v>
      </c>
      <c r="AU35" s="136">
        <v>32.01</v>
      </c>
      <c r="AV35" s="136">
        <v>31.21</v>
      </c>
      <c r="AW35" s="136">
        <v>30.42</v>
      </c>
    </row>
    <row r="36" spans="1:49" x14ac:dyDescent="0.45">
      <c r="A36" s="84">
        <v>55.12</v>
      </c>
      <c r="B36" s="85">
        <v>56.28</v>
      </c>
      <c r="C36" s="86">
        <v>57.45</v>
      </c>
      <c r="D36" s="185">
        <v>63.69</v>
      </c>
      <c r="E36" s="186">
        <v>64.86</v>
      </c>
      <c r="F36" s="186">
        <v>66.02</v>
      </c>
      <c r="G36" s="186">
        <v>67.19</v>
      </c>
      <c r="H36" s="187">
        <v>68.349999999999994</v>
      </c>
      <c r="I36" s="184">
        <v>69.52</v>
      </c>
      <c r="J36" s="184">
        <v>70.680000000000007</v>
      </c>
      <c r="K36" s="184">
        <v>71.84</v>
      </c>
      <c r="L36" s="184">
        <v>73.010000000000005</v>
      </c>
      <c r="M36" s="184">
        <v>74.17</v>
      </c>
      <c r="N36" s="184">
        <v>75.34</v>
      </c>
      <c r="O36" s="136">
        <v>71.430000000000007</v>
      </c>
      <c r="P36" s="136">
        <v>72.59</v>
      </c>
      <c r="Q36" s="136">
        <v>73.75</v>
      </c>
      <c r="R36" s="136">
        <v>74.92</v>
      </c>
      <c r="S36" s="136">
        <v>53.95</v>
      </c>
      <c r="T36" s="136">
        <v>52.79</v>
      </c>
      <c r="U36" s="136">
        <v>51.62</v>
      </c>
      <c r="V36" s="136">
        <v>50.46</v>
      </c>
      <c r="W36" s="136">
        <v>49.29</v>
      </c>
      <c r="X36" s="7">
        <v>32</v>
      </c>
      <c r="Y36" s="136">
        <v>33.85</v>
      </c>
      <c r="Z36" s="136">
        <v>34.67</v>
      </c>
      <c r="AA36" s="84">
        <v>35.5</v>
      </c>
      <c r="AB36" s="85">
        <v>36.32</v>
      </c>
      <c r="AC36" s="74">
        <v>37.14</v>
      </c>
      <c r="AD36" s="185">
        <v>41.42</v>
      </c>
      <c r="AE36" s="186">
        <v>42.24</v>
      </c>
      <c r="AF36" s="186">
        <v>43.06</v>
      </c>
      <c r="AG36" s="201">
        <v>43.88</v>
      </c>
      <c r="AH36" s="187">
        <v>44.71</v>
      </c>
      <c r="AI36" s="184">
        <v>45.53</v>
      </c>
      <c r="AJ36" s="184">
        <v>46.35</v>
      </c>
      <c r="AK36" s="184">
        <v>47.17</v>
      </c>
      <c r="AL36" s="184">
        <v>48</v>
      </c>
      <c r="AM36" s="184">
        <v>48.82</v>
      </c>
      <c r="AN36" s="184">
        <v>49.64</v>
      </c>
      <c r="AO36" s="136">
        <v>47.01</v>
      </c>
      <c r="AP36" s="136">
        <v>47.83</v>
      </c>
      <c r="AQ36" s="136">
        <v>48.65</v>
      </c>
      <c r="AR36" s="136">
        <v>49.48</v>
      </c>
      <c r="AS36" s="136">
        <v>34.67</v>
      </c>
      <c r="AT36" s="136">
        <v>33.85</v>
      </c>
      <c r="AU36" s="136">
        <v>33.03</v>
      </c>
      <c r="AV36" s="136">
        <v>32.21</v>
      </c>
      <c r="AW36" s="136">
        <v>31.38</v>
      </c>
    </row>
    <row r="37" spans="1:49" x14ac:dyDescent="0.45">
      <c r="A37" s="2">
        <v>56.82</v>
      </c>
      <c r="B37" s="15">
        <v>58.02</v>
      </c>
      <c r="C37" s="3">
        <v>59.22</v>
      </c>
      <c r="D37" s="188">
        <v>65.650000000000006</v>
      </c>
      <c r="E37" s="189">
        <v>66.849999999999994</v>
      </c>
      <c r="F37" s="189">
        <v>68.05</v>
      </c>
      <c r="G37" s="189">
        <v>69.260000000000005</v>
      </c>
      <c r="H37" s="190">
        <v>70.459999999999994</v>
      </c>
      <c r="I37" s="184">
        <v>71.66</v>
      </c>
      <c r="J37" s="184">
        <v>72.86</v>
      </c>
      <c r="K37" s="184">
        <v>74.06</v>
      </c>
      <c r="L37" s="184">
        <v>75.260000000000005</v>
      </c>
      <c r="M37" s="184">
        <v>76.459999999999994</v>
      </c>
      <c r="N37" s="184">
        <v>77.66</v>
      </c>
      <c r="O37" s="136">
        <v>73.63</v>
      </c>
      <c r="P37" s="136">
        <v>74.84</v>
      </c>
      <c r="Q37" s="136">
        <v>76.040000000000006</v>
      </c>
      <c r="R37" s="136">
        <v>77.239999999999995</v>
      </c>
      <c r="S37" s="136">
        <v>55.62</v>
      </c>
      <c r="T37" s="136">
        <v>54.42</v>
      </c>
      <c r="U37" s="136">
        <v>53.21</v>
      </c>
      <c r="V37" s="136">
        <v>52.01</v>
      </c>
      <c r="W37" s="136">
        <v>50.81</v>
      </c>
      <c r="X37" s="7">
        <v>33</v>
      </c>
      <c r="Y37" s="136">
        <v>34.9</v>
      </c>
      <c r="Z37" s="136">
        <v>35.74</v>
      </c>
      <c r="AA37" s="2">
        <v>36.590000000000003</v>
      </c>
      <c r="AB37" s="15">
        <v>37.44</v>
      </c>
      <c r="AC37" s="86">
        <v>38.29</v>
      </c>
      <c r="AD37" s="188">
        <v>42.69</v>
      </c>
      <c r="AE37" s="189">
        <v>43.54</v>
      </c>
      <c r="AF37" s="189">
        <v>44.39</v>
      </c>
      <c r="AG37" s="201">
        <v>45.24</v>
      </c>
      <c r="AH37" s="190">
        <v>46.09</v>
      </c>
      <c r="AI37" s="184">
        <v>46.93</v>
      </c>
      <c r="AJ37" s="184">
        <v>47.78</v>
      </c>
      <c r="AK37" s="184">
        <v>48.63</v>
      </c>
      <c r="AL37" s="184">
        <v>49.48</v>
      </c>
      <c r="AM37" s="184">
        <v>50.33</v>
      </c>
      <c r="AN37" s="184">
        <v>51.17</v>
      </c>
      <c r="AO37" s="136">
        <v>48.47</v>
      </c>
      <c r="AP37" s="136">
        <v>49.31</v>
      </c>
      <c r="AQ37" s="136">
        <v>50.16</v>
      </c>
      <c r="AR37" s="136">
        <v>51.01</v>
      </c>
      <c r="AS37" s="136">
        <v>35.74</v>
      </c>
      <c r="AT37" s="136">
        <v>34.9</v>
      </c>
      <c r="AU37" s="136">
        <v>34.049999999999997</v>
      </c>
      <c r="AV37" s="136">
        <v>33.200000000000003</v>
      </c>
      <c r="AW37" s="136">
        <v>32.35</v>
      </c>
    </row>
    <row r="38" spans="1:49" x14ac:dyDescent="0.45">
      <c r="A38" s="2">
        <v>58.52</v>
      </c>
      <c r="B38" s="15">
        <v>59.76</v>
      </c>
      <c r="C38" s="3">
        <v>61</v>
      </c>
      <c r="D38" s="188">
        <v>67.62</v>
      </c>
      <c r="E38" s="189">
        <v>68.849999999999994</v>
      </c>
      <c r="F38" s="189">
        <v>70.09</v>
      </c>
      <c r="G38" s="189">
        <v>71.33</v>
      </c>
      <c r="H38" s="190">
        <v>72.569999999999993</v>
      </c>
      <c r="I38" s="184">
        <v>73.8</v>
      </c>
      <c r="J38" s="184">
        <v>75.040000000000006</v>
      </c>
      <c r="K38" s="184">
        <v>76.28</v>
      </c>
      <c r="L38" s="184">
        <v>77.52</v>
      </c>
      <c r="M38" s="184">
        <v>78.760000000000005</v>
      </c>
      <c r="N38" s="184">
        <v>79.989999999999995</v>
      </c>
      <c r="O38" s="136">
        <v>75.849999999999994</v>
      </c>
      <c r="P38" s="136">
        <v>77.08</v>
      </c>
      <c r="Q38" s="136">
        <v>78.319999999999993</v>
      </c>
      <c r="R38" s="136">
        <v>79.56</v>
      </c>
      <c r="S38" s="136">
        <v>57.28</v>
      </c>
      <c r="T38" s="136">
        <v>56.04</v>
      </c>
      <c r="U38" s="136">
        <v>54.81</v>
      </c>
      <c r="V38" s="136">
        <v>53.57</v>
      </c>
      <c r="W38" s="136">
        <v>52.33</v>
      </c>
      <c r="X38" s="7">
        <v>34</v>
      </c>
      <c r="Y38" s="136">
        <v>35.94</v>
      </c>
      <c r="Z38" s="136">
        <v>36.82</v>
      </c>
      <c r="AA38" s="2">
        <v>37.69</v>
      </c>
      <c r="AB38" s="15">
        <v>38.56</v>
      </c>
      <c r="AC38" s="3">
        <v>39.44</v>
      </c>
      <c r="AD38" s="188">
        <v>43.97</v>
      </c>
      <c r="AE38" s="189">
        <v>44.84</v>
      </c>
      <c r="AF38" s="189">
        <v>45.72</v>
      </c>
      <c r="AG38" s="201">
        <v>46.59</v>
      </c>
      <c r="AH38" s="190">
        <v>47.47</v>
      </c>
      <c r="AI38" s="184">
        <v>48.34</v>
      </c>
      <c r="AJ38" s="184">
        <v>49.21</v>
      </c>
      <c r="AK38" s="184">
        <v>50.09</v>
      </c>
      <c r="AL38" s="184">
        <v>50.96</v>
      </c>
      <c r="AM38" s="184">
        <v>51.83</v>
      </c>
      <c r="AN38" s="184">
        <v>52.71</v>
      </c>
      <c r="AO38" s="136">
        <v>49.92</v>
      </c>
      <c r="AP38" s="136">
        <v>50.8</v>
      </c>
      <c r="AQ38" s="136">
        <v>51.67</v>
      </c>
      <c r="AR38" s="136">
        <v>52.54</v>
      </c>
      <c r="AS38" s="136">
        <v>36.82</v>
      </c>
      <c r="AT38" s="136">
        <v>35.94</v>
      </c>
      <c r="AU38" s="136">
        <v>35.07</v>
      </c>
      <c r="AV38" s="136">
        <v>34.19</v>
      </c>
      <c r="AW38" s="136">
        <v>33.32</v>
      </c>
    </row>
    <row r="39" spans="1:49" x14ac:dyDescent="0.45">
      <c r="A39" s="2">
        <v>60.21</v>
      </c>
      <c r="B39" s="15">
        <v>61.48</v>
      </c>
      <c r="C39" s="3">
        <v>62.76</v>
      </c>
      <c r="D39" s="188">
        <v>69.569999999999993</v>
      </c>
      <c r="E39" s="189">
        <v>70.84</v>
      </c>
      <c r="F39" s="189">
        <v>72.11</v>
      </c>
      <c r="G39" s="189">
        <v>73.39</v>
      </c>
      <c r="H39" s="190">
        <v>74.66</v>
      </c>
      <c r="I39" s="184">
        <v>75.94</v>
      </c>
      <c r="J39" s="184">
        <v>77.209999999999994</v>
      </c>
      <c r="K39" s="184">
        <v>78.48</v>
      </c>
      <c r="L39" s="184">
        <v>79.760000000000005</v>
      </c>
      <c r="M39" s="184">
        <v>81.03</v>
      </c>
      <c r="N39" s="184">
        <v>82.31</v>
      </c>
      <c r="O39" s="136">
        <v>78.05</v>
      </c>
      <c r="P39" s="136">
        <v>79.319999999999993</v>
      </c>
      <c r="Q39" s="136">
        <v>80.59</v>
      </c>
      <c r="R39" s="136">
        <v>81.87</v>
      </c>
      <c r="S39" s="136">
        <v>58.94</v>
      </c>
      <c r="T39" s="136">
        <v>57.66</v>
      </c>
      <c r="U39" s="136">
        <v>56.39</v>
      </c>
      <c r="V39" s="136">
        <v>55.11</v>
      </c>
      <c r="W39" s="136">
        <v>53.84</v>
      </c>
      <c r="X39" s="7">
        <v>35</v>
      </c>
      <c r="Y39" s="136">
        <v>36.99</v>
      </c>
      <c r="Z39" s="136">
        <v>37.89</v>
      </c>
      <c r="AA39" s="2">
        <v>38.79</v>
      </c>
      <c r="AB39" s="15">
        <v>39.69</v>
      </c>
      <c r="AC39" s="3">
        <v>40.590000000000003</v>
      </c>
      <c r="AD39" s="188">
        <v>45.25</v>
      </c>
      <c r="AE39" s="189">
        <v>46.15</v>
      </c>
      <c r="AF39" s="189">
        <v>47.05</v>
      </c>
      <c r="AG39" s="201">
        <v>47.95</v>
      </c>
      <c r="AH39" s="190">
        <v>48.84</v>
      </c>
      <c r="AI39" s="184">
        <v>49.74</v>
      </c>
      <c r="AJ39" s="184">
        <v>50.64</v>
      </c>
      <c r="AK39" s="184">
        <v>51.54</v>
      </c>
      <c r="AL39" s="184">
        <v>52.44</v>
      </c>
      <c r="AM39" s="184">
        <v>53.34</v>
      </c>
      <c r="AN39" s="184">
        <v>54.24</v>
      </c>
      <c r="AO39" s="136">
        <v>51.38</v>
      </c>
      <c r="AP39" s="136">
        <v>52.28</v>
      </c>
      <c r="AQ39" s="136">
        <v>53.18</v>
      </c>
      <c r="AR39" s="136">
        <v>54.08</v>
      </c>
      <c r="AS39" s="136">
        <v>37.89</v>
      </c>
      <c r="AT39" s="136">
        <v>36.99</v>
      </c>
      <c r="AU39" s="136">
        <v>36.090000000000003</v>
      </c>
      <c r="AV39" s="136">
        <v>35.19</v>
      </c>
      <c r="AW39" s="136">
        <v>34.29</v>
      </c>
    </row>
    <row r="40" spans="1:49" x14ac:dyDescent="0.45">
      <c r="A40" s="2">
        <v>61.91</v>
      </c>
      <c r="B40" s="15">
        <v>63.22</v>
      </c>
      <c r="C40" s="3">
        <v>64.53</v>
      </c>
      <c r="D40" s="188">
        <v>71.53</v>
      </c>
      <c r="E40" s="189">
        <v>72.84</v>
      </c>
      <c r="F40" s="189">
        <v>74.150000000000006</v>
      </c>
      <c r="G40" s="189">
        <v>75.459999999999994</v>
      </c>
      <c r="H40" s="190">
        <v>76.77</v>
      </c>
      <c r="I40" s="184">
        <v>78.08</v>
      </c>
      <c r="J40" s="184">
        <v>79.39</v>
      </c>
      <c r="K40" s="184">
        <v>80.709999999999994</v>
      </c>
      <c r="L40" s="184">
        <v>82.02</v>
      </c>
      <c r="M40" s="184">
        <v>83.33</v>
      </c>
      <c r="N40" s="184">
        <v>84.64</v>
      </c>
      <c r="O40" s="136">
        <v>80.260000000000005</v>
      </c>
      <c r="P40" s="136">
        <v>81.569999999999993</v>
      </c>
      <c r="Q40" s="136">
        <v>82.88</v>
      </c>
      <c r="R40" s="136">
        <v>84.19</v>
      </c>
      <c r="S40" s="136">
        <v>60.6</v>
      </c>
      <c r="T40" s="136">
        <v>59.29</v>
      </c>
      <c r="U40" s="136">
        <v>57.98</v>
      </c>
      <c r="V40" s="136">
        <v>56.67</v>
      </c>
      <c r="W40" s="136">
        <v>55.36</v>
      </c>
      <c r="X40" s="7">
        <v>36</v>
      </c>
      <c r="Y40" s="136">
        <v>38.04</v>
      </c>
      <c r="Z40" s="136">
        <v>38.96</v>
      </c>
      <c r="AA40" s="2">
        <v>39.89</v>
      </c>
      <c r="AB40" s="15">
        <v>40.81</v>
      </c>
      <c r="AC40" s="3">
        <v>41.74</v>
      </c>
      <c r="AD40" s="188">
        <v>46.53</v>
      </c>
      <c r="AE40" s="189">
        <v>47.45</v>
      </c>
      <c r="AF40" s="189">
        <v>48.38</v>
      </c>
      <c r="AG40" s="201">
        <v>49.3</v>
      </c>
      <c r="AH40" s="190">
        <v>50.23</v>
      </c>
      <c r="AI40" s="184">
        <v>51.15</v>
      </c>
      <c r="AJ40" s="184">
        <v>52.08</v>
      </c>
      <c r="AK40" s="184">
        <v>53</v>
      </c>
      <c r="AL40" s="184">
        <v>53.93</v>
      </c>
      <c r="AM40" s="184">
        <v>54.85</v>
      </c>
      <c r="AN40" s="184">
        <v>55.78</v>
      </c>
      <c r="AO40" s="136">
        <v>52.84</v>
      </c>
      <c r="AP40" s="136">
        <v>53.76</v>
      </c>
      <c r="AQ40" s="136">
        <v>54.69</v>
      </c>
      <c r="AR40" s="136">
        <v>55.61</v>
      </c>
      <c r="AS40" s="136">
        <v>38.96</v>
      </c>
      <c r="AT40" s="136">
        <v>38.04</v>
      </c>
      <c r="AU40" s="136">
        <v>37.11</v>
      </c>
      <c r="AV40" s="136">
        <v>36.19</v>
      </c>
      <c r="AW40" s="136">
        <v>35.26</v>
      </c>
    </row>
    <row r="41" spans="1:49" x14ac:dyDescent="0.45">
      <c r="A41" s="2">
        <v>63.62</v>
      </c>
      <c r="B41" s="15">
        <v>64.959999999999994</v>
      </c>
      <c r="C41" s="3">
        <v>66.31</v>
      </c>
      <c r="D41" s="188">
        <v>73.5</v>
      </c>
      <c r="E41" s="189">
        <v>74.849999999999994</v>
      </c>
      <c r="F41" s="189">
        <v>76.19</v>
      </c>
      <c r="G41" s="189">
        <v>77.540000000000006</v>
      </c>
      <c r="H41" s="190">
        <v>78.89</v>
      </c>
      <c r="I41" s="184">
        <v>80.23</v>
      </c>
      <c r="J41" s="184">
        <v>81.58</v>
      </c>
      <c r="K41" s="184">
        <v>82.93</v>
      </c>
      <c r="L41" s="184">
        <v>84.27</v>
      </c>
      <c r="M41" s="184">
        <v>85.62</v>
      </c>
      <c r="N41" s="184">
        <v>86.97</v>
      </c>
      <c r="O41" s="136">
        <v>82.47</v>
      </c>
      <c r="P41" s="136">
        <v>83.82</v>
      </c>
      <c r="Q41" s="136">
        <v>85.17</v>
      </c>
      <c r="R41" s="136">
        <v>86.51</v>
      </c>
      <c r="S41" s="136">
        <v>62.27</v>
      </c>
      <c r="T41" s="136">
        <v>60.92</v>
      </c>
      <c r="U41" s="136">
        <v>59.58</v>
      </c>
      <c r="V41" s="136">
        <v>58.23</v>
      </c>
      <c r="W41" s="136">
        <v>56.88</v>
      </c>
      <c r="X41" s="7">
        <v>37</v>
      </c>
      <c r="Y41" s="136">
        <v>39.08</v>
      </c>
      <c r="Z41" s="136">
        <v>40.03</v>
      </c>
      <c r="AA41" s="2">
        <v>40.98</v>
      </c>
      <c r="AB41" s="15">
        <v>41.93</v>
      </c>
      <c r="AC41" s="3">
        <v>42.88</v>
      </c>
      <c r="AD41" s="188">
        <v>47.8</v>
      </c>
      <c r="AE41" s="189">
        <v>48.75</v>
      </c>
      <c r="AF41" s="189">
        <v>49.7</v>
      </c>
      <c r="AG41" s="201">
        <v>50.65</v>
      </c>
      <c r="AH41" s="190">
        <v>51.61</v>
      </c>
      <c r="AI41" s="184">
        <v>52.56</v>
      </c>
      <c r="AJ41" s="184">
        <v>53.51</v>
      </c>
      <c r="AK41" s="184">
        <v>54.46</v>
      </c>
      <c r="AL41" s="184">
        <v>55.41</v>
      </c>
      <c r="AM41" s="184">
        <v>56.36</v>
      </c>
      <c r="AN41" s="184">
        <v>57.31</v>
      </c>
      <c r="AO41" s="136">
        <v>54.29</v>
      </c>
      <c r="AP41" s="136">
        <v>55.24</v>
      </c>
      <c r="AQ41" s="136">
        <v>56.19</v>
      </c>
      <c r="AR41" s="136">
        <v>57.15</v>
      </c>
      <c r="AS41" s="136">
        <v>40.03</v>
      </c>
      <c r="AT41" s="136">
        <v>39.08</v>
      </c>
      <c r="AU41" s="136">
        <v>38.130000000000003</v>
      </c>
      <c r="AV41" s="136">
        <v>37.18</v>
      </c>
      <c r="AW41" s="136">
        <v>36.229999999999997</v>
      </c>
    </row>
    <row r="42" spans="1:49" x14ac:dyDescent="0.45">
      <c r="A42" s="2">
        <v>65.319999999999993</v>
      </c>
      <c r="B42" s="15">
        <v>66.7</v>
      </c>
      <c r="C42" s="3">
        <v>68.09</v>
      </c>
      <c r="D42" s="188">
        <v>75.459999999999994</v>
      </c>
      <c r="E42" s="189">
        <v>76.849999999999994</v>
      </c>
      <c r="F42" s="189">
        <v>78.23</v>
      </c>
      <c r="G42" s="189">
        <v>79.61</v>
      </c>
      <c r="H42" s="190">
        <v>80.989999999999995</v>
      </c>
      <c r="I42" s="184">
        <v>82.38</v>
      </c>
      <c r="J42" s="184">
        <v>83.76</v>
      </c>
      <c r="K42" s="184">
        <v>85.14</v>
      </c>
      <c r="L42" s="184">
        <v>86.53</v>
      </c>
      <c r="M42" s="184">
        <v>87.91</v>
      </c>
      <c r="N42" s="184">
        <v>89.29</v>
      </c>
      <c r="O42" s="136">
        <v>84.68</v>
      </c>
      <c r="P42" s="136">
        <v>86.07</v>
      </c>
      <c r="Q42" s="136">
        <v>87.45</v>
      </c>
      <c r="R42" s="136">
        <v>88.83</v>
      </c>
      <c r="S42" s="136">
        <v>63.94</v>
      </c>
      <c r="T42" s="136">
        <v>62.55</v>
      </c>
      <c r="U42" s="136">
        <v>61.17</v>
      </c>
      <c r="V42" s="136">
        <v>59.79</v>
      </c>
      <c r="W42" s="136">
        <v>58.4</v>
      </c>
      <c r="X42" s="7">
        <v>38</v>
      </c>
      <c r="Y42" s="136">
        <v>40.130000000000003</v>
      </c>
      <c r="Z42" s="136">
        <v>41.1</v>
      </c>
      <c r="AA42" s="2">
        <v>42.08</v>
      </c>
      <c r="AB42" s="15">
        <v>43.05</v>
      </c>
      <c r="AC42" s="3">
        <v>44.03</v>
      </c>
      <c r="AD42" s="188">
        <v>49.08</v>
      </c>
      <c r="AE42" s="189">
        <v>50.06</v>
      </c>
      <c r="AF42" s="189">
        <v>51.03</v>
      </c>
      <c r="AG42" s="201">
        <v>52.01</v>
      </c>
      <c r="AH42" s="190">
        <v>52.99</v>
      </c>
      <c r="AI42" s="184">
        <v>53.96</v>
      </c>
      <c r="AJ42" s="184">
        <v>54.94</v>
      </c>
      <c r="AK42" s="184">
        <v>55.92</v>
      </c>
      <c r="AL42" s="184">
        <v>56.89</v>
      </c>
      <c r="AM42" s="184">
        <v>57.87</v>
      </c>
      <c r="AN42" s="184">
        <v>58.85</v>
      </c>
      <c r="AO42" s="136">
        <v>55.75</v>
      </c>
      <c r="AP42" s="136">
        <v>56.73</v>
      </c>
      <c r="AQ42" s="136">
        <v>57.7</v>
      </c>
      <c r="AR42" s="136">
        <v>58.68</v>
      </c>
      <c r="AS42" s="136">
        <v>41.1</v>
      </c>
      <c r="AT42" s="136">
        <v>40.130000000000003</v>
      </c>
      <c r="AU42" s="136">
        <v>39.15</v>
      </c>
      <c r="AV42" s="136">
        <v>38.17</v>
      </c>
      <c r="AW42" s="136">
        <v>37.200000000000003</v>
      </c>
    </row>
    <row r="43" spans="1:49" x14ac:dyDescent="0.45">
      <c r="A43" s="2">
        <v>67.02</v>
      </c>
      <c r="B43" s="15">
        <v>68.44</v>
      </c>
      <c r="C43" s="3">
        <v>69.86</v>
      </c>
      <c r="D43" s="188">
        <v>77.42</v>
      </c>
      <c r="E43" s="189">
        <v>78.84</v>
      </c>
      <c r="F43" s="189">
        <v>80.260000000000005</v>
      </c>
      <c r="G43" s="189">
        <v>81.680000000000007</v>
      </c>
      <c r="H43" s="190">
        <v>83.1</v>
      </c>
      <c r="I43" s="184">
        <v>84.52</v>
      </c>
      <c r="J43" s="184">
        <v>85.94</v>
      </c>
      <c r="K43" s="184">
        <v>87.36</v>
      </c>
      <c r="L43" s="184">
        <v>88.78</v>
      </c>
      <c r="M43" s="184">
        <v>90.2</v>
      </c>
      <c r="N43" s="184">
        <v>91.62</v>
      </c>
      <c r="O43" s="136">
        <v>86.89</v>
      </c>
      <c r="P43" s="136">
        <v>88.31</v>
      </c>
      <c r="Q43" s="136">
        <v>89.73</v>
      </c>
      <c r="R43" s="136">
        <v>91.15</v>
      </c>
      <c r="S43" s="136">
        <v>95.6</v>
      </c>
      <c r="T43" s="136">
        <v>64.180000000000007</v>
      </c>
      <c r="U43" s="136">
        <v>62.76</v>
      </c>
      <c r="V43" s="136">
        <v>61.34</v>
      </c>
      <c r="W43" s="136">
        <v>59.92</v>
      </c>
      <c r="X43" s="7">
        <v>39</v>
      </c>
      <c r="Y43" s="136">
        <v>41.17</v>
      </c>
      <c r="Z43" s="136">
        <v>42.18</v>
      </c>
      <c r="AA43" s="2">
        <v>43.18</v>
      </c>
      <c r="AB43" s="15">
        <v>44.18</v>
      </c>
      <c r="AC43" s="3">
        <v>45.18</v>
      </c>
      <c r="AD43" s="188">
        <v>50.36</v>
      </c>
      <c r="AE43" s="189">
        <v>51.36</v>
      </c>
      <c r="AF43" s="189">
        <v>52.37</v>
      </c>
      <c r="AG43" s="201">
        <v>53.37</v>
      </c>
      <c r="AH43" s="190">
        <v>54.37</v>
      </c>
      <c r="AI43" s="184">
        <v>55.37</v>
      </c>
      <c r="AJ43" s="184">
        <v>56.38</v>
      </c>
      <c r="AK43" s="184">
        <v>57.38</v>
      </c>
      <c r="AL43" s="184">
        <v>58.38</v>
      </c>
      <c r="AM43" s="184">
        <v>59.38</v>
      </c>
      <c r="AN43" s="184">
        <v>60.39</v>
      </c>
      <c r="AO43" s="136">
        <v>57.21</v>
      </c>
      <c r="AP43" s="136">
        <v>58.21</v>
      </c>
      <c r="AQ43" s="136">
        <v>59.22</v>
      </c>
      <c r="AR43" s="136">
        <v>60.22</v>
      </c>
      <c r="AS43" s="136">
        <v>42.18</v>
      </c>
      <c r="AT43" s="136">
        <v>41.17</v>
      </c>
      <c r="AU43" s="136">
        <v>40.17</v>
      </c>
      <c r="AV43" s="136">
        <v>39.17</v>
      </c>
      <c r="AW43" s="136">
        <v>38.17</v>
      </c>
    </row>
    <row r="44" spans="1:49" x14ac:dyDescent="0.45">
      <c r="A44" s="2">
        <v>68.709999999999994</v>
      </c>
      <c r="B44" s="15">
        <v>70.17</v>
      </c>
      <c r="C44" s="3">
        <v>71.62</v>
      </c>
      <c r="D44" s="188">
        <v>79.38</v>
      </c>
      <c r="E44" s="189">
        <v>80.83</v>
      </c>
      <c r="F44" s="189">
        <v>82.29</v>
      </c>
      <c r="G44" s="189">
        <v>83.74</v>
      </c>
      <c r="H44" s="190">
        <v>85.2</v>
      </c>
      <c r="I44" s="184">
        <v>86.66</v>
      </c>
      <c r="J44" s="184">
        <v>88.11</v>
      </c>
      <c r="K44" s="184">
        <v>89.57</v>
      </c>
      <c r="L44" s="184">
        <v>91.02</v>
      </c>
      <c r="M44" s="184">
        <v>92.48</v>
      </c>
      <c r="N44" s="184">
        <v>93.94</v>
      </c>
      <c r="O44" s="136">
        <v>89.1</v>
      </c>
      <c r="P44" s="136">
        <v>90.55</v>
      </c>
      <c r="Q44" s="136">
        <v>92.01</v>
      </c>
      <c r="R44" s="136">
        <v>93.46</v>
      </c>
      <c r="S44" s="136">
        <v>67.260000000000005</v>
      </c>
      <c r="T44" s="136">
        <v>65.8</v>
      </c>
      <c r="U44" s="136">
        <v>64.34</v>
      </c>
      <c r="V44" s="136">
        <v>62.89</v>
      </c>
      <c r="W44" s="136">
        <v>61.53</v>
      </c>
      <c r="X44" s="7">
        <v>40</v>
      </c>
      <c r="Y44" s="136">
        <v>42.22</v>
      </c>
      <c r="Z44" s="136">
        <v>43.25</v>
      </c>
      <c r="AA44" s="2">
        <v>44.27</v>
      </c>
      <c r="AB44" s="15">
        <v>45.3</v>
      </c>
      <c r="AC44" s="3">
        <v>46.33</v>
      </c>
      <c r="AD44" s="188">
        <v>51.64</v>
      </c>
      <c r="AE44" s="189">
        <v>52.66</v>
      </c>
      <c r="AF44" s="189">
        <v>53.69</v>
      </c>
      <c r="AG44" s="201">
        <v>54.72</v>
      </c>
      <c r="AH44" s="190">
        <v>55.75</v>
      </c>
      <c r="AI44" s="184">
        <v>56.78</v>
      </c>
      <c r="AJ44" s="184">
        <v>57.8</v>
      </c>
      <c r="AK44" s="184">
        <v>58.83</v>
      </c>
      <c r="AL44" s="184">
        <v>59.86</v>
      </c>
      <c r="AM44" s="184">
        <v>60.89</v>
      </c>
      <c r="AN44" s="184">
        <v>61.92</v>
      </c>
      <c r="AO44" s="136">
        <v>58.67</v>
      </c>
      <c r="AP44" s="136">
        <v>59.69</v>
      </c>
      <c r="AQ44" s="136">
        <v>60.72</v>
      </c>
      <c r="AR44" s="136">
        <v>61.75</v>
      </c>
      <c r="AS44" s="136">
        <v>43.25</v>
      </c>
      <c r="AT44" s="136">
        <v>42.22</v>
      </c>
      <c r="AU44" s="136">
        <v>41.19</v>
      </c>
      <c r="AV44" s="136">
        <v>40.159999999999997</v>
      </c>
      <c r="AW44" s="136">
        <v>39.130000000000003</v>
      </c>
    </row>
    <row r="45" spans="1:49" x14ac:dyDescent="0.45">
      <c r="A45" s="2">
        <v>70.42</v>
      </c>
      <c r="B45" s="15">
        <v>71.91</v>
      </c>
      <c r="C45" s="3">
        <v>73.400000000000006</v>
      </c>
      <c r="D45" s="188">
        <v>81.349999999999994</v>
      </c>
      <c r="E45" s="189">
        <v>82.84</v>
      </c>
      <c r="F45" s="189">
        <v>84.33</v>
      </c>
      <c r="G45" s="189">
        <v>85.82</v>
      </c>
      <c r="H45" s="190">
        <v>87.32</v>
      </c>
      <c r="I45" s="184">
        <v>88.81</v>
      </c>
      <c r="J45" s="184">
        <v>90.3</v>
      </c>
      <c r="K45" s="184">
        <v>91.79</v>
      </c>
      <c r="L45" s="184">
        <v>93.28</v>
      </c>
      <c r="M45" s="184">
        <v>94.78</v>
      </c>
      <c r="N45" s="184">
        <v>96.27</v>
      </c>
      <c r="O45" s="136">
        <v>91.31</v>
      </c>
      <c r="P45" s="136">
        <v>92.8</v>
      </c>
      <c r="Q45" s="136">
        <v>94.3</v>
      </c>
      <c r="R45" s="136">
        <v>95.79</v>
      </c>
      <c r="S45" s="136">
        <v>68.930000000000007</v>
      </c>
      <c r="T45" s="136">
        <v>67.430000000000007</v>
      </c>
      <c r="U45" s="136">
        <v>65.94</v>
      </c>
      <c r="V45" s="136">
        <v>64.400000000000006</v>
      </c>
      <c r="W45" s="136">
        <v>62.96</v>
      </c>
      <c r="X45" s="7">
        <v>41</v>
      </c>
      <c r="Y45" s="136">
        <v>43.26</v>
      </c>
      <c r="Z45" s="136">
        <v>44.32</v>
      </c>
      <c r="AA45" s="2">
        <v>45.37</v>
      </c>
      <c r="AB45" s="15">
        <v>46.42</v>
      </c>
      <c r="AC45" s="3">
        <v>47.48</v>
      </c>
      <c r="AD45" s="188">
        <v>52.91</v>
      </c>
      <c r="AE45" s="189">
        <v>53.97</v>
      </c>
      <c r="AF45" s="189">
        <v>55.02</v>
      </c>
      <c r="AG45" s="201">
        <v>56.07</v>
      </c>
      <c r="AH45" s="190">
        <v>57.13</v>
      </c>
      <c r="AI45" s="184">
        <v>58.18</v>
      </c>
      <c r="AJ45" s="184">
        <v>59.24</v>
      </c>
      <c r="AK45" s="184">
        <v>60.29</v>
      </c>
      <c r="AL45" s="184">
        <v>61.34</v>
      </c>
      <c r="AM45" s="184">
        <v>62.4</v>
      </c>
      <c r="AN45" s="184">
        <v>63.45</v>
      </c>
      <c r="AO45" s="136">
        <v>60.12</v>
      </c>
      <c r="AP45" s="136">
        <v>61.18</v>
      </c>
      <c r="AQ45" s="136">
        <v>62.23</v>
      </c>
      <c r="AR45" s="136">
        <v>63.28</v>
      </c>
      <c r="AS45" s="136">
        <v>44.32</v>
      </c>
      <c r="AT45" s="136">
        <v>43.26</v>
      </c>
      <c r="AU45" s="136">
        <v>42.21</v>
      </c>
      <c r="AV45" s="136">
        <v>41.16</v>
      </c>
      <c r="AW45" s="136">
        <v>40.1</v>
      </c>
    </row>
    <row r="46" spans="1:49" x14ac:dyDescent="0.45">
      <c r="A46" s="2">
        <v>72.12</v>
      </c>
      <c r="B46" s="15">
        <v>73.650000000000006</v>
      </c>
      <c r="C46" s="3">
        <v>75.180000000000007</v>
      </c>
      <c r="D46" s="188">
        <v>83.31</v>
      </c>
      <c r="E46" s="189">
        <v>84.84</v>
      </c>
      <c r="F46" s="189">
        <v>86.37</v>
      </c>
      <c r="G46" s="189">
        <v>87.89</v>
      </c>
      <c r="H46" s="190">
        <v>89.42</v>
      </c>
      <c r="I46" s="184">
        <v>90.95</v>
      </c>
      <c r="J46" s="184">
        <v>92.48</v>
      </c>
      <c r="K46" s="184">
        <v>94.01</v>
      </c>
      <c r="L46" s="184">
        <v>95.54</v>
      </c>
      <c r="M46" s="184">
        <v>97.07</v>
      </c>
      <c r="N46" s="184">
        <v>98.6</v>
      </c>
      <c r="O46" s="136">
        <v>93.52</v>
      </c>
      <c r="P46" s="136">
        <v>95.05</v>
      </c>
      <c r="Q46" s="136">
        <v>96.58</v>
      </c>
      <c r="R46" s="136">
        <v>98.11</v>
      </c>
      <c r="S46" s="136">
        <v>70.59</v>
      </c>
      <c r="T46" s="136">
        <v>69.06</v>
      </c>
      <c r="U46" s="136">
        <v>67.53</v>
      </c>
      <c r="V46" s="136">
        <v>66</v>
      </c>
      <c r="W46" s="136">
        <v>64.47</v>
      </c>
      <c r="X46" s="7">
        <v>42</v>
      </c>
      <c r="Y46" s="136">
        <v>44.31</v>
      </c>
      <c r="Z46" s="136">
        <v>45.39</v>
      </c>
      <c r="AA46" s="2">
        <v>46.47</v>
      </c>
      <c r="AB46" s="15">
        <v>47.55</v>
      </c>
      <c r="AC46" s="3">
        <v>48.63</v>
      </c>
      <c r="AD46" s="188">
        <v>54.19</v>
      </c>
      <c r="AE46" s="189">
        <v>55.27</v>
      </c>
      <c r="AF46" s="189">
        <v>56.35</v>
      </c>
      <c r="AG46" s="201">
        <v>57.43</v>
      </c>
      <c r="AH46" s="190">
        <v>58.51</v>
      </c>
      <c r="AI46" s="184">
        <v>59.59</v>
      </c>
      <c r="AJ46" s="184">
        <v>60.67</v>
      </c>
      <c r="AK46" s="184">
        <v>61.75</v>
      </c>
      <c r="AL46" s="184">
        <v>62.83</v>
      </c>
      <c r="AM46" s="184">
        <v>63.91</v>
      </c>
      <c r="AN46" s="184">
        <v>64.989999999999995</v>
      </c>
      <c r="AO46" s="136">
        <v>61.58</v>
      </c>
      <c r="AP46" s="136">
        <v>62.66</v>
      </c>
      <c r="AQ46" s="136">
        <v>63.74</v>
      </c>
      <c r="AR46" s="136">
        <v>64.819999999999993</v>
      </c>
      <c r="AS46" s="136">
        <v>45.39</v>
      </c>
      <c r="AT46" s="136">
        <v>44.31</v>
      </c>
      <c r="AU46" s="136">
        <v>43.23</v>
      </c>
      <c r="AV46" s="136">
        <v>42.15</v>
      </c>
      <c r="AW46" s="136">
        <v>41.07</v>
      </c>
    </row>
    <row r="47" spans="1:49" x14ac:dyDescent="0.45">
      <c r="A47" s="2">
        <v>73.81</v>
      </c>
      <c r="B47" s="15">
        <v>75.38</v>
      </c>
      <c r="C47" s="3">
        <v>76.94</v>
      </c>
      <c r="D47" s="188">
        <v>85.26</v>
      </c>
      <c r="E47" s="189">
        <v>86.83</v>
      </c>
      <c r="F47" s="189">
        <v>88.39</v>
      </c>
      <c r="G47" s="189">
        <v>89.96</v>
      </c>
      <c r="H47" s="190">
        <v>91.52</v>
      </c>
      <c r="I47" s="184">
        <v>93.09</v>
      </c>
      <c r="J47" s="184">
        <v>94.65</v>
      </c>
      <c r="K47" s="184">
        <v>96.22</v>
      </c>
      <c r="L47" s="184">
        <v>97.78</v>
      </c>
      <c r="M47" s="184">
        <v>99.35</v>
      </c>
      <c r="N47" s="184">
        <v>100.91</v>
      </c>
      <c r="O47" s="136">
        <v>95.72</v>
      </c>
      <c r="P47" s="136">
        <v>97.29</v>
      </c>
      <c r="Q47" s="136">
        <v>98.85</v>
      </c>
      <c r="R47" s="136">
        <v>100.42</v>
      </c>
      <c r="S47" s="136">
        <v>72.25</v>
      </c>
      <c r="T47" s="136">
        <v>70.680000000000007</v>
      </c>
      <c r="U47" s="136">
        <v>69.12</v>
      </c>
      <c r="V47" s="136">
        <v>67.55</v>
      </c>
      <c r="W47" s="136">
        <v>65.989999999999995</v>
      </c>
      <c r="X47" s="7">
        <v>43</v>
      </c>
      <c r="Y47" s="136">
        <v>45.35</v>
      </c>
      <c r="Z47" s="136">
        <v>46.46</v>
      </c>
      <c r="AA47" s="2">
        <v>47.56</v>
      </c>
      <c r="AB47" s="15">
        <v>48.67</v>
      </c>
      <c r="AC47" s="3">
        <v>49.77</v>
      </c>
      <c r="AD47" s="188">
        <v>55.46</v>
      </c>
      <c r="AE47" s="189">
        <v>56.57</v>
      </c>
      <c r="AF47" s="189">
        <v>57.67</v>
      </c>
      <c r="AG47" s="201">
        <v>58.78</v>
      </c>
      <c r="AH47" s="190">
        <v>59.89</v>
      </c>
      <c r="AI47" s="184">
        <v>60.99</v>
      </c>
      <c r="AJ47" s="184">
        <v>62.1</v>
      </c>
      <c r="AK47" s="184">
        <v>63.2</v>
      </c>
      <c r="AL47" s="184">
        <v>65.31</v>
      </c>
      <c r="AM47" s="184">
        <v>65.41</v>
      </c>
      <c r="AN47" s="184">
        <v>66.52</v>
      </c>
      <c r="AO47" s="136">
        <v>63.03</v>
      </c>
      <c r="AP47" s="136">
        <v>64.14</v>
      </c>
      <c r="AQ47" s="136">
        <v>65.239999999999995</v>
      </c>
      <c r="AR47" s="136">
        <v>66.349999999999994</v>
      </c>
      <c r="AS47" s="136">
        <v>46.46</v>
      </c>
      <c r="AT47" s="136">
        <v>45.35</v>
      </c>
      <c r="AU47" s="136">
        <v>44.25</v>
      </c>
      <c r="AV47" s="136">
        <v>43.14</v>
      </c>
      <c r="AW47" s="136">
        <v>42.04</v>
      </c>
    </row>
    <row r="48" spans="1:49" x14ac:dyDescent="0.45">
      <c r="A48" s="2">
        <v>75.52</v>
      </c>
      <c r="B48" s="15">
        <v>77.12</v>
      </c>
      <c r="C48" s="3">
        <v>78.72</v>
      </c>
      <c r="D48" s="188">
        <v>87.23</v>
      </c>
      <c r="E48" s="189">
        <v>88.83</v>
      </c>
      <c r="F48" s="189">
        <v>90.43</v>
      </c>
      <c r="G48" s="189">
        <v>92.03</v>
      </c>
      <c r="H48" s="190">
        <v>93.63</v>
      </c>
      <c r="I48" s="184">
        <v>95.23</v>
      </c>
      <c r="J48" s="184">
        <v>96.84</v>
      </c>
      <c r="K48" s="184">
        <v>98.44</v>
      </c>
      <c r="L48" s="184">
        <v>100.04</v>
      </c>
      <c r="M48" s="184">
        <v>101.64</v>
      </c>
      <c r="N48" s="184">
        <v>103.24</v>
      </c>
      <c r="O48" s="136">
        <v>97.94</v>
      </c>
      <c r="P48" s="136">
        <v>99.54</v>
      </c>
      <c r="Q48" s="136">
        <v>101.14</v>
      </c>
      <c r="R48" s="136">
        <v>102.74</v>
      </c>
      <c r="S48" s="136">
        <v>73.91</v>
      </c>
      <c r="T48" s="136">
        <v>72.31</v>
      </c>
      <c r="U48" s="136">
        <v>70.709999999999994</v>
      </c>
      <c r="V48" s="136">
        <v>69.11</v>
      </c>
      <c r="W48" s="136">
        <v>67.510000000000005</v>
      </c>
      <c r="X48" s="7">
        <v>44</v>
      </c>
      <c r="Y48" s="136">
        <v>46.4</v>
      </c>
      <c r="Z48" s="136">
        <v>47.53</v>
      </c>
      <c r="AA48" s="2">
        <v>48.66</v>
      </c>
      <c r="AB48" s="15">
        <v>49.79</v>
      </c>
      <c r="AC48" s="3">
        <v>50.92</v>
      </c>
      <c r="AD48" s="188">
        <v>56.75</v>
      </c>
      <c r="AE48" s="189">
        <v>57.88</v>
      </c>
      <c r="AF48" s="189">
        <v>59.01</v>
      </c>
      <c r="AG48" s="201">
        <v>60.14</v>
      </c>
      <c r="AH48" s="190">
        <v>61.27</v>
      </c>
      <c r="AI48" s="184">
        <v>62.4</v>
      </c>
      <c r="AJ48" s="184">
        <v>63.53</v>
      </c>
      <c r="AK48" s="184">
        <v>64.66</v>
      </c>
      <c r="AL48" s="184">
        <v>65.790000000000006</v>
      </c>
      <c r="AM48" s="184">
        <v>66.92</v>
      </c>
      <c r="AN48" s="184">
        <v>68.05</v>
      </c>
      <c r="AO48" s="136">
        <v>64.489999999999995</v>
      </c>
      <c r="AP48" s="136">
        <v>65.63</v>
      </c>
      <c r="AQ48" s="136">
        <v>66.760000000000005</v>
      </c>
      <c r="AR48" s="136">
        <v>67.89</v>
      </c>
      <c r="AS48" s="136">
        <v>47.53</v>
      </c>
      <c r="AT48" s="136">
        <v>46.4</v>
      </c>
      <c r="AU48" s="136">
        <v>45.27</v>
      </c>
      <c r="AV48" s="136">
        <v>44.14</v>
      </c>
      <c r="AW48" s="136">
        <v>43.01</v>
      </c>
    </row>
    <row r="49" spans="1:49" x14ac:dyDescent="0.45">
      <c r="A49" s="2">
        <v>77.209999999999994</v>
      </c>
      <c r="B49" s="15">
        <v>78.849999999999994</v>
      </c>
      <c r="C49" s="3">
        <v>80.489999999999995</v>
      </c>
      <c r="D49" s="188">
        <v>89.18</v>
      </c>
      <c r="E49" s="189">
        <v>90.82</v>
      </c>
      <c r="F49" s="189">
        <v>92.46</v>
      </c>
      <c r="G49" s="189">
        <v>94.09</v>
      </c>
      <c r="H49" s="190">
        <v>95.73</v>
      </c>
      <c r="I49" s="184">
        <v>97.37</v>
      </c>
      <c r="J49" s="184">
        <v>99.01</v>
      </c>
      <c r="K49" s="184">
        <v>100.65</v>
      </c>
      <c r="L49" s="184">
        <v>102.28</v>
      </c>
      <c r="M49" s="184">
        <v>103.92</v>
      </c>
      <c r="N49" s="184">
        <v>105.56</v>
      </c>
      <c r="O49" s="136">
        <v>100.14</v>
      </c>
      <c r="P49" s="136">
        <v>101.78</v>
      </c>
      <c r="Q49" s="136">
        <v>103.42</v>
      </c>
      <c r="R49" s="136">
        <v>105.06</v>
      </c>
      <c r="S49" s="136">
        <v>75.569999999999993</v>
      </c>
      <c r="T49" s="136">
        <v>73.930000000000007</v>
      </c>
      <c r="U49" s="136">
        <v>72.3</v>
      </c>
      <c r="V49" s="136">
        <v>70.66</v>
      </c>
      <c r="W49" s="136">
        <v>69.02</v>
      </c>
      <c r="X49" s="7">
        <v>45</v>
      </c>
      <c r="Y49" s="136">
        <v>47.45</v>
      </c>
      <c r="Z49" s="136">
        <v>48.6</v>
      </c>
      <c r="AA49" s="2">
        <v>49.76</v>
      </c>
      <c r="AB49" s="15">
        <v>50.92</v>
      </c>
      <c r="AC49" s="3">
        <v>52.07</v>
      </c>
      <c r="AD49" s="188">
        <v>58.02</v>
      </c>
      <c r="AE49" s="189">
        <v>59.18</v>
      </c>
      <c r="AF49" s="189">
        <v>60.34</v>
      </c>
      <c r="AG49" s="201">
        <v>61.49</v>
      </c>
      <c r="AH49" s="190">
        <v>62.65</v>
      </c>
      <c r="AI49" s="184">
        <v>63.81</v>
      </c>
      <c r="AJ49" s="184">
        <v>64.959999999999994</v>
      </c>
      <c r="AK49" s="184">
        <v>66.12</v>
      </c>
      <c r="AL49" s="184">
        <v>67.28</v>
      </c>
      <c r="AM49" s="184">
        <v>68.430000000000007</v>
      </c>
      <c r="AN49" s="184">
        <v>69.59</v>
      </c>
      <c r="AO49" s="136">
        <v>65.95</v>
      </c>
      <c r="AP49" s="136">
        <v>67.11</v>
      </c>
      <c r="AQ49" s="136">
        <v>68.260000000000005</v>
      </c>
      <c r="AR49" s="136">
        <v>69.42</v>
      </c>
      <c r="AS49" s="136">
        <v>48.6</v>
      </c>
      <c r="AT49" s="136">
        <v>47.45</v>
      </c>
      <c r="AU49" s="136">
        <v>46.29</v>
      </c>
      <c r="AV49" s="136">
        <v>45.13</v>
      </c>
      <c r="AW49" s="136">
        <v>43.98</v>
      </c>
    </row>
    <row r="50" spans="1:49" x14ac:dyDescent="0.45">
      <c r="A50" s="2">
        <v>78.91</v>
      </c>
      <c r="B50" s="15">
        <v>80.59</v>
      </c>
      <c r="C50" s="3">
        <v>82.26</v>
      </c>
      <c r="D50" s="188">
        <v>91.15</v>
      </c>
      <c r="E50" s="189">
        <v>92.82</v>
      </c>
      <c r="F50" s="189">
        <v>94.5</v>
      </c>
      <c r="G50" s="189">
        <v>96.17</v>
      </c>
      <c r="H50" s="190">
        <v>97.85</v>
      </c>
      <c r="I50" s="184">
        <v>99.52</v>
      </c>
      <c r="J50" s="184">
        <v>101.2</v>
      </c>
      <c r="K50" s="184">
        <v>102.87</v>
      </c>
      <c r="L50" s="184">
        <v>104.54</v>
      </c>
      <c r="M50" s="184">
        <v>106.22</v>
      </c>
      <c r="N50" s="184">
        <v>107.89</v>
      </c>
      <c r="O50" s="136">
        <v>102.36</v>
      </c>
      <c r="P50" s="136">
        <v>104.03</v>
      </c>
      <c r="Q50" s="136">
        <v>105.71</v>
      </c>
      <c r="R50" s="136">
        <v>107.38</v>
      </c>
      <c r="S50" s="136">
        <v>77.239999999999995</v>
      </c>
      <c r="T50" s="136">
        <v>75.569999999999993</v>
      </c>
      <c r="U50" s="136">
        <v>73.89</v>
      </c>
      <c r="V50" s="136">
        <v>72.22</v>
      </c>
      <c r="W50" s="136">
        <v>70.540000000000006</v>
      </c>
      <c r="X50" s="7">
        <v>46</v>
      </c>
      <c r="Y50" s="136">
        <v>48.5</v>
      </c>
      <c r="Z50" s="136">
        <v>49.68</v>
      </c>
      <c r="AA50" s="2">
        <v>50.86</v>
      </c>
      <c r="AB50" s="15">
        <v>52.04</v>
      </c>
      <c r="AC50" s="3">
        <v>53.23</v>
      </c>
      <c r="AD50" s="188">
        <v>59.31</v>
      </c>
      <c r="AE50" s="189">
        <v>60.49</v>
      </c>
      <c r="AF50" s="189">
        <v>61.67</v>
      </c>
      <c r="AG50" s="201">
        <v>62.85</v>
      </c>
      <c r="AH50" s="190">
        <v>64.03</v>
      </c>
      <c r="AI50" s="184">
        <v>65.22</v>
      </c>
      <c r="AJ50" s="184">
        <v>66.400000000000006</v>
      </c>
      <c r="AK50" s="184">
        <v>67.58</v>
      </c>
      <c r="AL50" s="184">
        <v>68.760000000000005</v>
      </c>
      <c r="AM50" s="184">
        <v>69.95</v>
      </c>
      <c r="AN50" s="184">
        <v>71.13</v>
      </c>
      <c r="AO50" s="136">
        <v>67.41</v>
      </c>
      <c r="AP50" s="136">
        <v>68.59</v>
      </c>
      <c r="AQ50" s="136">
        <v>69.78</v>
      </c>
      <c r="AR50" s="136">
        <v>70.959999999999994</v>
      </c>
      <c r="AS50" s="136">
        <v>49.68</v>
      </c>
      <c r="AT50" s="136">
        <v>48.5</v>
      </c>
      <c r="AU50" s="136">
        <v>47.31</v>
      </c>
      <c r="AV50" s="136">
        <v>46.13</v>
      </c>
      <c r="AW50" s="136">
        <v>44.95</v>
      </c>
    </row>
    <row r="51" spans="1:49" x14ac:dyDescent="0.45">
      <c r="A51" s="2">
        <v>80.61</v>
      </c>
      <c r="B51" s="15">
        <v>82.32</v>
      </c>
      <c r="C51" s="3">
        <v>84.03</v>
      </c>
      <c r="D51" s="188">
        <v>93.1</v>
      </c>
      <c r="E51" s="189">
        <v>94.81</v>
      </c>
      <c r="F51" s="189">
        <v>96.52</v>
      </c>
      <c r="G51" s="189">
        <v>98.23</v>
      </c>
      <c r="H51" s="190">
        <v>99.94</v>
      </c>
      <c r="I51" s="184">
        <v>101.66</v>
      </c>
      <c r="J51" s="184">
        <v>103.37</v>
      </c>
      <c r="K51" s="184">
        <v>105.08</v>
      </c>
      <c r="L51" s="184">
        <v>106.79</v>
      </c>
      <c r="M51" s="184">
        <v>108.5</v>
      </c>
      <c r="N51" s="184">
        <v>110.21</v>
      </c>
      <c r="O51" s="136">
        <v>104.56</v>
      </c>
      <c r="P51" s="136">
        <v>106.27</v>
      </c>
      <c r="Q51" s="136">
        <v>107.98</v>
      </c>
      <c r="R51" s="136">
        <v>109.69</v>
      </c>
      <c r="S51" s="136">
        <v>78.900000000000006</v>
      </c>
      <c r="T51" s="136">
        <v>77.19</v>
      </c>
      <c r="U51" s="136">
        <v>75.48</v>
      </c>
      <c r="V51" s="136">
        <v>73.760000000000005</v>
      </c>
      <c r="W51" s="136">
        <v>72.05</v>
      </c>
      <c r="X51" s="7">
        <v>47</v>
      </c>
      <c r="Y51" s="136">
        <v>49.54</v>
      </c>
      <c r="Z51" s="136">
        <v>50.75</v>
      </c>
      <c r="AA51" s="2">
        <v>51.96</v>
      </c>
      <c r="AB51" s="15">
        <v>53.16</v>
      </c>
      <c r="AC51" s="3">
        <v>54.37</v>
      </c>
      <c r="AD51" s="188">
        <v>60.58</v>
      </c>
      <c r="AE51" s="189">
        <v>61.79</v>
      </c>
      <c r="AF51" s="189">
        <v>63</v>
      </c>
      <c r="AG51" s="201">
        <v>64.209999999999994</v>
      </c>
      <c r="AH51" s="190">
        <v>65.41</v>
      </c>
      <c r="AI51" s="184">
        <v>66.62</v>
      </c>
      <c r="AJ51" s="184">
        <v>67.83</v>
      </c>
      <c r="AK51" s="184">
        <v>69.040000000000006</v>
      </c>
      <c r="AL51" s="184">
        <v>70.239999999999995</v>
      </c>
      <c r="AM51" s="184">
        <v>71.45</v>
      </c>
      <c r="AN51" s="184">
        <v>72.66</v>
      </c>
      <c r="AO51" s="136">
        <v>68.87</v>
      </c>
      <c r="AP51" s="136">
        <v>70.08</v>
      </c>
      <c r="AQ51" s="136">
        <v>71.28</v>
      </c>
      <c r="AR51" s="136">
        <v>72.489999999999995</v>
      </c>
      <c r="AS51" s="136">
        <v>50.75</v>
      </c>
      <c r="AT51" s="136">
        <v>49.54</v>
      </c>
      <c r="AU51" s="136">
        <v>48.33</v>
      </c>
      <c r="AV51" s="136">
        <v>47.13</v>
      </c>
      <c r="AW51" s="136">
        <v>45.92</v>
      </c>
    </row>
    <row r="52" spans="1:49" x14ac:dyDescent="0.45">
      <c r="A52" s="2">
        <v>82.31</v>
      </c>
      <c r="B52" s="15">
        <v>84.06</v>
      </c>
      <c r="C52" s="3">
        <v>85.81</v>
      </c>
      <c r="D52" s="188">
        <v>95.07</v>
      </c>
      <c r="E52" s="189">
        <v>96.81</v>
      </c>
      <c r="F52" s="189">
        <v>98.56</v>
      </c>
      <c r="G52" s="189">
        <v>100.31</v>
      </c>
      <c r="H52" s="190">
        <v>102.06</v>
      </c>
      <c r="I52" s="184">
        <v>103.8</v>
      </c>
      <c r="J52" s="184">
        <v>105.55</v>
      </c>
      <c r="K52" s="184">
        <v>107.3</v>
      </c>
      <c r="L52" s="184">
        <v>109.04</v>
      </c>
      <c r="M52" s="184">
        <v>110.79</v>
      </c>
      <c r="N52" s="184">
        <v>112.54</v>
      </c>
      <c r="O52" s="136">
        <v>106.77</v>
      </c>
      <c r="P52" s="136">
        <v>108.52</v>
      </c>
      <c r="Q52" s="136">
        <v>110.27</v>
      </c>
      <c r="R52" s="136">
        <v>112.01</v>
      </c>
      <c r="S52" s="136">
        <v>80.56</v>
      </c>
      <c r="T52" s="136">
        <v>78.819999999999993</v>
      </c>
      <c r="U52" s="136">
        <v>77.069999999999993</v>
      </c>
      <c r="V52" s="136">
        <v>75.319999999999993</v>
      </c>
      <c r="W52" s="136">
        <v>73.58</v>
      </c>
      <c r="X52" s="7">
        <v>48</v>
      </c>
      <c r="Y52" s="136">
        <v>50.58</v>
      </c>
      <c r="Z52" s="136">
        <v>51.81</v>
      </c>
      <c r="AA52" s="2">
        <v>53.05</v>
      </c>
      <c r="AB52" s="15">
        <v>54.28</v>
      </c>
      <c r="AC52" s="3">
        <v>55.52</v>
      </c>
      <c r="AD52" s="188">
        <v>61.85</v>
      </c>
      <c r="AE52" s="189">
        <v>63.08</v>
      </c>
      <c r="AF52" s="189">
        <v>64.319999999999993</v>
      </c>
      <c r="AG52" s="201">
        <v>65.55</v>
      </c>
      <c r="AH52" s="190">
        <v>66.790000000000006</v>
      </c>
      <c r="AI52" s="184">
        <v>68.02</v>
      </c>
      <c r="AJ52" s="184">
        <v>69.25</v>
      </c>
      <c r="AK52" s="184">
        <v>70.489999999999995</v>
      </c>
      <c r="AL52" s="184">
        <v>71.72</v>
      </c>
      <c r="AM52" s="184">
        <v>72.95</v>
      </c>
      <c r="AN52" s="184">
        <v>74.19</v>
      </c>
      <c r="AO52" s="136">
        <v>70.319999999999993</v>
      </c>
      <c r="AP52" s="136">
        <v>71.55</v>
      </c>
      <c r="AQ52" s="136">
        <v>72.790000000000006</v>
      </c>
      <c r="AR52" s="136">
        <v>74.02</v>
      </c>
      <c r="AS52" s="136">
        <v>51.81</v>
      </c>
      <c r="AT52" s="136">
        <v>50.58</v>
      </c>
      <c r="AU52" s="136">
        <v>49.35</v>
      </c>
      <c r="AV52" s="136">
        <v>48.11</v>
      </c>
      <c r="AW52" s="136">
        <v>46.88</v>
      </c>
    </row>
    <row r="53" spans="1:49" x14ac:dyDescent="0.45">
      <c r="A53" s="2">
        <v>84</v>
      </c>
      <c r="B53" s="15">
        <v>85.78</v>
      </c>
      <c r="C53" s="3">
        <v>87.57</v>
      </c>
      <c r="D53" s="188">
        <v>97.01</v>
      </c>
      <c r="E53" s="189">
        <v>98.8</v>
      </c>
      <c r="F53" s="189">
        <v>100.58</v>
      </c>
      <c r="G53" s="189">
        <v>102.37</v>
      </c>
      <c r="H53" s="190">
        <v>104.15</v>
      </c>
      <c r="I53" s="184">
        <v>105.93</v>
      </c>
      <c r="J53" s="184">
        <v>107.72</v>
      </c>
      <c r="K53" s="184">
        <v>109.5</v>
      </c>
      <c r="L53" s="184">
        <v>111.28</v>
      </c>
      <c r="M53" s="184">
        <v>113.07</v>
      </c>
      <c r="N53" s="184">
        <v>114.85</v>
      </c>
      <c r="O53" s="136">
        <v>108.97</v>
      </c>
      <c r="P53" s="136">
        <v>110.75</v>
      </c>
      <c r="Q53" s="136">
        <v>112.54</v>
      </c>
      <c r="R53" s="136">
        <v>114.32</v>
      </c>
      <c r="S53" s="136">
        <v>82.22</v>
      </c>
      <c r="T53" s="136">
        <v>80.430000000000007</v>
      </c>
      <c r="U53" s="136">
        <v>78.650000000000006</v>
      </c>
      <c r="V53" s="136">
        <v>76.87</v>
      </c>
      <c r="W53" s="136">
        <v>75.08</v>
      </c>
      <c r="X53" s="7">
        <v>49</v>
      </c>
      <c r="Y53" s="136">
        <v>51.63</v>
      </c>
      <c r="Z53" s="136">
        <v>52.89</v>
      </c>
      <c r="AA53" s="2">
        <v>54.15</v>
      </c>
      <c r="AB53" s="15">
        <v>55.41</v>
      </c>
      <c r="AC53" s="3">
        <v>56.67</v>
      </c>
      <c r="AD53" s="188">
        <v>63.13</v>
      </c>
      <c r="AE53" s="189">
        <v>64.39</v>
      </c>
      <c r="AF53" s="189">
        <v>65.650000000000006</v>
      </c>
      <c r="AG53" s="201">
        <v>66.91</v>
      </c>
      <c r="AH53" s="190">
        <v>68.17</v>
      </c>
      <c r="AI53" s="184">
        <v>69.430000000000007</v>
      </c>
      <c r="AJ53" s="184">
        <v>70.69</v>
      </c>
      <c r="AK53" s="184">
        <v>71.95</v>
      </c>
      <c r="AL53" s="184">
        <v>73.209999999999994</v>
      </c>
      <c r="AM53" s="184">
        <v>74.47</v>
      </c>
      <c r="AN53" s="184">
        <v>75.73</v>
      </c>
      <c r="AO53" s="136">
        <v>71.78</v>
      </c>
      <c r="AP53" s="136">
        <v>73.040000000000006</v>
      </c>
      <c r="AQ53" s="136">
        <v>74.3</v>
      </c>
      <c r="AR53" s="136">
        <v>75.56</v>
      </c>
      <c r="AS53" s="136">
        <v>52.89</v>
      </c>
      <c r="AT53" s="136">
        <v>51.63</v>
      </c>
      <c r="AU53" s="136">
        <v>50.37</v>
      </c>
      <c r="AV53" s="136">
        <v>49.11</v>
      </c>
      <c r="AW53" s="136">
        <v>47.85</v>
      </c>
    </row>
    <row r="54" spans="1:49" x14ac:dyDescent="0.45">
      <c r="A54" s="2">
        <v>85.7</v>
      </c>
      <c r="B54" s="15">
        <v>87.52</v>
      </c>
      <c r="C54" s="3">
        <v>89.34</v>
      </c>
      <c r="D54" s="188">
        <v>98.97</v>
      </c>
      <c r="E54" s="189">
        <v>100.79</v>
      </c>
      <c r="F54" s="189">
        <v>102.61</v>
      </c>
      <c r="G54" s="189">
        <v>104.43</v>
      </c>
      <c r="H54" s="190">
        <v>106.25</v>
      </c>
      <c r="I54" s="184">
        <v>108.07</v>
      </c>
      <c r="J54" s="184">
        <v>109.89</v>
      </c>
      <c r="K54" s="184">
        <v>111.71</v>
      </c>
      <c r="L54" s="184">
        <v>113.53</v>
      </c>
      <c r="M54" s="184">
        <v>115.35</v>
      </c>
      <c r="N54" s="184">
        <v>117.17</v>
      </c>
      <c r="O54" s="136">
        <v>111.18</v>
      </c>
      <c r="P54" s="136">
        <v>113</v>
      </c>
      <c r="Q54" s="136">
        <v>114.82</v>
      </c>
      <c r="R54" s="136">
        <v>116.64</v>
      </c>
      <c r="S54" s="136">
        <v>83.88</v>
      </c>
      <c r="T54" s="136">
        <v>82.06</v>
      </c>
      <c r="U54" s="136">
        <v>80.239999999999995</v>
      </c>
      <c r="V54" s="136">
        <v>78.42</v>
      </c>
      <c r="W54" s="136">
        <v>76.599999999999994</v>
      </c>
      <c r="X54" s="7">
        <v>50</v>
      </c>
      <c r="Y54" s="136">
        <v>52.68</v>
      </c>
      <c r="Z54" s="136">
        <v>53.96</v>
      </c>
      <c r="AA54" s="2">
        <v>55.25</v>
      </c>
      <c r="AB54" s="15">
        <v>56.53</v>
      </c>
      <c r="AC54" s="3">
        <v>57.82</v>
      </c>
      <c r="AD54" s="188">
        <v>64.41</v>
      </c>
      <c r="AE54" s="189">
        <v>65.7</v>
      </c>
      <c r="AF54" s="189">
        <v>66.98</v>
      </c>
      <c r="AG54" s="201">
        <v>68.27</v>
      </c>
      <c r="AH54" s="190">
        <v>69.55</v>
      </c>
      <c r="AI54" s="184">
        <v>70.84</v>
      </c>
      <c r="AJ54" s="184">
        <v>72.12</v>
      </c>
      <c r="AK54" s="184">
        <v>73.41</v>
      </c>
      <c r="AL54" s="184">
        <v>74.69</v>
      </c>
      <c r="AM54" s="184">
        <v>75.98</v>
      </c>
      <c r="AN54" s="184">
        <v>77.260000000000005</v>
      </c>
      <c r="AO54" s="136">
        <v>73.239999999999995</v>
      </c>
      <c r="AP54" s="136">
        <v>74.52</v>
      </c>
      <c r="AQ54" s="136">
        <v>75.81</v>
      </c>
      <c r="AR54" s="136">
        <v>77.09</v>
      </c>
      <c r="AS54" s="136">
        <v>53.96</v>
      </c>
      <c r="AT54" s="136">
        <v>52.68</v>
      </c>
      <c r="AU54" s="136">
        <v>51.39</v>
      </c>
      <c r="AV54" s="136">
        <v>50.11</v>
      </c>
      <c r="AW54" s="136">
        <v>48.82</v>
      </c>
    </row>
    <row r="55" spans="1:49" x14ac:dyDescent="0.45">
      <c r="A55" s="2">
        <v>87.41</v>
      </c>
      <c r="B55" s="15">
        <v>89.26</v>
      </c>
      <c r="C55" s="3">
        <v>91.12</v>
      </c>
      <c r="D55" s="188">
        <v>100.95</v>
      </c>
      <c r="E55" s="189">
        <v>102.8</v>
      </c>
      <c r="F55" s="189">
        <v>104.66</v>
      </c>
      <c r="G55" s="189">
        <v>106.52</v>
      </c>
      <c r="H55" s="190">
        <v>108.37</v>
      </c>
      <c r="I55" s="184">
        <v>110.23</v>
      </c>
      <c r="J55" s="184">
        <v>112.09</v>
      </c>
      <c r="K55" s="184">
        <v>113.94</v>
      </c>
      <c r="L55" s="184">
        <v>115.8</v>
      </c>
      <c r="M55" s="184">
        <v>117.65</v>
      </c>
      <c r="N55" s="184">
        <v>119.51</v>
      </c>
      <c r="O55" s="136">
        <v>113.4</v>
      </c>
      <c r="P55" s="136">
        <v>115.25</v>
      </c>
      <c r="Q55" s="136">
        <v>117.11</v>
      </c>
      <c r="R55" s="136">
        <v>118.97</v>
      </c>
      <c r="S55" s="136">
        <v>85.55</v>
      </c>
      <c r="T55" s="136">
        <v>83.7</v>
      </c>
      <c r="U55" s="136">
        <v>81.84</v>
      </c>
      <c r="V55" s="136">
        <v>79.98</v>
      </c>
      <c r="W55" s="136">
        <v>78.13</v>
      </c>
      <c r="X55" s="7">
        <v>51</v>
      </c>
      <c r="Y55" s="136">
        <v>53.72</v>
      </c>
      <c r="Z55" s="136">
        <v>55.03</v>
      </c>
      <c r="AA55" s="2">
        <v>56.35</v>
      </c>
      <c r="AB55" s="15">
        <v>57.66</v>
      </c>
      <c r="AC55" s="3">
        <v>58.97</v>
      </c>
      <c r="AD55" s="188">
        <v>65.69</v>
      </c>
      <c r="AE55" s="189">
        <v>67</v>
      </c>
      <c r="AF55" s="189">
        <v>68.31</v>
      </c>
      <c r="AG55" s="201">
        <v>69.62</v>
      </c>
      <c r="AH55" s="190">
        <v>70.930000000000007</v>
      </c>
      <c r="AI55" s="184">
        <v>72.239999999999995</v>
      </c>
      <c r="AJ55" s="184">
        <v>73.55</v>
      </c>
      <c r="AK55" s="184">
        <v>74.87</v>
      </c>
      <c r="AL55" s="184">
        <v>76.180000000000007</v>
      </c>
      <c r="AM55" s="184">
        <v>77.489999999999995</v>
      </c>
      <c r="AN55" s="184">
        <v>78.8</v>
      </c>
      <c r="AO55" s="136">
        <v>74.7</v>
      </c>
      <c r="AP55" s="136">
        <v>76.010000000000005</v>
      </c>
      <c r="AQ55" s="136">
        <v>77.319999999999993</v>
      </c>
      <c r="AR55" s="136">
        <v>78.63</v>
      </c>
      <c r="AS55" s="136">
        <v>55.03</v>
      </c>
      <c r="AT55" s="136">
        <v>53.72</v>
      </c>
      <c r="AU55" s="136">
        <v>52.41</v>
      </c>
      <c r="AV55" s="136">
        <v>51.1</v>
      </c>
      <c r="AW55" s="136">
        <v>49.79</v>
      </c>
    </row>
    <row r="56" spans="1:49" x14ac:dyDescent="0.45">
      <c r="A56" s="2">
        <v>89.1</v>
      </c>
      <c r="B56" s="15">
        <v>90.99</v>
      </c>
      <c r="C56" s="3">
        <v>92.88</v>
      </c>
      <c r="D56" s="188">
        <v>102.9</v>
      </c>
      <c r="E56" s="189">
        <v>104.79</v>
      </c>
      <c r="F56" s="189">
        <v>106.68</v>
      </c>
      <c r="G56" s="189">
        <v>108.58</v>
      </c>
      <c r="H56" s="190">
        <v>110.47</v>
      </c>
      <c r="I56" s="184">
        <v>112.36</v>
      </c>
      <c r="J56" s="184">
        <v>114.25</v>
      </c>
      <c r="K56" s="184">
        <v>116.15</v>
      </c>
      <c r="L56" s="184">
        <v>118.04</v>
      </c>
      <c r="M56" s="184">
        <v>119.93</v>
      </c>
      <c r="N56" s="184">
        <v>121.83</v>
      </c>
      <c r="O56" s="136">
        <v>115.6</v>
      </c>
      <c r="P56" s="136">
        <v>117.49</v>
      </c>
      <c r="Q56" s="136">
        <v>119.38</v>
      </c>
      <c r="R56" s="136">
        <v>121.28</v>
      </c>
      <c r="S56" s="136">
        <v>87.21</v>
      </c>
      <c r="T56" s="136">
        <v>85.31</v>
      </c>
      <c r="U56" s="136">
        <v>83.42</v>
      </c>
      <c r="V56" s="136">
        <v>81.53</v>
      </c>
      <c r="W56" s="136">
        <v>79.63</v>
      </c>
      <c r="X56" s="7">
        <v>52</v>
      </c>
      <c r="Y56" s="136">
        <v>54.77</v>
      </c>
      <c r="Z56" s="136">
        <v>56.1</v>
      </c>
      <c r="AA56" s="2">
        <v>57.44</v>
      </c>
      <c r="AB56" s="15">
        <v>58.78</v>
      </c>
      <c r="AC56" s="3">
        <v>60.11</v>
      </c>
      <c r="AD56" s="188">
        <v>66.959999999999994</v>
      </c>
      <c r="AE56" s="189">
        <v>68.3</v>
      </c>
      <c r="AF56" s="189">
        <v>69.64</v>
      </c>
      <c r="AG56" s="201">
        <v>70.97</v>
      </c>
      <c r="AH56" s="190">
        <v>72.31</v>
      </c>
      <c r="AI56" s="184">
        <v>73.64</v>
      </c>
      <c r="AJ56" s="184">
        <v>74.98</v>
      </c>
      <c r="AK56" s="184">
        <v>76.319999999999993</v>
      </c>
      <c r="AL56" s="184">
        <v>77.650000000000006</v>
      </c>
      <c r="AM56" s="184">
        <v>78.989999999999995</v>
      </c>
      <c r="AN56" s="184">
        <v>80.33</v>
      </c>
      <c r="AO56" s="136">
        <v>76.150000000000006</v>
      </c>
      <c r="AP56" s="136">
        <v>77.48</v>
      </c>
      <c r="AQ56" s="136">
        <v>78.819999999999993</v>
      </c>
      <c r="AR56" s="136">
        <v>80.16</v>
      </c>
      <c r="AS56" s="136">
        <v>56.1</v>
      </c>
      <c r="AT56" s="136">
        <v>54.77</v>
      </c>
      <c r="AU56" s="136">
        <v>53.43</v>
      </c>
      <c r="AV56" s="136">
        <v>52.09</v>
      </c>
      <c r="AW56" s="136">
        <v>50.76</v>
      </c>
    </row>
    <row r="57" spans="1:49" x14ac:dyDescent="0.45">
      <c r="A57" s="2">
        <v>90.8</v>
      </c>
      <c r="B57" s="15">
        <v>92.73</v>
      </c>
      <c r="C57" s="3">
        <v>94.66</v>
      </c>
      <c r="D57" s="188">
        <v>104.86</v>
      </c>
      <c r="E57" s="189">
        <v>106.79</v>
      </c>
      <c r="F57" s="189">
        <v>108.72</v>
      </c>
      <c r="G57" s="189">
        <v>110.65</v>
      </c>
      <c r="H57" s="190">
        <v>112.58</v>
      </c>
      <c r="I57" s="184">
        <v>114.51</v>
      </c>
      <c r="J57" s="184">
        <v>116.43</v>
      </c>
      <c r="K57" s="184">
        <v>118.36</v>
      </c>
      <c r="L57" s="184">
        <v>120.29</v>
      </c>
      <c r="M57" s="184">
        <v>122.22</v>
      </c>
      <c r="N57" s="184">
        <v>124.15</v>
      </c>
      <c r="O57" s="136">
        <v>117.81</v>
      </c>
      <c r="P57" s="136">
        <v>119.74</v>
      </c>
      <c r="Q57" s="136">
        <v>121.67</v>
      </c>
      <c r="R57" s="136">
        <v>123.6</v>
      </c>
      <c r="S57" s="136">
        <v>88.87</v>
      </c>
      <c r="T57" s="136">
        <v>86.94</v>
      </c>
      <c r="U57" s="136">
        <v>85.01</v>
      </c>
      <c r="V57" s="136">
        <v>83.08</v>
      </c>
      <c r="W57" s="136">
        <v>81.150000000000006</v>
      </c>
      <c r="X57" s="7">
        <v>53</v>
      </c>
      <c r="Y57" s="136">
        <v>55.81</v>
      </c>
      <c r="Z57" s="136">
        <v>57.17</v>
      </c>
      <c r="AA57" s="2">
        <v>58.53</v>
      </c>
      <c r="AB57" s="15">
        <v>59.9</v>
      </c>
      <c r="AC57" s="3">
        <v>61.26</v>
      </c>
      <c r="AD57" s="188">
        <v>68.239999999999995</v>
      </c>
      <c r="AE57" s="189">
        <v>69.599999999999994</v>
      </c>
      <c r="AF57" s="189">
        <v>70.959999999999994</v>
      </c>
      <c r="AG57" s="201">
        <v>72.319999999999993</v>
      </c>
      <c r="AH57" s="190">
        <v>73.69</v>
      </c>
      <c r="AI57" s="184">
        <v>75.05</v>
      </c>
      <c r="AJ57" s="184">
        <v>76.41</v>
      </c>
      <c r="AK57" s="184">
        <v>77.77</v>
      </c>
      <c r="AL57" s="184">
        <v>79.13</v>
      </c>
      <c r="AM57" s="184">
        <v>80.5</v>
      </c>
      <c r="AN57" s="184">
        <v>81.86</v>
      </c>
      <c r="AO57" s="136">
        <v>77.599999999999994</v>
      </c>
      <c r="AP57" s="136">
        <v>78.97</v>
      </c>
      <c r="AQ57" s="136">
        <v>80.33</v>
      </c>
      <c r="AR57" s="136">
        <v>81.69</v>
      </c>
      <c r="AS57" s="136">
        <v>57.17</v>
      </c>
      <c r="AT57" s="136">
        <v>55.81</v>
      </c>
      <c r="AU57" s="136">
        <v>54.45</v>
      </c>
      <c r="AV57" s="136">
        <v>53.09</v>
      </c>
      <c r="AW57" s="136">
        <v>51.72</v>
      </c>
    </row>
    <row r="58" spans="1:49" x14ac:dyDescent="0.45">
      <c r="A58" s="2">
        <v>92.51</v>
      </c>
      <c r="B58" s="15">
        <v>94.47</v>
      </c>
      <c r="C58" s="3">
        <v>96.44</v>
      </c>
      <c r="D58" s="188">
        <v>106.83</v>
      </c>
      <c r="E58" s="189">
        <v>108.8</v>
      </c>
      <c r="F58" s="189">
        <v>110.76</v>
      </c>
      <c r="G58" s="189">
        <v>112.73</v>
      </c>
      <c r="H58" s="190">
        <v>114.7</v>
      </c>
      <c r="I58" s="184">
        <v>116.66</v>
      </c>
      <c r="J58" s="184">
        <v>118.63</v>
      </c>
      <c r="K58" s="184">
        <v>120.59</v>
      </c>
      <c r="L58" s="184">
        <v>122.56</v>
      </c>
      <c r="M58" s="184">
        <v>124.52</v>
      </c>
      <c r="N58" s="184">
        <v>126.49</v>
      </c>
      <c r="O58" s="136">
        <v>120.03</v>
      </c>
      <c r="P58" s="136">
        <v>121.99</v>
      </c>
      <c r="Q58" s="136">
        <v>123.96</v>
      </c>
      <c r="R58" s="136">
        <v>125.92</v>
      </c>
      <c r="S58" s="136">
        <v>90.54</v>
      </c>
      <c r="T58" s="136">
        <v>88.58</v>
      </c>
      <c r="U58" s="136">
        <v>86.61</v>
      </c>
      <c r="V58" s="136">
        <v>84.65</v>
      </c>
      <c r="W58" s="136">
        <v>82.68</v>
      </c>
      <c r="X58" s="7">
        <v>54</v>
      </c>
      <c r="Y58" s="136">
        <v>56.86</v>
      </c>
      <c r="Z58" s="136">
        <v>58.24</v>
      </c>
      <c r="AA58" s="2">
        <v>59.63</v>
      </c>
      <c r="AB58" s="15">
        <v>61.02</v>
      </c>
      <c r="AC58" s="3">
        <v>62.41</v>
      </c>
      <c r="AD58" s="188">
        <v>69.52</v>
      </c>
      <c r="AE58" s="189">
        <v>70.900000000000006</v>
      </c>
      <c r="AF58" s="189">
        <v>72.290000000000006</v>
      </c>
      <c r="AG58" s="201">
        <v>73.680000000000007</v>
      </c>
      <c r="AH58" s="190">
        <v>75.069999999999993</v>
      </c>
      <c r="AI58" s="184">
        <v>76.459999999999994</v>
      </c>
      <c r="AJ58" s="184">
        <v>77.84</v>
      </c>
      <c r="AK58" s="184">
        <v>79.23</v>
      </c>
      <c r="AL58" s="184">
        <v>80.62</v>
      </c>
      <c r="AM58" s="184">
        <v>82.01</v>
      </c>
      <c r="AN58" s="184">
        <v>83.39</v>
      </c>
      <c r="AO58" s="136">
        <v>79.06</v>
      </c>
      <c r="AP58" s="136">
        <v>80.45</v>
      </c>
      <c r="AQ58" s="136">
        <v>81.84</v>
      </c>
      <c r="AR58" s="136">
        <v>83.22</v>
      </c>
      <c r="AS58" s="136">
        <v>58.24</v>
      </c>
      <c r="AT58" s="136">
        <v>56.86</v>
      </c>
      <c r="AU58" s="136">
        <v>55.47</v>
      </c>
      <c r="AV58" s="136">
        <v>54.08</v>
      </c>
      <c r="AW58" s="136">
        <v>52.69</v>
      </c>
    </row>
    <row r="59" spans="1:49" x14ac:dyDescent="0.45">
      <c r="A59" s="2">
        <v>94.2</v>
      </c>
      <c r="B59" s="15">
        <v>96.2</v>
      </c>
      <c r="C59" s="3">
        <v>98.2</v>
      </c>
      <c r="D59" s="188">
        <v>108.78</v>
      </c>
      <c r="E59" s="189">
        <v>110.78</v>
      </c>
      <c r="F59" s="189">
        <v>112.78</v>
      </c>
      <c r="G59" s="189">
        <v>114.79</v>
      </c>
      <c r="H59" s="190">
        <v>116.79</v>
      </c>
      <c r="I59" s="184">
        <v>118.79</v>
      </c>
      <c r="J59" s="184">
        <v>120.79</v>
      </c>
      <c r="K59" s="184">
        <v>122.79</v>
      </c>
      <c r="L59" s="184">
        <v>124.8</v>
      </c>
      <c r="M59" s="184">
        <v>126.8</v>
      </c>
      <c r="N59" s="184">
        <v>128.80000000000001</v>
      </c>
      <c r="O59" s="136">
        <v>122.23</v>
      </c>
      <c r="P59" s="136">
        <v>124.23</v>
      </c>
      <c r="Q59" s="136">
        <v>126.23</v>
      </c>
      <c r="R59" s="136">
        <v>128.22999999999999</v>
      </c>
      <c r="S59" s="136">
        <v>92.2</v>
      </c>
      <c r="T59" s="136">
        <v>90.19</v>
      </c>
      <c r="U59" s="136">
        <v>88.19</v>
      </c>
      <c r="V59" s="136">
        <v>86.19</v>
      </c>
      <c r="W59" s="136">
        <v>84.19</v>
      </c>
      <c r="X59" s="7">
        <v>55</v>
      </c>
      <c r="Y59" s="136">
        <v>57.91</v>
      </c>
      <c r="Z59" s="136">
        <v>59.32</v>
      </c>
      <c r="AA59" s="2">
        <v>60.73</v>
      </c>
      <c r="AB59" s="15">
        <v>62.15</v>
      </c>
      <c r="AC59" s="3">
        <v>63.56</v>
      </c>
      <c r="AD59" s="188">
        <v>70.8</v>
      </c>
      <c r="AE59" s="189">
        <v>72.209999999999994</v>
      </c>
      <c r="AF59" s="189">
        <v>73.63</v>
      </c>
      <c r="AG59" s="201">
        <v>75.040000000000006</v>
      </c>
      <c r="AH59" s="190">
        <v>76.45</v>
      </c>
      <c r="AI59" s="184">
        <v>77.87</v>
      </c>
      <c r="AJ59" s="184">
        <v>79.28</v>
      </c>
      <c r="AK59" s="184">
        <v>80.69</v>
      </c>
      <c r="AL59" s="184">
        <v>82.11</v>
      </c>
      <c r="AM59" s="184">
        <v>83.52</v>
      </c>
      <c r="AN59" s="184">
        <v>84.93</v>
      </c>
      <c r="AO59" s="136">
        <v>80.52</v>
      </c>
      <c r="AP59" s="136">
        <v>81.94</v>
      </c>
      <c r="AQ59" s="136">
        <v>83.35</v>
      </c>
      <c r="AR59" s="136">
        <v>84.76</v>
      </c>
      <c r="AS59" s="136">
        <v>59.32</v>
      </c>
      <c r="AT59" s="136">
        <v>57.91</v>
      </c>
      <c r="AU59" s="136">
        <v>56.49</v>
      </c>
      <c r="AV59" s="136">
        <v>55.08</v>
      </c>
      <c r="AW59" s="136">
        <v>53.67</v>
      </c>
    </row>
    <row r="60" spans="1:49" x14ac:dyDescent="0.45">
      <c r="A60" s="2">
        <v>95.89</v>
      </c>
      <c r="B60" s="15">
        <v>97.93</v>
      </c>
      <c r="C60" s="3">
        <v>99.97</v>
      </c>
      <c r="D60" s="188">
        <v>110.74</v>
      </c>
      <c r="E60" s="189">
        <v>112.78</v>
      </c>
      <c r="F60" s="189">
        <v>114.81</v>
      </c>
      <c r="G60" s="189">
        <v>116.85</v>
      </c>
      <c r="H60" s="190">
        <v>118.89</v>
      </c>
      <c r="I60" s="184">
        <v>120.93</v>
      </c>
      <c r="J60" s="184">
        <v>122.97</v>
      </c>
      <c r="K60" s="184">
        <v>125.01</v>
      </c>
      <c r="L60" s="184">
        <v>127.05</v>
      </c>
      <c r="M60" s="184">
        <v>129.08000000000001</v>
      </c>
      <c r="N60" s="184">
        <v>131.12</v>
      </c>
      <c r="O60" s="136">
        <v>124.43</v>
      </c>
      <c r="P60" s="136">
        <v>126.47</v>
      </c>
      <c r="Q60" s="136">
        <v>128.51</v>
      </c>
      <c r="R60" s="136">
        <v>130.55000000000001</v>
      </c>
      <c r="S60" s="136">
        <v>93.86</v>
      </c>
      <c r="T60" s="136">
        <v>91.82</v>
      </c>
      <c r="U60" s="136">
        <v>89.78</v>
      </c>
      <c r="V60" s="136">
        <v>87.74</v>
      </c>
      <c r="W60" s="136">
        <v>85.7</v>
      </c>
      <c r="X60" s="7">
        <v>56</v>
      </c>
      <c r="Y60" s="136">
        <v>58.95</v>
      </c>
      <c r="Z60" s="136">
        <v>60.39</v>
      </c>
      <c r="AA60" s="2">
        <v>61.83</v>
      </c>
      <c r="AB60" s="15">
        <v>63.27</v>
      </c>
      <c r="AC60" s="3">
        <v>64.7</v>
      </c>
      <c r="AD60" s="188">
        <v>72.069999999999993</v>
      </c>
      <c r="AE60" s="189">
        <v>73.510000000000005</v>
      </c>
      <c r="AF60" s="189">
        <v>74.95</v>
      </c>
      <c r="AG60" s="201">
        <v>76.39</v>
      </c>
      <c r="AH60" s="190">
        <v>77.83</v>
      </c>
      <c r="AI60" s="184">
        <v>79.27</v>
      </c>
      <c r="AJ60" s="184">
        <v>80.709999999999994</v>
      </c>
      <c r="AK60" s="184">
        <v>82.15</v>
      </c>
      <c r="AL60" s="184">
        <v>83.58</v>
      </c>
      <c r="AM60" s="184">
        <v>85.02</v>
      </c>
      <c r="AN60" s="184">
        <v>86.46</v>
      </c>
      <c r="AO60" s="136">
        <v>81.98</v>
      </c>
      <c r="AP60" s="136">
        <v>83.41</v>
      </c>
      <c r="AQ60" s="136">
        <v>84.85</v>
      </c>
      <c r="AR60" s="136">
        <v>86.29</v>
      </c>
      <c r="AS60" s="136">
        <v>60.39</v>
      </c>
      <c r="AT60" s="136">
        <v>58.95</v>
      </c>
      <c r="AU60" s="136">
        <v>57.51</v>
      </c>
      <c r="AV60" s="136">
        <v>56.07</v>
      </c>
      <c r="AW60" s="136">
        <v>54.63</v>
      </c>
    </row>
    <row r="61" spans="1:49" x14ac:dyDescent="0.45">
      <c r="A61" s="2">
        <v>97.6</v>
      </c>
      <c r="B61" s="15">
        <v>99.68</v>
      </c>
      <c r="C61" s="3">
        <v>101.75</v>
      </c>
      <c r="D61" s="188">
        <v>112.71</v>
      </c>
      <c r="E61" s="189">
        <v>114.78</v>
      </c>
      <c r="F61" s="189">
        <v>116.86</v>
      </c>
      <c r="G61" s="189">
        <v>118.93</v>
      </c>
      <c r="H61" s="190">
        <v>121.01</v>
      </c>
      <c r="I61" s="184">
        <v>123.08</v>
      </c>
      <c r="J61" s="184">
        <v>125.16</v>
      </c>
      <c r="K61" s="184">
        <v>127.23</v>
      </c>
      <c r="L61" s="184">
        <v>129.31</v>
      </c>
      <c r="M61" s="184">
        <v>131.38</v>
      </c>
      <c r="N61" s="184">
        <v>133.44999999999999</v>
      </c>
      <c r="O61" s="136">
        <v>126.65</v>
      </c>
      <c r="P61" s="136">
        <v>128.72</v>
      </c>
      <c r="Q61" s="136">
        <v>130.80000000000001</v>
      </c>
      <c r="R61" s="136">
        <v>132.87</v>
      </c>
      <c r="S61" s="136">
        <v>95.53</v>
      </c>
      <c r="T61" s="136">
        <v>93.45</v>
      </c>
      <c r="U61" s="136">
        <v>91.38</v>
      </c>
      <c r="V61" s="136">
        <v>89.3</v>
      </c>
      <c r="W61" s="136">
        <v>87.23</v>
      </c>
      <c r="X61" s="7">
        <v>57</v>
      </c>
      <c r="Y61" s="136">
        <v>59.99</v>
      </c>
      <c r="Z61" s="136">
        <v>61.46</v>
      </c>
      <c r="AA61" s="2">
        <v>62.92</v>
      </c>
      <c r="AB61" s="15">
        <v>64.39</v>
      </c>
      <c r="AC61" s="3">
        <v>65.849999999999994</v>
      </c>
      <c r="AD61" s="188">
        <v>73.349999999999994</v>
      </c>
      <c r="AE61" s="189">
        <v>74.81</v>
      </c>
      <c r="AF61" s="189">
        <v>76.28</v>
      </c>
      <c r="AG61" s="201">
        <v>77.739999999999995</v>
      </c>
      <c r="AH61" s="190">
        <v>79.209999999999994</v>
      </c>
      <c r="AI61" s="184">
        <v>80.67</v>
      </c>
      <c r="AJ61" s="184">
        <v>82.14</v>
      </c>
      <c r="AK61" s="184">
        <v>83.6</v>
      </c>
      <c r="AL61" s="184">
        <v>85.07</v>
      </c>
      <c r="AM61" s="184">
        <v>86.53</v>
      </c>
      <c r="AN61" s="184">
        <v>87.99</v>
      </c>
      <c r="AO61" s="136">
        <v>83.43</v>
      </c>
      <c r="AP61" s="136">
        <v>84.9</v>
      </c>
      <c r="AQ61" s="136">
        <v>86.36</v>
      </c>
      <c r="AR61" s="136">
        <v>87.83</v>
      </c>
      <c r="AS61" s="136">
        <v>61.46</v>
      </c>
      <c r="AT61" s="136">
        <v>59.99</v>
      </c>
      <c r="AU61" s="136">
        <v>58.53</v>
      </c>
      <c r="AV61" s="136">
        <v>57.06</v>
      </c>
      <c r="AW61" s="136">
        <v>55.6</v>
      </c>
    </row>
    <row r="62" spans="1:49" x14ac:dyDescent="0.45">
      <c r="A62" s="2">
        <v>99.32</v>
      </c>
      <c r="B62" s="15">
        <v>101.43</v>
      </c>
      <c r="C62" s="3">
        <v>103.54</v>
      </c>
      <c r="D62" s="188">
        <v>114.69</v>
      </c>
      <c r="E62" s="189">
        <v>116.8</v>
      </c>
      <c r="F62" s="189">
        <v>118.91</v>
      </c>
      <c r="G62" s="189">
        <v>121.02</v>
      </c>
      <c r="H62" s="190">
        <v>123.13</v>
      </c>
      <c r="I62" s="184">
        <v>125.24</v>
      </c>
      <c r="J62" s="184">
        <v>127.36</v>
      </c>
      <c r="K62" s="184">
        <v>129.47</v>
      </c>
      <c r="L62" s="184">
        <v>131.58000000000001</v>
      </c>
      <c r="M62" s="184">
        <v>133.69</v>
      </c>
      <c r="N62" s="184">
        <v>135.80000000000001</v>
      </c>
      <c r="O62" s="136">
        <v>128.87</v>
      </c>
      <c r="P62" s="136">
        <v>130.97999999999999</v>
      </c>
      <c r="Q62" s="136">
        <v>133.1</v>
      </c>
      <c r="R62" s="136">
        <v>135.21</v>
      </c>
      <c r="S62" s="136">
        <v>97.2</v>
      </c>
      <c r="T62" s="136">
        <v>95.09</v>
      </c>
      <c r="U62" s="136">
        <v>92.98</v>
      </c>
      <c r="V62" s="136">
        <v>90.87</v>
      </c>
      <c r="W62" s="136">
        <v>88.76</v>
      </c>
      <c r="X62" s="7">
        <v>58</v>
      </c>
      <c r="Y62" s="136">
        <v>61.04</v>
      </c>
      <c r="Z62" s="136">
        <v>62.53</v>
      </c>
      <c r="AA62" s="2">
        <v>64.02</v>
      </c>
      <c r="AB62" s="15">
        <v>65.510000000000005</v>
      </c>
      <c r="AC62" s="3">
        <v>67</v>
      </c>
      <c r="AD62" s="188">
        <v>74.62</v>
      </c>
      <c r="AE62" s="189">
        <v>76.11</v>
      </c>
      <c r="AF62" s="189">
        <v>77.61</v>
      </c>
      <c r="AG62" s="201">
        <v>79.099999999999994</v>
      </c>
      <c r="AH62" s="190">
        <v>80.59</v>
      </c>
      <c r="AI62" s="184">
        <v>82.08</v>
      </c>
      <c r="AJ62" s="184">
        <v>83.57</v>
      </c>
      <c r="AK62" s="184">
        <v>85.06</v>
      </c>
      <c r="AL62" s="184">
        <v>86.55</v>
      </c>
      <c r="AM62" s="184">
        <v>88.04</v>
      </c>
      <c r="AN62" s="184">
        <v>89.53</v>
      </c>
      <c r="AO62" s="136">
        <v>84.89</v>
      </c>
      <c r="AP62" s="136">
        <v>86.38</v>
      </c>
      <c r="AQ62" s="136">
        <v>87.87</v>
      </c>
      <c r="AR62" s="136">
        <v>89.36</v>
      </c>
      <c r="AS62" s="136">
        <v>62.53</v>
      </c>
      <c r="AT62" s="136">
        <v>61.04</v>
      </c>
      <c r="AU62" s="136">
        <v>59.55</v>
      </c>
      <c r="AV62" s="136">
        <v>58.06</v>
      </c>
      <c r="AW62" s="136">
        <v>56.57</v>
      </c>
    </row>
    <row r="63" spans="1:49" x14ac:dyDescent="0.45">
      <c r="A63" s="2">
        <v>101.01</v>
      </c>
      <c r="B63" s="15">
        <v>103.15</v>
      </c>
      <c r="C63" s="3">
        <v>105.3</v>
      </c>
      <c r="D63" s="188">
        <v>116.64</v>
      </c>
      <c r="E63" s="189">
        <v>118.78</v>
      </c>
      <c r="F63" s="189">
        <v>120.93</v>
      </c>
      <c r="G63" s="189">
        <v>123.08</v>
      </c>
      <c r="H63" s="190">
        <v>125.23</v>
      </c>
      <c r="I63" s="184">
        <v>127.37</v>
      </c>
      <c r="J63" s="184">
        <v>129.52000000000001</v>
      </c>
      <c r="K63" s="184">
        <v>131.66999999999999</v>
      </c>
      <c r="L63" s="184">
        <v>133.82</v>
      </c>
      <c r="M63" s="184">
        <v>135.96</v>
      </c>
      <c r="N63" s="184">
        <v>138.11000000000001</v>
      </c>
      <c r="O63" s="136">
        <v>131.07</v>
      </c>
      <c r="P63" s="136">
        <v>133.22</v>
      </c>
      <c r="Q63" s="136">
        <v>135.37</v>
      </c>
      <c r="R63" s="136">
        <v>137.51</v>
      </c>
      <c r="S63" s="136">
        <v>98.86</v>
      </c>
      <c r="T63" s="136">
        <v>96.71</v>
      </c>
      <c r="U63" s="136">
        <v>94.56</v>
      </c>
      <c r="V63" s="136">
        <v>92.41</v>
      </c>
      <c r="W63" s="136">
        <v>90.27</v>
      </c>
      <c r="X63" s="7">
        <v>59</v>
      </c>
      <c r="Y63" s="136">
        <v>62.09</v>
      </c>
      <c r="Z63" s="136">
        <v>63.6</v>
      </c>
      <c r="AA63" s="2">
        <v>65.12</v>
      </c>
      <c r="AB63" s="15">
        <v>66.64</v>
      </c>
      <c r="AC63" s="3">
        <v>68.150000000000006</v>
      </c>
      <c r="AD63" s="188">
        <v>75.91</v>
      </c>
      <c r="AE63" s="189">
        <v>77.42</v>
      </c>
      <c r="AF63" s="189">
        <v>78.94</v>
      </c>
      <c r="AG63" s="201">
        <v>80.45</v>
      </c>
      <c r="AH63" s="190">
        <v>81.97</v>
      </c>
      <c r="AI63" s="184">
        <v>83.49</v>
      </c>
      <c r="AJ63" s="184">
        <v>85</v>
      </c>
      <c r="AK63" s="184">
        <v>86.52</v>
      </c>
      <c r="AL63" s="184">
        <v>88.04</v>
      </c>
      <c r="AM63" s="184">
        <v>89.55</v>
      </c>
      <c r="AN63" s="184">
        <v>91.07</v>
      </c>
      <c r="AO63" s="136">
        <v>86.35</v>
      </c>
      <c r="AP63" s="136">
        <v>87.86</v>
      </c>
      <c r="AQ63" s="136">
        <v>89.38</v>
      </c>
      <c r="AR63" s="136">
        <v>90.9</v>
      </c>
      <c r="AS63" s="136">
        <v>63.6</v>
      </c>
      <c r="AT63" s="136">
        <v>62.09</v>
      </c>
      <c r="AU63" s="136">
        <v>60.57</v>
      </c>
      <c r="AV63" s="136">
        <v>59.05</v>
      </c>
      <c r="AW63" s="136">
        <v>57.54</v>
      </c>
    </row>
    <row r="64" spans="1:49" x14ac:dyDescent="0.45">
      <c r="A64" s="2">
        <v>102.7</v>
      </c>
      <c r="B64" s="15">
        <v>104.89</v>
      </c>
      <c r="C64" s="3">
        <v>107.07</v>
      </c>
      <c r="D64" s="188">
        <v>118.59</v>
      </c>
      <c r="E64" s="189">
        <v>120.78</v>
      </c>
      <c r="F64" s="189">
        <v>122.96</v>
      </c>
      <c r="G64" s="189">
        <v>125.15</v>
      </c>
      <c r="H64" s="190">
        <v>127.33</v>
      </c>
      <c r="I64" s="184">
        <v>129.51</v>
      </c>
      <c r="J64" s="184">
        <v>131.69999999999999</v>
      </c>
      <c r="K64" s="184">
        <v>133.88</v>
      </c>
      <c r="L64" s="184">
        <v>136.07</v>
      </c>
      <c r="M64" s="184">
        <v>138.25</v>
      </c>
      <c r="N64" s="184">
        <v>140.43</v>
      </c>
      <c r="O64" s="136">
        <v>133.28</v>
      </c>
      <c r="P64" s="136">
        <v>135.46</v>
      </c>
      <c r="Q64" s="136">
        <v>137.65</v>
      </c>
      <c r="R64" s="136">
        <v>139.83000000000001</v>
      </c>
      <c r="S64" s="136">
        <v>100.52</v>
      </c>
      <c r="T64" s="136">
        <v>98.33</v>
      </c>
      <c r="U64" s="136">
        <v>96.15</v>
      </c>
      <c r="V64" s="136">
        <v>93.97</v>
      </c>
      <c r="W64" s="136">
        <v>91.78</v>
      </c>
      <c r="X64" s="7">
        <v>60</v>
      </c>
      <c r="Y64" s="136">
        <v>63.14</v>
      </c>
      <c r="Z64" s="136">
        <v>64.680000000000007</v>
      </c>
      <c r="AA64" s="2">
        <v>66.22</v>
      </c>
      <c r="AB64" s="15">
        <v>67.760000000000005</v>
      </c>
      <c r="AC64" s="3">
        <v>69.31</v>
      </c>
      <c r="AD64" s="188">
        <v>77.19</v>
      </c>
      <c r="AE64" s="189">
        <v>78.73</v>
      </c>
      <c r="AF64" s="189">
        <v>80.27</v>
      </c>
      <c r="AG64" s="201">
        <v>81.819999999999993</v>
      </c>
      <c r="AH64" s="190">
        <v>83.36</v>
      </c>
      <c r="AI64" s="184">
        <v>84.9</v>
      </c>
      <c r="AJ64" s="184">
        <v>86.44</v>
      </c>
      <c r="AK64" s="184">
        <v>87.98</v>
      </c>
      <c r="AL64" s="184">
        <v>89.53</v>
      </c>
      <c r="AM64" s="184">
        <v>91.07</v>
      </c>
      <c r="AN64" s="184">
        <v>92.61</v>
      </c>
      <c r="AO64" s="136">
        <v>87.81</v>
      </c>
      <c r="AP64" s="136">
        <v>89.35</v>
      </c>
      <c r="AQ64" s="136">
        <v>90.89</v>
      </c>
      <c r="AR64" s="136">
        <v>92.44</v>
      </c>
      <c r="AS64" s="136">
        <v>64.680000000000007</v>
      </c>
      <c r="AT64" s="136">
        <v>63.14</v>
      </c>
      <c r="AU64" s="136">
        <v>61.6</v>
      </c>
      <c r="AV64" s="136">
        <v>60.05</v>
      </c>
      <c r="AW64" s="136">
        <v>58.51</v>
      </c>
    </row>
    <row r="65" spans="1:49" x14ac:dyDescent="0.45">
      <c r="A65" s="2">
        <v>104.41</v>
      </c>
      <c r="B65" s="15">
        <v>106.63</v>
      </c>
      <c r="C65" s="3">
        <v>108.85</v>
      </c>
      <c r="D65" s="188">
        <v>120.56</v>
      </c>
      <c r="E65" s="189">
        <v>122.78</v>
      </c>
      <c r="F65" s="189">
        <v>125</v>
      </c>
      <c r="G65" s="189">
        <v>127.22</v>
      </c>
      <c r="H65" s="190">
        <v>129.44</v>
      </c>
      <c r="I65" s="184">
        <v>131.66</v>
      </c>
      <c r="J65" s="184">
        <v>133.88</v>
      </c>
      <c r="K65" s="184">
        <v>136.1</v>
      </c>
      <c r="L65" s="184">
        <v>138.33000000000001</v>
      </c>
      <c r="M65" s="184">
        <v>140.55000000000001</v>
      </c>
      <c r="N65" s="184">
        <v>142.77000000000001</v>
      </c>
      <c r="O65" s="136">
        <v>135.49</v>
      </c>
      <c r="P65" s="136">
        <v>137.71</v>
      </c>
      <c r="Q65" s="136">
        <v>139.93</v>
      </c>
      <c r="R65" s="136">
        <v>142.15</v>
      </c>
      <c r="S65" s="136">
        <v>102.19</v>
      </c>
      <c r="T65" s="136">
        <v>99.97</v>
      </c>
      <c r="U65" s="136">
        <v>97.75</v>
      </c>
      <c r="V65" s="136">
        <v>95.53</v>
      </c>
      <c r="W65" s="136">
        <v>93.31</v>
      </c>
      <c r="X65" s="7">
        <v>61</v>
      </c>
      <c r="Y65" s="136">
        <v>64.180000000000007</v>
      </c>
      <c r="Z65" s="136">
        <v>65.75</v>
      </c>
      <c r="AA65" s="2">
        <v>67.319999999999993</v>
      </c>
      <c r="AB65" s="15">
        <v>68.88</v>
      </c>
      <c r="AC65" s="3">
        <v>70.45</v>
      </c>
      <c r="AD65" s="188">
        <v>78.459999999999994</v>
      </c>
      <c r="AE65" s="189">
        <v>80.03</v>
      </c>
      <c r="AF65" s="189">
        <v>81.599999999999994</v>
      </c>
      <c r="AG65" s="201">
        <v>83.17</v>
      </c>
      <c r="AH65" s="190">
        <v>84.73</v>
      </c>
      <c r="AI65" s="184">
        <v>86.3</v>
      </c>
      <c r="AJ65" s="184">
        <v>87.87</v>
      </c>
      <c r="AK65" s="184">
        <v>89.44</v>
      </c>
      <c r="AL65" s="184">
        <v>91</v>
      </c>
      <c r="AM65" s="184">
        <v>92.57</v>
      </c>
      <c r="AN65" s="184">
        <v>94.14</v>
      </c>
      <c r="AO65" s="136">
        <v>89.26</v>
      </c>
      <c r="AP65" s="136">
        <v>90.83</v>
      </c>
      <c r="AQ65" s="136">
        <v>92.4</v>
      </c>
      <c r="AR65" s="136">
        <v>93.97</v>
      </c>
      <c r="AS65" s="136">
        <v>65.75</v>
      </c>
      <c r="AT65" s="136">
        <v>64.180000000000007</v>
      </c>
      <c r="AU65" s="136">
        <v>62.61</v>
      </c>
      <c r="AV65" s="136">
        <v>61.05</v>
      </c>
      <c r="AW65" s="136">
        <v>59.48</v>
      </c>
    </row>
    <row r="66" spans="1:49" x14ac:dyDescent="0.45">
      <c r="A66" s="2">
        <v>106.12</v>
      </c>
      <c r="B66" s="15">
        <v>108.38</v>
      </c>
      <c r="C66" s="3">
        <v>110.64</v>
      </c>
      <c r="D66" s="188">
        <v>122.54</v>
      </c>
      <c r="E66" s="189">
        <v>124.8</v>
      </c>
      <c r="F66" s="189">
        <v>127.06</v>
      </c>
      <c r="G66" s="189">
        <v>129.31</v>
      </c>
      <c r="H66" s="190">
        <v>131.57</v>
      </c>
      <c r="I66" s="184">
        <v>133.83000000000001</v>
      </c>
      <c r="J66" s="184">
        <v>136.08000000000001</v>
      </c>
      <c r="K66" s="184">
        <v>138.34</v>
      </c>
      <c r="L66" s="184">
        <v>140.6</v>
      </c>
      <c r="M66" s="184">
        <v>142.85</v>
      </c>
      <c r="N66" s="184">
        <v>145.11000000000001</v>
      </c>
      <c r="O66" s="136">
        <v>137.72</v>
      </c>
      <c r="P66" s="136">
        <v>139.97</v>
      </c>
      <c r="Q66" s="136">
        <v>142.22999999999999</v>
      </c>
      <c r="R66" s="136">
        <v>144.49</v>
      </c>
      <c r="S66" s="136">
        <v>103.87</v>
      </c>
      <c r="T66" s="136">
        <v>101.61</v>
      </c>
      <c r="U66" s="136">
        <v>99.35</v>
      </c>
      <c r="V66" s="136">
        <v>97.09</v>
      </c>
      <c r="W66" s="136">
        <v>94.84</v>
      </c>
      <c r="X66" s="7">
        <v>62</v>
      </c>
      <c r="Y66" s="136">
        <v>65.23</v>
      </c>
      <c r="Z66" s="136">
        <v>66.819999999999993</v>
      </c>
      <c r="AA66" s="2">
        <v>68.41</v>
      </c>
      <c r="AB66" s="15">
        <v>70.010000000000005</v>
      </c>
      <c r="AC66" s="3">
        <v>71.599999999999994</v>
      </c>
      <c r="AD66" s="188">
        <v>79.739999999999995</v>
      </c>
      <c r="AE66" s="189">
        <v>81.33</v>
      </c>
      <c r="AF66" s="189">
        <v>82.93</v>
      </c>
      <c r="AG66" s="201">
        <v>84.52</v>
      </c>
      <c r="AH66" s="190">
        <v>86.11</v>
      </c>
      <c r="AI66" s="184">
        <v>87.71</v>
      </c>
      <c r="AJ66" s="184">
        <v>89.3</v>
      </c>
      <c r="AK66" s="184">
        <v>90.89</v>
      </c>
      <c r="AL66" s="184">
        <v>92.49</v>
      </c>
      <c r="AM66" s="184">
        <v>94.08</v>
      </c>
      <c r="AN66" s="184">
        <v>95.67</v>
      </c>
      <c r="AO66" s="136">
        <v>90.72</v>
      </c>
      <c r="AP66" s="136">
        <v>92.31</v>
      </c>
      <c r="AQ66" s="136">
        <v>93.91</v>
      </c>
      <c r="AR66" s="136">
        <v>95.5</v>
      </c>
      <c r="AS66" s="136">
        <v>66.819999999999993</v>
      </c>
      <c r="AT66" s="136">
        <v>65.23</v>
      </c>
      <c r="AU66" s="136">
        <v>63.63</v>
      </c>
      <c r="AV66" s="136">
        <v>62.04</v>
      </c>
      <c r="AW66" s="136">
        <v>60.44</v>
      </c>
    </row>
    <row r="67" spans="1:49" x14ac:dyDescent="0.45">
      <c r="A67" s="2">
        <v>107.8</v>
      </c>
      <c r="B67" s="15">
        <v>110.1</v>
      </c>
      <c r="C67" s="3">
        <v>112.39</v>
      </c>
      <c r="D67" s="188">
        <v>124.48</v>
      </c>
      <c r="E67" s="189">
        <v>126.77</v>
      </c>
      <c r="F67" s="189">
        <v>129.07</v>
      </c>
      <c r="G67" s="189">
        <v>131.36000000000001</v>
      </c>
      <c r="H67" s="190">
        <v>133.65</v>
      </c>
      <c r="I67" s="184">
        <v>135.94999999999999</v>
      </c>
      <c r="J67" s="184">
        <v>138.24</v>
      </c>
      <c r="K67" s="184">
        <v>140.53</v>
      </c>
      <c r="L67" s="184">
        <v>142.83000000000001</v>
      </c>
      <c r="M67" s="184">
        <v>145.12</v>
      </c>
      <c r="N67" s="184">
        <v>147.41</v>
      </c>
      <c r="O67" s="136">
        <v>139.91</v>
      </c>
      <c r="P67" s="136">
        <v>142.19999999999999</v>
      </c>
      <c r="Q67" s="136">
        <v>144.5</v>
      </c>
      <c r="R67" s="136">
        <v>146.79</v>
      </c>
      <c r="S67" s="136">
        <v>105.51</v>
      </c>
      <c r="T67" s="136">
        <v>103.22</v>
      </c>
      <c r="U67" s="136">
        <v>100.92</v>
      </c>
      <c r="V67" s="136">
        <v>98.63</v>
      </c>
      <c r="W67" s="136">
        <v>96.34</v>
      </c>
      <c r="X67" s="7">
        <v>63</v>
      </c>
      <c r="Y67" s="136">
        <v>66.27</v>
      </c>
      <c r="Z67" s="136">
        <v>67.89</v>
      </c>
      <c r="AA67" s="2">
        <v>69.510000000000005</v>
      </c>
      <c r="AB67" s="15">
        <v>71.13</v>
      </c>
      <c r="AC67" s="3">
        <v>72.75</v>
      </c>
      <c r="AD67" s="188">
        <v>81.02</v>
      </c>
      <c r="AE67" s="189">
        <v>82.64</v>
      </c>
      <c r="AF67" s="189">
        <v>84.26</v>
      </c>
      <c r="AG67" s="201">
        <v>85.87</v>
      </c>
      <c r="AH67" s="190">
        <v>87.49</v>
      </c>
      <c r="AI67" s="184">
        <v>89.11</v>
      </c>
      <c r="AJ67" s="184">
        <v>90.73</v>
      </c>
      <c r="AK67" s="184">
        <v>92.35</v>
      </c>
      <c r="AL67" s="184">
        <v>93.97</v>
      </c>
      <c r="AM67" s="184">
        <v>95.59</v>
      </c>
      <c r="AN67" s="184">
        <v>97.21</v>
      </c>
      <c r="AO67" s="136">
        <v>92.18</v>
      </c>
      <c r="AP67" s="136">
        <v>93.8</v>
      </c>
      <c r="AQ67" s="136">
        <v>95.42</v>
      </c>
      <c r="AR67" s="136">
        <v>97.03</v>
      </c>
      <c r="AS67" s="136">
        <v>67.89</v>
      </c>
      <c r="AT67" s="136">
        <v>66.27</v>
      </c>
      <c r="AU67" s="136">
        <v>64.650000000000006</v>
      </c>
      <c r="AV67" s="136">
        <v>63.03</v>
      </c>
      <c r="AW67" s="136">
        <v>61.41</v>
      </c>
    </row>
    <row r="68" spans="1:49" x14ac:dyDescent="0.45">
      <c r="A68" s="2">
        <v>109.49</v>
      </c>
      <c r="B68" s="15">
        <v>111.82</v>
      </c>
      <c r="C68" s="3">
        <v>114.15</v>
      </c>
      <c r="D68" s="188">
        <v>126.43</v>
      </c>
      <c r="E68" s="189">
        <v>128.76</v>
      </c>
      <c r="F68" s="189">
        <v>131.09</v>
      </c>
      <c r="G68" s="189">
        <v>133.41999999999999</v>
      </c>
      <c r="H68" s="190">
        <v>135.75</v>
      </c>
      <c r="I68" s="184">
        <v>138.08000000000001</v>
      </c>
      <c r="J68" s="184">
        <v>140.41</v>
      </c>
      <c r="K68" s="184">
        <v>142.74</v>
      </c>
      <c r="L68" s="184">
        <v>145.07</v>
      </c>
      <c r="M68" s="184">
        <v>147.4</v>
      </c>
      <c r="N68" s="184">
        <v>149.72999999999999</v>
      </c>
      <c r="O68" s="136">
        <v>142.11000000000001</v>
      </c>
      <c r="P68" s="136">
        <v>144.44</v>
      </c>
      <c r="Q68" s="136">
        <v>146.77000000000001</v>
      </c>
      <c r="R68" s="136">
        <v>149.1</v>
      </c>
      <c r="S68" s="136">
        <v>107.16</v>
      </c>
      <c r="T68" s="136">
        <v>104.83</v>
      </c>
      <c r="U68" s="136">
        <v>102.51</v>
      </c>
      <c r="V68" s="136">
        <v>100.18</v>
      </c>
      <c r="W68" s="136">
        <v>97.85</v>
      </c>
      <c r="X68" s="7">
        <v>64</v>
      </c>
      <c r="Y68" s="136">
        <v>67.319999999999993</v>
      </c>
      <c r="Z68" s="136">
        <v>68.97</v>
      </c>
      <c r="AA68" s="2">
        <v>70.61</v>
      </c>
      <c r="AB68" s="15">
        <v>72.25</v>
      </c>
      <c r="AC68" s="3">
        <v>73.900000000000006</v>
      </c>
      <c r="AD68" s="188">
        <v>82.3</v>
      </c>
      <c r="AE68" s="189">
        <v>83.94</v>
      </c>
      <c r="AF68" s="189">
        <v>85.59</v>
      </c>
      <c r="AG68" s="201">
        <v>87.23</v>
      </c>
      <c r="AH68" s="190">
        <v>88.88</v>
      </c>
      <c r="AI68" s="184">
        <v>90.52</v>
      </c>
      <c r="AJ68" s="184">
        <v>92.17</v>
      </c>
      <c r="AK68" s="184">
        <v>93.81</v>
      </c>
      <c r="AL68" s="184">
        <v>95.46</v>
      </c>
      <c r="AM68" s="184">
        <v>97.1</v>
      </c>
      <c r="AN68" s="184">
        <v>98.75</v>
      </c>
      <c r="AO68" s="136">
        <v>93.64</v>
      </c>
      <c r="AP68" s="136">
        <v>95.28</v>
      </c>
      <c r="AQ68" s="136">
        <v>96.93</v>
      </c>
      <c r="AR68" s="136">
        <v>98.57</v>
      </c>
      <c r="AS68" s="136">
        <v>68.97</v>
      </c>
      <c r="AT68" s="136">
        <v>67.319999999999993</v>
      </c>
      <c r="AU68" s="136">
        <v>65.680000000000007</v>
      </c>
      <c r="AV68" s="136">
        <v>64.03</v>
      </c>
      <c r="AW68" s="136">
        <v>62.39</v>
      </c>
    </row>
    <row r="69" spans="1:49" x14ac:dyDescent="0.45">
      <c r="A69" s="2">
        <v>111.19</v>
      </c>
      <c r="B69" s="15">
        <v>113.56</v>
      </c>
      <c r="C69" s="3">
        <v>115.92</v>
      </c>
      <c r="D69" s="188">
        <v>128.38999999999999</v>
      </c>
      <c r="E69" s="189">
        <v>130.75</v>
      </c>
      <c r="F69" s="189">
        <v>133.12</v>
      </c>
      <c r="G69" s="189">
        <v>135.47999999999999</v>
      </c>
      <c r="H69" s="190">
        <v>137.85</v>
      </c>
      <c r="I69" s="184">
        <v>140.22</v>
      </c>
      <c r="J69" s="184">
        <v>142.58000000000001</v>
      </c>
      <c r="K69" s="184">
        <v>144.94999999999999</v>
      </c>
      <c r="L69" s="184">
        <v>147.31</v>
      </c>
      <c r="M69" s="184">
        <v>149.68</v>
      </c>
      <c r="N69" s="184">
        <v>152.05000000000001</v>
      </c>
      <c r="O69" s="136">
        <v>144.31</v>
      </c>
      <c r="P69" s="136">
        <v>146.68</v>
      </c>
      <c r="Q69" s="136">
        <v>149.05000000000001</v>
      </c>
      <c r="R69" s="136">
        <v>151.41</v>
      </c>
      <c r="S69" s="136">
        <v>108.82</v>
      </c>
      <c r="T69" s="136">
        <v>106.46</v>
      </c>
      <c r="U69" s="136">
        <v>104.09</v>
      </c>
      <c r="V69" s="136">
        <v>101.73</v>
      </c>
      <c r="W69" s="136">
        <v>99.36</v>
      </c>
      <c r="X69" s="7">
        <v>65</v>
      </c>
      <c r="Y69" s="136">
        <v>68.36</v>
      </c>
      <c r="Z69" s="136">
        <v>70.03</v>
      </c>
      <c r="AA69" s="2">
        <v>71.7</v>
      </c>
      <c r="AB69" s="15">
        <v>73.37</v>
      </c>
      <c r="AC69" s="3">
        <v>75.040000000000006</v>
      </c>
      <c r="AD69" s="188">
        <v>83.57</v>
      </c>
      <c r="AE69" s="189">
        <v>85.24</v>
      </c>
      <c r="AF69" s="189">
        <v>86.91</v>
      </c>
      <c r="AG69" s="201">
        <v>88.58</v>
      </c>
      <c r="AH69" s="190">
        <v>90.25</v>
      </c>
      <c r="AI69" s="184">
        <v>91.92</v>
      </c>
      <c r="AJ69" s="184">
        <v>93.59</v>
      </c>
      <c r="AK69" s="184">
        <v>95.26</v>
      </c>
      <c r="AL69" s="184">
        <v>96.93</v>
      </c>
      <c r="AM69" s="184">
        <v>98.6</v>
      </c>
      <c r="AN69" s="184">
        <v>100.27</v>
      </c>
      <c r="AO69" s="136">
        <v>95.09</v>
      </c>
      <c r="AP69" s="136">
        <v>96.76</v>
      </c>
      <c r="AQ69" s="136">
        <v>98.43</v>
      </c>
      <c r="AR69" s="136">
        <v>100.1</v>
      </c>
      <c r="AS69" s="136">
        <v>70.03</v>
      </c>
      <c r="AT69" s="136">
        <v>68.36</v>
      </c>
      <c r="AU69" s="136">
        <v>66.69</v>
      </c>
      <c r="AV69" s="136">
        <v>65.02</v>
      </c>
      <c r="AW69" s="136">
        <v>63.35</v>
      </c>
    </row>
    <row r="70" spans="1:49" x14ac:dyDescent="0.45">
      <c r="A70" s="2">
        <v>112.9</v>
      </c>
      <c r="B70" s="15">
        <v>115.3</v>
      </c>
      <c r="C70" s="3">
        <v>117.7</v>
      </c>
      <c r="D70" s="188">
        <v>130.35</v>
      </c>
      <c r="E70" s="189">
        <v>132.76</v>
      </c>
      <c r="F70" s="189">
        <v>135.16</v>
      </c>
      <c r="G70" s="189">
        <v>137.56</v>
      </c>
      <c r="H70" s="190">
        <v>139.96</v>
      </c>
      <c r="I70" s="184">
        <v>142.37</v>
      </c>
      <c r="J70" s="184">
        <v>144.77000000000001</v>
      </c>
      <c r="K70" s="184">
        <v>147.16999999999999</v>
      </c>
      <c r="L70" s="184">
        <v>149.57</v>
      </c>
      <c r="M70" s="184">
        <v>151.97999999999999</v>
      </c>
      <c r="N70" s="184">
        <v>154.38</v>
      </c>
      <c r="O70" s="136">
        <v>146.53</v>
      </c>
      <c r="P70" s="136">
        <v>148.93</v>
      </c>
      <c r="Q70" s="136">
        <v>151.33000000000001</v>
      </c>
      <c r="R70" s="136">
        <v>153.74</v>
      </c>
      <c r="S70" s="136">
        <v>110.49</v>
      </c>
      <c r="T70" s="136">
        <v>108.09</v>
      </c>
      <c r="U70" s="136">
        <v>105.69</v>
      </c>
      <c r="V70" s="136">
        <v>103.29</v>
      </c>
      <c r="W70" s="136">
        <v>100.88</v>
      </c>
      <c r="X70" s="7">
        <v>66</v>
      </c>
      <c r="Y70" s="136">
        <v>69.41</v>
      </c>
      <c r="Z70" s="136">
        <v>71.11</v>
      </c>
      <c r="AA70" s="2">
        <v>72.8</v>
      </c>
      <c r="AB70" s="15">
        <v>74.5</v>
      </c>
      <c r="AC70" s="3">
        <v>76.2</v>
      </c>
      <c r="AD70" s="188">
        <v>84.85</v>
      </c>
      <c r="AE70" s="189">
        <v>86.55</v>
      </c>
      <c r="AF70" s="189">
        <v>88.24</v>
      </c>
      <c r="AG70" s="201">
        <v>89.94</v>
      </c>
      <c r="AH70" s="190">
        <v>91.64</v>
      </c>
      <c r="AI70" s="184">
        <v>93.33</v>
      </c>
      <c r="AJ70" s="184">
        <v>95.03</v>
      </c>
      <c r="AK70" s="184">
        <v>96.73</v>
      </c>
      <c r="AL70" s="184">
        <v>98.42</v>
      </c>
      <c r="AM70" s="184">
        <v>100.12</v>
      </c>
      <c r="AN70" s="184">
        <v>101.81</v>
      </c>
      <c r="AO70" s="136">
        <v>96.55</v>
      </c>
      <c r="AP70" s="136">
        <v>98.25</v>
      </c>
      <c r="AQ70" s="136">
        <v>99.94</v>
      </c>
      <c r="AR70" s="136">
        <v>101.64</v>
      </c>
      <c r="AS70" s="136">
        <v>71.11</v>
      </c>
      <c r="AT70" s="136">
        <v>69.41</v>
      </c>
      <c r="AU70" s="136">
        <v>67.709999999999994</v>
      </c>
      <c r="AV70" s="136">
        <v>66.02</v>
      </c>
      <c r="AW70" s="136">
        <v>64.319999999999993</v>
      </c>
    </row>
    <row r="71" spans="1:49" x14ac:dyDescent="0.45">
      <c r="A71" s="2">
        <v>114.61</v>
      </c>
      <c r="B71" s="15">
        <v>117.05</v>
      </c>
      <c r="C71" s="3">
        <v>119.49</v>
      </c>
      <c r="D71" s="188">
        <v>132.33000000000001</v>
      </c>
      <c r="E71" s="189">
        <v>134.77000000000001</v>
      </c>
      <c r="F71" s="189">
        <v>137.21</v>
      </c>
      <c r="G71" s="189">
        <v>139.65</v>
      </c>
      <c r="H71" s="190">
        <v>142.09</v>
      </c>
      <c r="I71" s="184">
        <v>144.53</v>
      </c>
      <c r="J71" s="184">
        <v>146.96</v>
      </c>
      <c r="K71" s="184">
        <v>149.4</v>
      </c>
      <c r="L71" s="184">
        <v>151.84</v>
      </c>
      <c r="M71" s="184">
        <v>154.28</v>
      </c>
      <c r="N71" s="184">
        <v>156.72</v>
      </c>
      <c r="O71" s="136">
        <v>148.75</v>
      </c>
      <c r="P71" s="136">
        <v>151.19</v>
      </c>
      <c r="Q71" s="136">
        <v>153.63</v>
      </c>
      <c r="R71" s="136">
        <v>156.07</v>
      </c>
      <c r="S71" s="136">
        <v>112.17</v>
      </c>
      <c r="T71" s="136">
        <v>109.73</v>
      </c>
      <c r="U71" s="136">
        <v>107.29</v>
      </c>
      <c r="V71" s="136">
        <v>104.85</v>
      </c>
      <c r="W71" s="136">
        <v>102.41</v>
      </c>
      <c r="X71" s="7">
        <v>67</v>
      </c>
      <c r="Y71" s="136">
        <v>70.45</v>
      </c>
      <c r="Z71" s="136">
        <v>72.17</v>
      </c>
      <c r="AA71" s="2">
        <v>73.900000000000006</v>
      </c>
      <c r="AB71" s="15">
        <v>75.62</v>
      </c>
      <c r="AC71" s="3">
        <v>77.34</v>
      </c>
      <c r="AD71" s="188">
        <v>86.12</v>
      </c>
      <c r="AE71" s="189">
        <v>87.85</v>
      </c>
      <c r="AF71" s="189">
        <v>89.57</v>
      </c>
      <c r="AG71" s="201">
        <v>91.29</v>
      </c>
      <c r="AH71" s="190">
        <v>93.01</v>
      </c>
      <c r="AI71" s="184">
        <v>94.73</v>
      </c>
      <c r="AJ71" s="184">
        <v>96.46</v>
      </c>
      <c r="AK71" s="184">
        <v>98.18</v>
      </c>
      <c r="AL71" s="184">
        <v>99.9</v>
      </c>
      <c r="AM71" s="184">
        <v>101.62</v>
      </c>
      <c r="AN71" s="184">
        <v>103.34</v>
      </c>
      <c r="AO71" s="136">
        <v>98</v>
      </c>
      <c r="AP71" s="136">
        <v>99.73</v>
      </c>
      <c r="AQ71" s="136">
        <v>101.45</v>
      </c>
      <c r="AR71" s="136">
        <v>103.17</v>
      </c>
      <c r="AS71" s="136">
        <v>72.17</v>
      </c>
      <c r="AT71" s="136">
        <v>70.45</v>
      </c>
      <c r="AU71" s="136">
        <v>68.73</v>
      </c>
      <c r="AV71" s="136">
        <v>67.010000000000005</v>
      </c>
      <c r="AW71" s="136">
        <v>35.29</v>
      </c>
    </row>
    <row r="72" spans="1:49" x14ac:dyDescent="0.45">
      <c r="A72" s="2">
        <v>116.28</v>
      </c>
      <c r="B72" s="15">
        <v>118.76</v>
      </c>
      <c r="C72" s="3">
        <v>121.23</v>
      </c>
      <c r="D72" s="188">
        <v>134.26</v>
      </c>
      <c r="E72" s="189">
        <v>136.72999999999999</v>
      </c>
      <c r="F72" s="189">
        <v>139.21</v>
      </c>
      <c r="G72" s="189">
        <v>141.69</v>
      </c>
      <c r="H72" s="190">
        <v>144.16</v>
      </c>
      <c r="I72" s="184">
        <v>146.63999999999999</v>
      </c>
      <c r="J72" s="184">
        <v>149.11000000000001</v>
      </c>
      <c r="K72" s="184">
        <v>151.59</v>
      </c>
      <c r="L72" s="184">
        <v>154.06</v>
      </c>
      <c r="M72" s="184">
        <v>156.54</v>
      </c>
      <c r="N72" s="184">
        <v>159.01</v>
      </c>
      <c r="O72" s="136">
        <v>150.93</v>
      </c>
      <c r="P72" s="136">
        <v>153.41</v>
      </c>
      <c r="Q72" s="136">
        <v>155.88999999999999</v>
      </c>
      <c r="R72" s="136">
        <v>158.36000000000001</v>
      </c>
      <c r="S72" s="136">
        <v>113.81</v>
      </c>
      <c r="T72" s="136">
        <v>111.33</v>
      </c>
      <c r="U72" s="136">
        <v>108.86</v>
      </c>
      <c r="V72" s="136">
        <v>106.38</v>
      </c>
      <c r="W72" s="136">
        <v>103.91</v>
      </c>
      <c r="X72" s="7">
        <v>68</v>
      </c>
      <c r="Y72" s="136">
        <v>71.5</v>
      </c>
      <c r="Z72" s="136">
        <v>73.239999999999995</v>
      </c>
      <c r="AA72" s="2">
        <v>74.989999999999995</v>
      </c>
      <c r="AB72" s="15">
        <v>76.739999999999995</v>
      </c>
      <c r="AC72" s="3">
        <v>78.489999999999995</v>
      </c>
      <c r="AD72" s="188">
        <v>87.4</v>
      </c>
      <c r="AE72" s="189">
        <v>89.15</v>
      </c>
      <c r="AF72" s="189">
        <v>90.89</v>
      </c>
      <c r="AG72" s="201">
        <v>92.64</v>
      </c>
      <c r="AH72" s="190">
        <v>94.39</v>
      </c>
      <c r="AI72" s="184">
        <v>96.14</v>
      </c>
      <c r="AJ72" s="184">
        <v>97.88</v>
      </c>
      <c r="AK72" s="184">
        <v>99.63</v>
      </c>
      <c r="AL72" s="184">
        <v>101.38</v>
      </c>
      <c r="AM72" s="184">
        <v>103.13</v>
      </c>
      <c r="AN72" s="184">
        <v>104.87</v>
      </c>
      <c r="AO72" s="136">
        <v>99.46</v>
      </c>
      <c r="AP72" s="136">
        <v>101.21</v>
      </c>
      <c r="AQ72" s="136">
        <v>102.95</v>
      </c>
      <c r="AR72" s="136">
        <v>104.7</v>
      </c>
      <c r="AS72" s="136">
        <v>73.239999999999995</v>
      </c>
      <c r="AT72" s="136">
        <v>71.5</v>
      </c>
      <c r="AU72" s="136">
        <v>69.75</v>
      </c>
      <c r="AV72" s="136">
        <v>68</v>
      </c>
      <c r="AW72" s="136">
        <v>66.25</v>
      </c>
    </row>
    <row r="73" spans="1:49" x14ac:dyDescent="0.45">
      <c r="A73" s="2">
        <v>118.01</v>
      </c>
      <c r="B73" s="15">
        <v>120.52</v>
      </c>
      <c r="C73" s="3">
        <v>123.03</v>
      </c>
      <c r="D73" s="188">
        <v>136.26</v>
      </c>
      <c r="E73" s="189">
        <v>138.77000000000001</v>
      </c>
      <c r="F73" s="189">
        <v>141.28</v>
      </c>
      <c r="G73" s="189">
        <v>143.79</v>
      </c>
      <c r="H73" s="190">
        <v>146.30000000000001</v>
      </c>
      <c r="I73" s="184">
        <v>148.82</v>
      </c>
      <c r="J73" s="184">
        <v>151.33000000000001</v>
      </c>
      <c r="K73" s="184">
        <v>153.84</v>
      </c>
      <c r="L73" s="184">
        <v>156.35</v>
      </c>
      <c r="M73" s="184">
        <v>158.86000000000001</v>
      </c>
      <c r="N73" s="184">
        <v>161.37</v>
      </c>
      <c r="O73" s="136">
        <v>153.16999999999999</v>
      </c>
      <c r="P73" s="136">
        <v>155.68</v>
      </c>
      <c r="Q73" s="136">
        <v>158.19999999999999</v>
      </c>
      <c r="R73" s="136">
        <v>160.71</v>
      </c>
      <c r="S73" s="136">
        <v>115.5</v>
      </c>
      <c r="T73" s="136">
        <v>112.99</v>
      </c>
      <c r="U73" s="136">
        <v>110.48</v>
      </c>
      <c r="V73" s="136">
        <v>107.96</v>
      </c>
      <c r="W73" s="136">
        <v>105.45</v>
      </c>
      <c r="X73" s="7">
        <v>69</v>
      </c>
      <c r="Y73" s="136">
        <v>72.540000000000006</v>
      </c>
      <c r="Z73" s="136">
        <v>74.319999999999993</v>
      </c>
      <c r="AA73" s="2">
        <v>76.09</v>
      </c>
      <c r="AB73" s="15">
        <v>77.86</v>
      </c>
      <c r="AC73" s="3">
        <v>79.64</v>
      </c>
      <c r="AD73" s="188">
        <v>88.68</v>
      </c>
      <c r="AE73" s="189">
        <v>90.45</v>
      </c>
      <c r="AF73" s="189">
        <v>92.22</v>
      </c>
      <c r="AG73" s="201">
        <v>94</v>
      </c>
      <c r="AH73" s="190">
        <v>95.77</v>
      </c>
      <c r="AI73" s="184">
        <v>97.54</v>
      </c>
      <c r="AJ73" s="184">
        <v>99.32</v>
      </c>
      <c r="AK73" s="184">
        <v>101.09</v>
      </c>
      <c r="AL73" s="184">
        <v>102.86</v>
      </c>
      <c r="AM73" s="184">
        <v>104.64</v>
      </c>
      <c r="AN73" s="184">
        <v>106.41</v>
      </c>
      <c r="AO73" s="136">
        <v>100.91</v>
      </c>
      <c r="AP73" s="136">
        <v>102.69</v>
      </c>
      <c r="AQ73" s="136">
        <v>104.46</v>
      </c>
      <c r="AR73" s="136">
        <v>106.23</v>
      </c>
      <c r="AS73" s="136">
        <v>74.319999999999993</v>
      </c>
      <c r="AT73" s="136">
        <v>72.540000000000006</v>
      </c>
      <c r="AU73" s="136">
        <v>70.77</v>
      </c>
      <c r="AV73" s="136">
        <v>69</v>
      </c>
      <c r="AW73" s="136">
        <v>67.22</v>
      </c>
    </row>
    <row r="74" spans="1:49" x14ac:dyDescent="0.45">
      <c r="A74" s="2">
        <v>119.7</v>
      </c>
      <c r="B74" s="15">
        <v>122.25</v>
      </c>
      <c r="C74" s="3">
        <v>124.79</v>
      </c>
      <c r="D74" s="188">
        <v>138.19999999999999</v>
      </c>
      <c r="E74" s="189">
        <v>140.75</v>
      </c>
      <c r="F74" s="189">
        <v>143.30000000000001</v>
      </c>
      <c r="G74" s="189">
        <v>145.85</v>
      </c>
      <c r="H74" s="190">
        <v>148.38999999999999</v>
      </c>
      <c r="I74" s="184">
        <v>150.94</v>
      </c>
      <c r="J74" s="184">
        <v>153.49</v>
      </c>
      <c r="K74" s="184">
        <v>156.04</v>
      </c>
      <c r="L74" s="184">
        <v>158.59</v>
      </c>
      <c r="M74" s="184">
        <v>161.13</v>
      </c>
      <c r="N74" s="184">
        <v>163.68</v>
      </c>
      <c r="O74" s="136">
        <v>155.37</v>
      </c>
      <c r="P74" s="136">
        <v>157.91999999999999</v>
      </c>
      <c r="Q74" s="136">
        <v>160.47</v>
      </c>
      <c r="R74" s="136">
        <v>163.01</v>
      </c>
      <c r="S74" s="136">
        <v>117.15</v>
      </c>
      <c r="T74" s="136">
        <v>114.6</v>
      </c>
      <c r="U74" s="136">
        <v>112.05</v>
      </c>
      <c r="V74" s="136">
        <v>109.51</v>
      </c>
      <c r="W74" s="136">
        <v>106.96</v>
      </c>
      <c r="X74" s="7">
        <v>70</v>
      </c>
      <c r="Y74" s="136">
        <v>73.59</v>
      </c>
      <c r="Z74" s="136">
        <v>75.39</v>
      </c>
      <c r="AA74" s="2">
        <v>77.19</v>
      </c>
      <c r="AB74" s="15">
        <v>78.989999999999995</v>
      </c>
      <c r="AC74" s="3">
        <v>80.790000000000006</v>
      </c>
      <c r="AD74" s="188">
        <v>89.95</v>
      </c>
      <c r="AE74" s="189">
        <v>91.75</v>
      </c>
      <c r="AF74" s="189">
        <v>93.55</v>
      </c>
      <c r="AG74" s="201">
        <v>95.35</v>
      </c>
      <c r="AH74" s="190">
        <v>97.15</v>
      </c>
      <c r="AI74" s="184">
        <v>98.95</v>
      </c>
      <c r="AJ74" s="184">
        <v>100.75</v>
      </c>
      <c r="AK74" s="184">
        <v>102.55</v>
      </c>
      <c r="AL74" s="184">
        <v>104.35</v>
      </c>
      <c r="AM74" s="184">
        <v>106.15</v>
      </c>
      <c r="AN74" s="184">
        <v>107.94</v>
      </c>
      <c r="AO74" s="136">
        <v>102.37</v>
      </c>
      <c r="AP74" s="136">
        <v>104.17</v>
      </c>
      <c r="AQ74" s="136">
        <v>105.97</v>
      </c>
      <c r="AR74" s="136">
        <v>107.77</v>
      </c>
      <c r="AS74" s="136">
        <v>75.39</v>
      </c>
      <c r="AT74" s="136">
        <v>73.59</v>
      </c>
      <c r="AU74" s="136">
        <v>71.790000000000006</v>
      </c>
      <c r="AV74" s="136">
        <v>69.989999999999995</v>
      </c>
      <c r="AW74" s="136">
        <v>68.19</v>
      </c>
    </row>
    <row r="75" spans="1:49" x14ac:dyDescent="0.45">
      <c r="A75" s="2">
        <v>121.39</v>
      </c>
      <c r="B75" s="15">
        <v>123.98</v>
      </c>
      <c r="C75" s="3">
        <v>126.56</v>
      </c>
      <c r="D75" s="188">
        <v>140.16</v>
      </c>
      <c r="E75" s="189">
        <v>142.74</v>
      </c>
      <c r="F75" s="189">
        <v>145.33000000000001</v>
      </c>
      <c r="G75" s="189">
        <v>147.91</v>
      </c>
      <c r="H75" s="190">
        <v>150.49</v>
      </c>
      <c r="I75" s="184">
        <v>153.08000000000001</v>
      </c>
      <c r="J75" s="184">
        <v>155.66</v>
      </c>
      <c r="K75" s="184">
        <v>158.25</v>
      </c>
      <c r="L75" s="184">
        <v>160.83000000000001</v>
      </c>
      <c r="M75" s="184">
        <v>163.41999999999999</v>
      </c>
      <c r="N75" s="184">
        <v>166</v>
      </c>
      <c r="O75" s="136">
        <v>157.57</v>
      </c>
      <c r="P75" s="136">
        <v>160.16</v>
      </c>
      <c r="Q75" s="136">
        <v>162.74</v>
      </c>
      <c r="R75" s="136">
        <v>165.33</v>
      </c>
      <c r="S75" s="136">
        <v>118.81</v>
      </c>
      <c r="T75" s="136">
        <v>116.22</v>
      </c>
      <c r="U75" s="136">
        <v>113.64</v>
      </c>
      <c r="V75" s="136">
        <v>111.05</v>
      </c>
      <c r="W75" s="136">
        <v>108.47</v>
      </c>
      <c r="X75" s="7">
        <v>71</v>
      </c>
      <c r="Y75" s="136">
        <v>74.94</v>
      </c>
      <c r="Z75" s="136">
        <v>76.459999999999994</v>
      </c>
      <c r="AA75" s="2">
        <v>78.290000000000006</v>
      </c>
      <c r="AB75" s="15">
        <v>80.11</v>
      </c>
      <c r="AC75" s="3">
        <v>81.94</v>
      </c>
      <c r="AD75" s="188">
        <v>91.24</v>
      </c>
      <c r="AE75" s="189">
        <v>93.06</v>
      </c>
      <c r="AF75" s="189">
        <v>94.89</v>
      </c>
      <c r="AG75" s="201">
        <v>96.71</v>
      </c>
      <c r="AH75" s="190">
        <v>98.54</v>
      </c>
      <c r="AI75" s="184">
        <v>100.36</v>
      </c>
      <c r="AJ75" s="184">
        <v>102.19</v>
      </c>
      <c r="AK75" s="184">
        <v>104.01</v>
      </c>
      <c r="AL75" s="184">
        <v>105.83</v>
      </c>
      <c r="AM75" s="184">
        <v>107.66</v>
      </c>
      <c r="AN75" s="184">
        <v>109.48</v>
      </c>
      <c r="AO75" s="136">
        <v>103.83</v>
      </c>
      <c r="AP75" s="136">
        <v>105.66</v>
      </c>
      <c r="AQ75" s="136">
        <v>107.48</v>
      </c>
      <c r="AR75" s="136">
        <v>109.31</v>
      </c>
      <c r="AS75" s="136">
        <v>76.459999999999994</v>
      </c>
      <c r="AT75" s="136">
        <v>74.94</v>
      </c>
      <c r="AU75" s="136">
        <v>72.81</v>
      </c>
      <c r="AV75" s="136">
        <v>70.989999999999995</v>
      </c>
      <c r="AW75" s="136">
        <v>69.16</v>
      </c>
    </row>
    <row r="76" spans="1:49" x14ac:dyDescent="0.45">
      <c r="A76" s="2">
        <v>123.09</v>
      </c>
      <c r="B76" s="15">
        <v>125.71</v>
      </c>
      <c r="C76" s="3">
        <v>128.33000000000001</v>
      </c>
      <c r="D76" s="188">
        <v>142.12</v>
      </c>
      <c r="E76" s="189">
        <v>144.74</v>
      </c>
      <c r="F76" s="189">
        <v>147.36000000000001</v>
      </c>
      <c r="G76" s="189">
        <v>149.97999999999999</v>
      </c>
      <c r="H76" s="190">
        <v>152.6</v>
      </c>
      <c r="I76" s="184">
        <v>155.22</v>
      </c>
      <c r="J76" s="184">
        <v>157.84</v>
      </c>
      <c r="K76" s="184">
        <v>160.47</v>
      </c>
      <c r="L76" s="184">
        <v>163.09</v>
      </c>
      <c r="M76" s="184">
        <v>165.71</v>
      </c>
      <c r="N76" s="184">
        <v>168.33</v>
      </c>
      <c r="O76" s="136">
        <v>159.78</v>
      </c>
      <c r="P76" s="136">
        <v>162.4</v>
      </c>
      <c r="Q76" s="136">
        <v>165.03</v>
      </c>
      <c r="R76" s="136">
        <v>167.65</v>
      </c>
      <c r="S76" s="136">
        <v>120.47</v>
      </c>
      <c r="T76" s="136">
        <v>117.85</v>
      </c>
      <c r="U76" s="136">
        <v>115.23</v>
      </c>
      <c r="V76" s="136">
        <v>112.61</v>
      </c>
      <c r="W76" s="136">
        <v>109.99</v>
      </c>
      <c r="X76" s="7">
        <v>72</v>
      </c>
      <c r="Y76" s="136">
        <v>75.69</v>
      </c>
      <c r="Z76" s="136">
        <v>77.540000000000006</v>
      </c>
      <c r="AA76" s="2">
        <v>79.39</v>
      </c>
      <c r="AB76" s="15">
        <v>81.239999999999995</v>
      </c>
      <c r="AC76" s="3">
        <v>83.09</v>
      </c>
      <c r="AD76" s="188">
        <v>92.52</v>
      </c>
      <c r="AE76" s="189">
        <v>94.37</v>
      </c>
      <c r="AF76" s="189">
        <v>96.22</v>
      </c>
      <c r="AG76" s="201">
        <v>98.07</v>
      </c>
      <c r="AH76" s="190">
        <v>99.92</v>
      </c>
      <c r="AI76" s="184">
        <v>101.77</v>
      </c>
      <c r="AJ76" s="184">
        <v>103.63</v>
      </c>
      <c r="AK76" s="184">
        <v>105.48</v>
      </c>
      <c r="AL76" s="184">
        <v>107.33</v>
      </c>
      <c r="AM76" s="184">
        <v>109.18</v>
      </c>
      <c r="AN76" s="184">
        <v>111.03</v>
      </c>
      <c r="AO76" s="136">
        <v>105.3</v>
      </c>
      <c r="AP76" s="136">
        <v>107.15</v>
      </c>
      <c r="AQ76" s="136">
        <v>109</v>
      </c>
      <c r="AR76" s="136">
        <v>110.85</v>
      </c>
      <c r="AS76" s="136">
        <v>77.540000000000006</v>
      </c>
      <c r="AT76" s="136">
        <v>75.69</v>
      </c>
      <c r="AU76" s="136">
        <v>73.84</v>
      </c>
      <c r="AV76" s="136">
        <v>71.989999999999995</v>
      </c>
      <c r="AW76" s="136">
        <v>70.14</v>
      </c>
    </row>
    <row r="77" spans="1:49" x14ac:dyDescent="0.45">
      <c r="A77" s="2">
        <v>124.8</v>
      </c>
      <c r="B77" s="15">
        <v>127.46</v>
      </c>
      <c r="C77" s="3">
        <v>130.12</v>
      </c>
      <c r="D77" s="188">
        <v>144.09</v>
      </c>
      <c r="E77" s="189">
        <v>146.75</v>
      </c>
      <c r="F77" s="189">
        <v>149.41</v>
      </c>
      <c r="G77" s="189">
        <v>12.06</v>
      </c>
      <c r="H77" s="190">
        <v>154.72</v>
      </c>
      <c r="I77" s="184">
        <v>157.38</v>
      </c>
      <c r="J77" s="184">
        <v>160.03</v>
      </c>
      <c r="K77" s="184">
        <v>162.69</v>
      </c>
      <c r="L77" s="184">
        <v>165.35</v>
      </c>
      <c r="M77" s="184">
        <v>168.01</v>
      </c>
      <c r="N77" s="184">
        <v>170.66</v>
      </c>
      <c r="O77" s="136">
        <v>162</v>
      </c>
      <c r="P77" s="136">
        <v>164.66</v>
      </c>
      <c r="Q77" s="136">
        <v>167.32</v>
      </c>
      <c r="R77" s="136">
        <v>169.97</v>
      </c>
      <c r="S77" s="136">
        <v>122.14</v>
      </c>
      <c r="T77" s="136">
        <v>119.49</v>
      </c>
      <c r="U77" s="136">
        <v>116.83</v>
      </c>
      <c r="V77" s="136">
        <v>114.17</v>
      </c>
      <c r="W77" s="136">
        <v>111.52</v>
      </c>
      <c r="X77" s="7">
        <v>73</v>
      </c>
      <c r="Y77" s="136">
        <v>76.73</v>
      </c>
      <c r="Z77" s="136">
        <v>78.599999999999994</v>
      </c>
      <c r="AA77" s="2">
        <v>80.48</v>
      </c>
      <c r="AB77" s="15">
        <v>82.36</v>
      </c>
      <c r="AC77" s="3">
        <v>84.23</v>
      </c>
      <c r="AD77" s="188">
        <v>93.79</v>
      </c>
      <c r="AE77" s="189">
        <v>95.66</v>
      </c>
      <c r="AF77" s="189">
        <v>97.54</v>
      </c>
      <c r="AG77" s="201">
        <v>99.42</v>
      </c>
      <c r="AH77" s="190">
        <v>101.29</v>
      </c>
      <c r="AI77" s="184">
        <v>103.17</v>
      </c>
      <c r="AJ77" s="184">
        <v>105.05</v>
      </c>
      <c r="AK77" s="184">
        <v>106.92</v>
      </c>
      <c r="AL77" s="184">
        <v>108.8</v>
      </c>
      <c r="AM77" s="184">
        <v>110.67</v>
      </c>
      <c r="AN77" s="184">
        <v>112.55</v>
      </c>
      <c r="AO77" s="136">
        <v>106.75</v>
      </c>
      <c r="AP77" s="136">
        <v>108.62</v>
      </c>
      <c r="AQ77" s="136">
        <v>110.5</v>
      </c>
      <c r="AR77" s="136">
        <v>112.37</v>
      </c>
      <c r="AS77" s="136">
        <v>78.599999999999994</v>
      </c>
      <c r="AT77" s="136">
        <v>76.73</v>
      </c>
      <c r="AU77" s="136">
        <v>74.849999999999994</v>
      </c>
      <c r="AV77" s="136">
        <v>72.98</v>
      </c>
      <c r="AW77" s="136">
        <v>71.099999999999994</v>
      </c>
    </row>
    <row r="78" spans="1:49" x14ac:dyDescent="0.45">
      <c r="A78" s="2">
        <v>126.52</v>
      </c>
      <c r="B78" s="15">
        <v>129.21</v>
      </c>
      <c r="C78" s="3">
        <v>131.9</v>
      </c>
      <c r="D78" s="188">
        <v>146.07</v>
      </c>
      <c r="E78" s="189">
        <v>148.77000000000001</v>
      </c>
      <c r="F78" s="189">
        <v>151.46</v>
      </c>
      <c r="G78" s="189">
        <v>154.15</v>
      </c>
      <c r="H78" s="190">
        <v>156.85</v>
      </c>
      <c r="I78" s="184">
        <v>159.54</v>
      </c>
      <c r="J78" s="184">
        <v>162.22999999999999</v>
      </c>
      <c r="K78" s="184">
        <v>164.93</v>
      </c>
      <c r="L78" s="184">
        <v>167.62</v>
      </c>
      <c r="M78" s="184">
        <v>170.32</v>
      </c>
      <c r="N78" s="184">
        <v>173.01</v>
      </c>
      <c r="O78" s="136">
        <v>164.23</v>
      </c>
      <c r="P78" s="136">
        <v>166.92</v>
      </c>
      <c r="Q78" s="136">
        <v>169.61</v>
      </c>
      <c r="R78" s="136">
        <v>172.31</v>
      </c>
      <c r="S78" s="136">
        <v>123.82</v>
      </c>
      <c r="T78" s="136">
        <v>121.13</v>
      </c>
      <c r="U78" s="136">
        <v>118.44</v>
      </c>
      <c r="V78" s="136">
        <v>115.74</v>
      </c>
      <c r="W78" s="136">
        <v>113.05</v>
      </c>
      <c r="X78" s="7">
        <v>74</v>
      </c>
      <c r="Y78" s="136">
        <v>77.78</v>
      </c>
      <c r="Z78" s="136">
        <v>79.69</v>
      </c>
      <c r="AA78" s="2">
        <v>81.59</v>
      </c>
      <c r="AB78" s="15">
        <v>83.49</v>
      </c>
      <c r="AC78" s="3">
        <v>85.39</v>
      </c>
      <c r="AD78" s="188">
        <v>95.08</v>
      </c>
      <c r="AE78" s="189">
        <v>96.98</v>
      </c>
      <c r="AF78" s="189">
        <v>98.88</v>
      </c>
      <c r="AG78" s="201">
        <v>100.79</v>
      </c>
      <c r="AH78" s="190">
        <v>102.69</v>
      </c>
      <c r="AI78" s="184">
        <v>104.59</v>
      </c>
      <c r="AJ78" s="184">
        <v>106.49</v>
      </c>
      <c r="AK78" s="184">
        <v>108.39</v>
      </c>
      <c r="AL78" s="184">
        <v>110.29</v>
      </c>
      <c r="AM78" s="184">
        <v>112.2</v>
      </c>
      <c r="AN78" s="184">
        <v>114.1</v>
      </c>
      <c r="AO78" s="136">
        <v>108.21</v>
      </c>
      <c r="AP78" s="136">
        <v>110.11</v>
      </c>
      <c r="AQ78" s="136">
        <v>112.02</v>
      </c>
      <c r="AR78" s="136">
        <v>113.92</v>
      </c>
      <c r="AS78" s="136">
        <v>79.69</v>
      </c>
      <c r="AT78" s="136">
        <v>77.78</v>
      </c>
      <c r="AU78" s="136">
        <v>75.88</v>
      </c>
      <c r="AV78" s="136">
        <v>73.98</v>
      </c>
      <c r="AW78" s="136">
        <v>72.08</v>
      </c>
    </row>
    <row r="79" spans="1:49" x14ac:dyDescent="0.45">
      <c r="A79" s="2">
        <v>128.18</v>
      </c>
      <c r="B79" s="15">
        <v>130.91</v>
      </c>
      <c r="C79" s="3">
        <v>133.63999999999999</v>
      </c>
      <c r="D79" s="188">
        <v>147.99</v>
      </c>
      <c r="E79" s="189">
        <v>150.72</v>
      </c>
      <c r="F79" s="189">
        <v>153.44999999999999</v>
      </c>
      <c r="G79" s="189">
        <v>156.18</v>
      </c>
      <c r="H79" s="190">
        <v>158.91</v>
      </c>
      <c r="I79" s="184">
        <v>161.63999999999999</v>
      </c>
      <c r="J79" s="184">
        <v>164.37</v>
      </c>
      <c r="K79" s="184">
        <v>167.1</v>
      </c>
      <c r="L79" s="184">
        <v>169.83</v>
      </c>
      <c r="M79" s="184">
        <v>172.56</v>
      </c>
      <c r="N79" s="184">
        <v>175.29</v>
      </c>
      <c r="O79" s="136">
        <v>166.4</v>
      </c>
      <c r="P79" s="136">
        <v>169.13</v>
      </c>
      <c r="Q79" s="136">
        <v>171.86</v>
      </c>
      <c r="R79" s="136">
        <v>174.59</v>
      </c>
      <c r="S79" s="136">
        <v>125.45</v>
      </c>
      <c r="T79" s="136">
        <v>122.72</v>
      </c>
      <c r="U79" s="136">
        <v>119.99</v>
      </c>
      <c r="V79" s="136">
        <v>117.26</v>
      </c>
      <c r="W79" s="136">
        <v>114.53</v>
      </c>
      <c r="X79" s="7">
        <v>75</v>
      </c>
      <c r="Y79" s="136">
        <v>78.819999999999993</v>
      </c>
      <c r="Z79" s="136">
        <v>80.75</v>
      </c>
      <c r="AA79" s="2">
        <v>82.68</v>
      </c>
      <c r="AB79" s="15">
        <v>84.61</v>
      </c>
      <c r="AC79" s="3">
        <v>86.53</v>
      </c>
      <c r="AD79" s="188">
        <v>96.35</v>
      </c>
      <c r="AE79" s="189">
        <v>98.28</v>
      </c>
      <c r="AF79" s="189">
        <v>100.21</v>
      </c>
      <c r="AG79" s="201">
        <v>102.13</v>
      </c>
      <c r="AH79" s="190">
        <v>104.06</v>
      </c>
      <c r="AI79" s="184">
        <v>105.99</v>
      </c>
      <c r="AJ79" s="184">
        <v>107.92</v>
      </c>
      <c r="AK79" s="184">
        <v>109.84</v>
      </c>
      <c r="AL79" s="184">
        <v>111.77</v>
      </c>
      <c r="AM79" s="184">
        <v>113.7</v>
      </c>
      <c r="AN79" s="184">
        <v>115.63</v>
      </c>
      <c r="AO79" s="136">
        <v>109.66</v>
      </c>
      <c r="AP79" s="136">
        <v>111.59</v>
      </c>
      <c r="AQ79" s="136">
        <v>113.52</v>
      </c>
      <c r="AR79" s="136">
        <v>115.45</v>
      </c>
      <c r="AS79" s="136">
        <v>80.75</v>
      </c>
      <c r="AT79" s="136">
        <v>78.819999999999993</v>
      </c>
      <c r="AU79" s="136">
        <v>76.900000000000006</v>
      </c>
      <c r="AV79" s="136">
        <v>74.97</v>
      </c>
      <c r="AW79" s="136">
        <v>73.040000000000006</v>
      </c>
    </row>
    <row r="80" spans="1:49" x14ac:dyDescent="0.45">
      <c r="A80" s="2">
        <v>129.91</v>
      </c>
      <c r="B80" s="15">
        <v>132.68</v>
      </c>
      <c r="C80" s="3">
        <v>135.44999999999999</v>
      </c>
      <c r="D80" s="188">
        <v>149.99</v>
      </c>
      <c r="E80" s="189">
        <v>152.76</v>
      </c>
      <c r="F80" s="189">
        <v>155.52000000000001</v>
      </c>
      <c r="G80" s="189">
        <v>158.29</v>
      </c>
      <c r="H80" s="190">
        <v>161.06</v>
      </c>
      <c r="I80" s="184">
        <v>163.82</v>
      </c>
      <c r="J80" s="184">
        <v>166.59</v>
      </c>
      <c r="K80" s="184">
        <v>169.36</v>
      </c>
      <c r="L80" s="184">
        <v>172.12</v>
      </c>
      <c r="M80" s="184">
        <v>174.89</v>
      </c>
      <c r="N80" s="184">
        <v>177.66</v>
      </c>
      <c r="O80" s="136">
        <v>168.64</v>
      </c>
      <c r="P80" s="136">
        <v>171.41</v>
      </c>
      <c r="Q80" s="136">
        <v>174.18</v>
      </c>
      <c r="R80" s="136">
        <v>176.94</v>
      </c>
      <c r="S80" s="136">
        <v>127.15</v>
      </c>
      <c r="T80" s="136">
        <v>124.38</v>
      </c>
      <c r="U80" s="136">
        <v>121.61</v>
      </c>
      <c r="V80" s="136">
        <v>118.85</v>
      </c>
      <c r="W80" s="136">
        <v>116.08</v>
      </c>
      <c r="X80" s="7">
        <v>76</v>
      </c>
      <c r="Y80" s="136">
        <v>79.87</v>
      </c>
      <c r="Z80" s="136">
        <v>81.819999999999993</v>
      </c>
      <c r="AA80" s="2">
        <v>83.77</v>
      </c>
      <c r="AB80" s="15">
        <v>85.73</v>
      </c>
      <c r="AC80" s="3">
        <v>87.68</v>
      </c>
      <c r="AD80" s="188">
        <v>97.62</v>
      </c>
      <c r="AE80" s="189">
        <v>99.58</v>
      </c>
      <c r="AF80" s="189">
        <v>101.53</v>
      </c>
      <c r="AG80" s="201">
        <v>103.48</v>
      </c>
      <c r="AH80" s="190">
        <v>105.44</v>
      </c>
      <c r="AI80" s="184">
        <v>107.39</v>
      </c>
      <c r="AJ80" s="184">
        <v>109.34</v>
      </c>
      <c r="AK80" s="184">
        <v>111.3</v>
      </c>
      <c r="AL80" s="184">
        <v>113.25</v>
      </c>
      <c r="AM80" s="184">
        <v>115.2</v>
      </c>
      <c r="AN80" s="184">
        <v>117.16</v>
      </c>
      <c r="AO80" s="136">
        <v>111.12</v>
      </c>
      <c r="AP80" s="136">
        <v>113.07</v>
      </c>
      <c r="AQ80" s="136">
        <v>115.02</v>
      </c>
      <c r="AR80" s="136">
        <v>116.98</v>
      </c>
      <c r="AS80" s="136">
        <v>81.819999999999993</v>
      </c>
      <c r="AT80" s="136">
        <v>79.87</v>
      </c>
      <c r="AU80" s="136">
        <v>77.91</v>
      </c>
      <c r="AV80" s="136">
        <v>75.959999999999994</v>
      </c>
      <c r="AW80" s="136">
        <v>74.010000000000005</v>
      </c>
    </row>
    <row r="81" spans="1:49" x14ac:dyDescent="0.45">
      <c r="A81" s="2">
        <v>131.59</v>
      </c>
      <c r="B81" s="15">
        <v>134.38999999999999</v>
      </c>
      <c r="C81" s="3">
        <v>137.19999999999999</v>
      </c>
      <c r="D81" s="188">
        <v>151.93</v>
      </c>
      <c r="E81" s="189">
        <v>154.72999999999999</v>
      </c>
      <c r="F81" s="189">
        <v>157.53</v>
      </c>
      <c r="G81" s="189">
        <v>160.33000000000001</v>
      </c>
      <c r="H81" s="190">
        <v>163.13999999999999</v>
      </c>
      <c r="I81" s="184">
        <v>165.94</v>
      </c>
      <c r="J81" s="184">
        <v>168.74</v>
      </c>
      <c r="K81" s="184">
        <v>171.54</v>
      </c>
      <c r="L81" s="184">
        <v>174.35</v>
      </c>
      <c r="M81" s="184">
        <v>177.15</v>
      </c>
      <c r="N81" s="184">
        <v>179.95</v>
      </c>
      <c r="O81" s="136">
        <v>170.83</v>
      </c>
      <c r="P81" s="136">
        <v>173.63</v>
      </c>
      <c r="Q81" s="136">
        <v>176.44</v>
      </c>
      <c r="R81" s="136">
        <v>179.24</v>
      </c>
      <c r="S81" s="136">
        <v>128.79</v>
      </c>
      <c r="T81" s="136">
        <v>125.99</v>
      </c>
      <c r="U81" s="136">
        <v>123.18</v>
      </c>
      <c r="V81" s="136">
        <v>120.38</v>
      </c>
      <c r="W81" s="136">
        <v>117.58</v>
      </c>
      <c r="X81" s="7">
        <v>77</v>
      </c>
      <c r="Y81" s="136">
        <v>80.91</v>
      </c>
      <c r="Z81" s="136">
        <v>82.89</v>
      </c>
      <c r="AA81" s="2">
        <v>84.87</v>
      </c>
      <c r="AB81" s="15">
        <v>86.85</v>
      </c>
      <c r="AC81" s="3">
        <v>88.83</v>
      </c>
      <c r="AD81" s="188">
        <v>98.9</v>
      </c>
      <c r="AE81" s="189">
        <v>100.88</v>
      </c>
      <c r="AF81" s="189">
        <v>102.86</v>
      </c>
      <c r="AG81" s="201">
        <v>104.84</v>
      </c>
      <c r="AH81" s="190">
        <v>106.81</v>
      </c>
      <c r="AI81" s="184">
        <v>108.79</v>
      </c>
      <c r="AJ81" s="184">
        <v>110.77</v>
      </c>
      <c r="AK81" s="184">
        <v>112.75</v>
      </c>
      <c r="AL81" s="184">
        <v>114.73</v>
      </c>
      <c r="AM81" s="184">
        <v>116.71</v>
      </c>
      <c r="AN81" s="184">
        <v>118.69</v>
      </c>
      <c r="AO81" s="136">
        <v>112.57</v>
      </c>
      <c r="AP81" s="136">
        <v>114.55</v>
      </c>
      <c r="AQ81" s="136">
        <v>116.53</v>
      </c>
      <c r="AR81" s="136">
        <v>118.51</v>
      </c>
      <c r="AS81" s="136">
        <v>82.89</v>
      </c>
      <c r="AT81" s="136">
        <v>80.91</v>
      </c>
      <c r="AU81" s="136">
        <v>78.930000000000007</v>
      </c>
      <c r="AV81" s="136">
        <v>76.95</v>
      </c>
      <c r="AW81" s="136">
        <v>74.97</v>
      </c>
    </row>
    <row r="82" spans="1:49" x14ac:dyDescent="0.45">
      <c r="A82" s="2">
        <v>133.28</v>
      </c>
      <c r="B82" s="15">
        <v>136.11000000000001</v>
      </c>
      <c r="C82" s="3">
        <v>138.94999999999999</v>
      </c>
      <c r="D82" s="188">
        <v>153.87</v>
      </c>
      <c r="E82" s="189">
        <v>156.71</v>
      </c>
      <c r="F82" s="189">
        <v>159.54</v>
      </c>
      <c r="G82" s="189">
        <v>162.38</v>
      </c>
      <c r="H82" s="190">
        <v>165.22</v>
      </c>
      <c r="I82" s="184">
        <v>168.06</v>
      </c>
      <c r="J82" s="184">
        <v>170.9</v>
      </c>
      <c r="K82" s="184">
        <v>173.74</v>
      </c>
      <c r="L82" s="184">
        <v>176.58</v>
      </c>
      <c r="M82" s="184">
        <v>179.42</v>
      </c>
      <c r="N82" s="184">
        <v>182.26</v>
      </c>
      <c r="O82" s="136">
        <v>173.02</v>
      </c>
      <c r="P82" s="136">
        <v>175.86</v>
      </c>
      <c r="Q82" s="136">
        <v>178.7</v>
      </c>
      <c r="R82" s="136">
        <v>181.54</v>
      </c>
      <c r="S82" s="136">
        <v>130.44</v>
      </c>
      <c r="T82" s="136">
        <v>127.6</v>
      </c>
      <c r="U82" s="136">
        <v>124.76</v>
      </c>
      <c r="V82" s="136">
        <v>121.92</v>
      </c>
      <c r="W82" s="136">
        <v>119.08</v>
      </c>
      <c r="X82" s="7">
        <v>78</v>
      </c>
      <c r="Y82" s="136">
        <v>81.96</v>
      </c>
      <c r="Z82" s="136">
        <v>83.96</v>
      </c>
      <c r="AA82" s="2">
        <v>85.97</v>
      </c>
      <c r="AB82" s="15">
        <v>87.97</v>
      </c>
      <c r="AC82" s="3">
        <v>89.98</v>
      </c>
      <c r="AD82" s="188">
        <v>100.18</v>
      </c>
      <c r="AE82" s="189">
        <v>102.18</v>
      </c>
      <c r="AF82" s="189">
        <v>104.19</v>
      </c>
      <c r="AG82" s="201">
        <v>106.19</v>
      </c>
      <c r="AH82" s="190">
        <v>108.19</v>
      </c>
      <c r="AI82" s="184">
        <v>110.2</v>
      </c>
      <c r="AJ82" s="184">
        <v>112.2</v>
      </c>
      <c r="AK82" s="184">
        <v>114.21</v>
      </c>
      <c r="AL82" s="184">
        <v>116.21</v>
      </c>
      <c r="AM82" s="184">
        <v>118.22</v>
      </c>
      <c r="AN82" s="184">
        <v>120.22</v>
      </c>
      <c r="AO82" s="136">
        <v>114.03</v>
      </c>
      <c r="AP82" s="136">
        <v>116.04</v>
      </c>
      <c r="AQ82" s="136">
        <v>118.04</v>
      </c>
      <c r="AR82" s="136">
        <v>120.04</v>
      </c>
      <c r="AS82" s="136">
        <v>83.96</v>
      </c>
      <c r="AT82" s="136">
        <v>81.96</v>
      </c>
      <c r="AU82" s="136">
        <v>79.95</v>
      </c>
      <c r="AV82" s="136">
        <v>77.95</v>
      </c>
      <c r="AW82" s="136">
        <v>75.94</v>
      </c>
    </row>
    <row r="83" spans="1:49" x14ac:dyDescent="0.45">
      <c r="A83" s="2">
        <v>135.03</v>
      </c>
      <c r="B83" s="15">
        <v>137.9</v>
      </c>
      <c r="C83" s="3">
        <v>140.78</v>
      </c>
      <c r="D83" s="188">
        <v>155.88999999999999</v>
      </c>
      <c r="E83" s="189">
        <v>158.77000000000001</v>
      </c>
      <c r="F83" s="189">
        <v>161.65</v>
      </c>
      <c r="G83" s="189">
        <v>164.52</v>
      </c>
      <c r="H83" s="190">
        <v>167.4</v>
      </c>
      <c r="I83" s="184">
        <v>170.27</v>
      </c>
      <c r="J83" s="184">
        <v>173.15</v>
      </c>
      <c r="K83" s="184">
        <v>176.02</v>
      </c>
      <c r="L83" s="184">
        <v>178.9</v>
      </c>
      <c r="M83" s="184">
        <v>181.78</v>
      </c>
      <c r="N83" s="184">
        <v>184.65</v>
      </c>
      <c r="O83" s="136">
        <v>175.29</v>
      </c>
      <c r="P83" s="136">
        <v>178.16</v>
      </c>
      <c r="Q83" s="136">
        <v>181.04</v>
      </c>
      <c r="R83" s="136">
        <v>183.91</v>
      </c>
      <c r="S83" s="136">
        <v>132.15</v>
      </c>
      <c r="T83" s="136">
        <v>129.28</v>
      </c>
      <c r="U83" s="136">
        <v>126.4</v>
      </c>
      <c r="V83" s="136">
        <v>123.53</v>
      </c>
      <c r="W83" s="136">
        <v>120.65</v>
      </c>
      <c r="X83" s="7">
        <v>79</v>
      </c>
      <c r="Y83" s="136">
        <v>83</v>
      </c>
      <c r="Z83" s="136">
        <v>85.04</v>
      </c>
      <c r="AA83" s="2">
        <v>87.07</v>
      </c>
      <c r="AB83" s="15">
        <v>89.1</v>
      </c>
      <c r="AC83" s="3">
        <v>91.13</v>
      </c>
      <c r="AD83" s="188">
        <v>101.46</v>
      </c>
      <c r="AE83" s="189">
        <v>103.49</v>
      </c>
      <c r="AF83" s="189">
        <v>105.52</v>
      </c>
      <c r="AG83" s="201">
        <v>107.55</v>
      </c>
      <c r="AH83" s="190">
        <v>109.58</v>
      </c>
      <c r="AI83" s="184">
        <v>111.61</v>
      </c>
      <c r="AJ83" s="184">
        <v>113.64</v>
      </c>
      <c r="AK83" s="184">
        <v>115.67</v>
      </c>
      <c r="AL83" s="184">
        <v>117.7</v>
      </c>
      <c r="AM83" s="184">
        <v>119.73</v>
      </c>
      <c r="AN83" s="184">
        <v>121.76</v>
      </c>
      <c r="AO83" s="136">
        <v>115.49</v>
      </c>
      <c r="AP83" s="136">
        <v>117.52</v>
      </c>
      <c r="AQ83" s="136">
        <v>119.55</v>
      </c>
      <c r="AR83" s="136">
        <v>121.58</v>
      </c>
      <c r="AS83" s="136">
        <v>85.04</v>
      </c>
      <c r="AT83" s="136">
        <v>83</v>
      </c>
      <c r="AU83" s="136">
        <v>80.97</v>
      </c>
      <c r="AV83" s="136">
        <v>78.94</v>
      </c>
      <c r="AW83" s="136">
        <v>76.91</v>
      </c>
    </row>
    <row r="84" spans="1:49" x14ac:dyDescent="0.45">
      <c r="A84" s="2">
        <v>136.72</v>
      </c>
      <c r="B84" s="15">
        <v>139.63999999999999</v>
      </c>
      <c r="C84" s="3">
        <v>142.55000000000001</v>
      </c>
      <c r="D84" s="188">
        <v>157.85</v>
      </c>
      <c r="E84" s="189">
        <v>160.76</v>
      </c>
      <c r="F84" s="189">
        <v>163.68</v>
      </c>
      <c r="G84" s="189">
        <v>166.59</v>
      </c>
      <c r="H84" s="190">
        <v>169.5</v>
      </c>
      <c r="I84" s="184">
        <v>172.41</v>
      </c>
      <c r="J84" s="184">
        <v>175.32</v>
      </c>
      <c r="K84" s="184">
        <v>178.24</v>
      </c>
      <c r="L84" s="184">
        <v>181.15</v>
      </c>
      <c r="M84" s="184">
        <v>184.06</v>
      </c>
      <c r="N84" s="184">
        <v>186.97</v>
      </c>
      <c r="O84" s="136">
        <v>177.49</v>
      </c>
      <c r="P84" s="136">
        <v>180.4</v>
      </c>
      <c r="Q84" s="136">
        <v>183.32</v>
      </c>
      <c r="R84" s="136">
        <v>186.23</v>
      </c>
      <c r="S84" s="136">
        <v>133.81</v>
      </c>
      <c r="T84" s="136">
        <v>130.9</v>
      </c>
      <c r="U84" s="136">
        <v>127.99</v>
      </c>
      <c r="V84" s="136">
        <v>125.08</v>
      </c>
      <c r="W84" s="136">
        <v>122.16</v>
      </c>
      <c r="X84" s="7">
        <v>80</v>
      </c>
      <c r="Y84" s="136">
        <v>84.05</v>
      </c>
      <c r="Z84" s="136">
        <v>86.11</v>
      </c>
      <c r="AA84" s="2">
        <v>88.17</v>
      </c>
      <c r="AB84" s="15">
        <v>90.22</v>
      </c>
      <c r="AC84" s="3">
        <v>92.28</v>
      </c>
      <c r="AD84" s="188">
        <v>102.74</v>
      </c>
      <c r="AE84" s="189">
        <v>104.8</v>
      </c>
      <c r="AF84" s="189">
        <v>106.85</v>
      </c>
      <c r="AG84" s="201">
        <v>108.91</v>
      </c>
      <c r="AH84" s="190">
        <v>110.96</v>
      </c>
      <c r="AI84" s="184">
        <v>113.02</v>
      </c>
      <c r="AJ84" s="184">
        <v>115.08</v>
      </c>
      <c r="AK84" s="184">
        <v>117.13</v>
      </c>
      <c r="AL84" s="184">
        <v>119.19</v>
      </c>
      <c r="AM84" s="184">
        <v>121.24</v>
      </c>
      <c r="AN84" s="184">
        <v>123.3</v>
      </c>
      <c r="AO84" s="136">
        <v>116.95</v>
      </c>
      <c r="AP84" s="136">
        <v>119.01</v>
      </c>
      <c r="AQ84" s="136">
        <v>121.06</v>
      </c>
      <c r="AR84" s="136">
        <v>123.12</v>
      </c>
      <c r="AS84" s="136">
        <v>86.11</v>
      </c>
      <c r="AT84" s="136">
        <v>84.05</v>
      </c>
      <c r="AU84" s="136">
        <v>82</v>
      </c>
      <c r="AV84" s="136">
        <v>79.94</v>
      </c>
      <c r="AW84" s="136">
        <v>77.89</v>
      </c>
    </row>
    <row r="85" spans="1:49" x14ac:dyDescent="0.45">
      <c r="A85" s="2">
        <v>138.43</v>
      </c>
      <c r="B85" s="15">
        <v>141.38</v>
      </c>
      <c r="C85" s="3">
        <v>144.32</v>
      </c>
      <c r="D85" s="188">
        <v>159.82</v>
      </c>
      <c r="E85" s="189">
        <v>162.77000000000001</v>
      </c>
      <c r="F85" s="189">
        <v>165.72</v>
      </c>
      <c r="G85" s="189">
        <v>168.66</v>
      </c>
      <c r="H85" s="190">
        <v>171.61</v>
      </c>
      <c r="I85" s="184">
        <v>174.56</v>
      </c>
      <c r="J85" s="184">
        <v>177.51</v>
      </c>
      <c r="K85" s="184">
        <v>180.46</v>
      </c>
      <c r="L85" s="184">
        <v>183.41</v>
      </c>
      <c r="M85" s="184">
        <v>186.35</v>
      </c>
      <c r="N85" s="184">
        <v>189.3</v>
      </c>
      <c r="O85" s="136">
        <v>179.71</v>
      </c>
      <c r="P85" s="136">
        <v>182.65</v>
      </c>
      <c r="Q85" s="136">
        <v>185.6</v>
      </c>
      <c r="R85" s="136">
        <v>188.55</v>
      </c>
      <c r="S85" s="136">
        <v>135.47999999999999</v>
      </c>
      <c r="T85" s="136">
        <v>132.53</v>
      </c>
      <c r="U85" s="136">
        <v>129.58000000000001</v>
      </c>
      <c r="V85" s="136">
        <v>126.63</v>
      </c>
      <c r="W85" s="136">
        <v>123.69</v>
      </c>
      <c r="X85" s="7">
        <v>81</v>
      </c>
      <c r="Y85" s="136">
        <v>85.11</v>
      </c>
      <c r="Z85" s="136">
        <v>87.19</v>
      </c>
      <c r="AA85" s="2">
        <v>89.27</v>
      </c>
      <c r="AB85" s="15">
        <v>91.35</v>
      </c>
      <c r="AC85" s="3">
        <v>93.43</v>
      </c>
      <c r="AD85" s="188">
        <v>104.02</v>
      </c>
      <c r="AE85" s="189">
        <v>106.11</v>
      </c>
      <c r="AF85" s="189">
        <v>108.19</v>
      </c>
      <c r="AG85" s="201">
        <v>110.27</v>
      </c>
      <c r="AH85" s="190">
        <v>112.35</v>
      </c>
      <c r="AI85" s="184">
        <v>114.43</v>
      </c>
      <c r="AJ85" s="184">
        <v>116.51</v>
      </c>
      <c r="AK85" s="184">
        <v>118.6</v>
      </c>
      <c r="AL85" s="184">
        <v>120.68</v>
      </c>
      <c r="AM85" s="184" t="s">
        <v>160</v>
      </c>
      <c r="AN85" s="184">
        <v>124.84</v>
      </c>
      <c r="AO85" s="136">
        <v>118.41</v>
      </c>
      <c r="AP85" s="136">
        <v>120.49</v>
      </c>
      <c r="AQ85" s="136">
        <v>122.58</v>
      </c>
      <c r="AR85" s="136">
        <v>124.66</v>
      </c>
      <c r="AS85" s="136">
        <v>87.19</v>
      </c>
      <c r="AT85" s="136">
        <v>85.11</v>
      </c>
      <c r="AU85" s="136">
        <v>83.02</v>
      </c>
      <c r="AV85" s="136">
        <v>80.94</v>
      </c>
      <c r="AW85" s="136">
        <v>78.86</v>
      </c>
    </row>
    <row r="86" spans="1:49" x14ac:dyDescent="0.45">
      <c r="A86" s="2">
        <v>140.07</v>
      </c>
      <c r="B86" s="15">
        <v>143.06</v>
      </c>
      <c r="C86" s="3">
        <v>146.04</v>
      </c>
      <c r="D86" s="188">
        <v>161.71</v>
      </c>
      <c r="E86" s="189">
        <v>164.69</v>
      </c>
      <c r="F86" s="189">
        <v>167.68</v>
      </c>
      <c r="G86" s="189">
        <v>170.66</v>
      </c>
      <c r="H86" s="190">
        <v>173.65</v>
      </c>
      <c r="I86" s="184">
        <v>176.63</v>
      </c>
      <c r="J86" s="184">
        <v>179.61</v>
      </c>
      <c r="K86" s="184">
        <v>182.6</v>
      </c>
      <c r="L86" s="184">
        <v>185.58</v>
      </c>
      <c r="M86" s="184">
        <v>188.57</v>
      </c>
      <c r="N86" s="184">
        <v>191.55</v>
      </c>
      <c r="O86" s="136">
        <v>181.86</v>
      </c>
      <c r="P86" s="136">
        <v>184.84</v>
      </c>
      <c r="Q86" s="136">
        <v>187.83</v>
      </c>
      <c r="R86" s="136">
        <v>190.81</v>
      </c>
      <c r="S86" s="136">
        <v>137.09</v>
      </c>
      <c r="T86" s="136">
        <v>134.1</v>
      </c>
      <c r="U86" s="136">
        <v>131.12</v>
      </c>
      <c r="V86" s="136">
        <v>128.13</v>
      </c>
      <c r="W86" s="136">
        <v>125.15</v>
      </c>
      <c r="X86" s="7">
        <v>82</v>
      </c>
      <c r="Y86" s="136">
        <v>86.14</v>
      </c>
      <c r="Z86" s="136">
        <v>88.25</v>
      </c>
      <c r="AA86" s="2">
        <v>90.35</v>
      </c>
      <c r="AB86" s="15">
        <v>92.46</v>
      </c>
      <c r="AC86" s="3">
        <v>94.57</v>
      </c>
      <c r="AD86" s="188">
        <v>105.28</v>
      </c>
      <c r="AE86" s="189">
        <v>107.39</v>
      </c>
      <c r="AF86" s="189">
        <v>109.5</v>
      </c>
      <c r="AG86" s="201">
        <v>111.61</v>
      </c>
      <c r="AH86" s="190">
        <v>113.71</v>
      </c>
      <c r="AI86" s="184">
        <v>115.82</v>
      </c>
      <c r="AJ86" s="184">
        <v>117.93</v>
      </c>
      <c r="AK86" s="184">
        <v>120.04</v>
      </c>
      <c r="AL86" s="184">
        <v>122.14</v>
      </c>
      <c r="AM86" s="184">
        <v>124.25</v>
      </c>
      <c r="AN86" s="184">
        <v>126.36</v>
      </c>
      <c r="AO86" s="136">
        <v>119.86</v>
      </c>
      <c r="AP86" s="136">
        <v>121.97</v>
      </c>
      <c r="AQ86" s="136">
        <v>124.07</v>
      </c>
      <c r="AR86" s="136">
        <v>126.18</v>
      </c>
      <c r="AS86" s="136">
        <v>88.25</v>
      </c>
      <c r="AT86" s="136">
        <v>86.14</v>
      </c>
      <c r="AU86" s="136">
        <v>84.03</v>
      </c>
      <c r="AV86" s="136">
        <v>81.92</v>
      </c>
      <c r="AW86" s="136">
        <v>79.819999999999993</v>
      </c>
    </row>
    <row r="87" spans="1:49" x14ac:dyDescent="0.45">
      <c r="A87" s="2">
        <v>141.79</v>
      </c>
      <c r="B87" s="15">
        <v>144.81</v>
      </c>
      <c r="C87" s="3">
        <v>147.83000000000001</v>
      </c>
      <c r="D87" s="188">
        <v>163.69</v>
      </c>
      <c r="E87" s="189">
        <v>166.71</v>
      </c>
      <c r="F87" s="189">
        <v>169.73</v>
      </c>
      <c r="G87" s="189">
        <v>172.75</v>
      </c>
      <c r="H87" s="190">
        <v>175.77</v>
      </c>
      <c r="I87" s="184">
        <v>178.79</v>
      </c>
      <c r="J87" s="184">
        <v>181.81</v>
      </c>
      <c r="K87" s="184">
        <v>184.83</v>
      </c>
      <c r="L87" s="184">
        <v>187.86</v>
      </c>
      <c r="M87" s="184">
        <v>190.88</v>
      </c>
      <c r="N87" s="184">
        <v>193.9</v>
      </c>
      <c r="O87" s="136">
        <v>184.08</v>
      </c>
      <c r="P87" s="136">
        <v>187.1</v>
      </c>
      <c r="Q87" s="136">
        <v>190.12</v>
      </c>
      <c r="R87" s="136">
        <v>193.15</v>
      </c>
      <c r="S87" s="136">
        <v>138.76</v>
      </c>
      <c r="T87" s="136">
        <v>135.74</v>
      </c>
      <c r="U87" s="136">
        <v>132.72</v>
      </c>
      <c r="V87" s="136">
        <v>129.69999999999999</v>
      </c>
      <c r="W87" s="136">
        <v>126.68</v>
      </c>
      <c r="X87" s="7">
        <v>83</v>
      </c>
      <c r="Y87" s="136">
        <v>87.19</v>
      </c>
      <c r="Z87" s="136">
        <v>89.33</v>
      </c>
      <c r="AA87" s="2">
        <v>91.46</v>
      </c>
      <c r="AB87" s="15">
        <v>93.59</v>
      </c>
      <c r="AC87" s="3">
        <v>95.73</v>
      </c>
      <c r="AD87" s="188">
        <v>106.57</v>
      </c>
      <c r="AE87" s="189">
        <v>108.71</v>
      </c>
      <c r="AF87" s="189">
        <v>110.84</v>
      </c>
      <c r="AG87" s="201">
        <v>112.97</v>
      </c>
      <c r="AH87" s="190">
        <v>115.11</v>
      </c>
      <c r="AI87" s="184">
        <v>117.24</v>
      </c>
      <c r="AJ87" s="184">
        <v>119.37</v>
      </c>
      <c r="AK87" s="184">
        <v>121.51</v>
      </c>
      <c r="AL87" s="184">
        <v>123.64</v>
      </c>
      <c r="AM87" s="184">
        <v>125.77</v>
      </c>
      <c r="AN87" s="184">
        <v>127.91</v>
      </c>
      <c r="AO87" s="136">
        <v>121.32</v>
      </c>
      <c r="AP87" s="136">
        <v>123.46</v>
      </c>
      <c r="AQ87" s="136">
        <v>125.59</v>
      </c>
      <c r="AR87" s="136">
        <v>127.72</v>
      </c>
      <c r="AS87" s="136">
        <v>89.33</v>
      </c>
      <c r="AT87" s="136">
        <v>87.19</v>
      </c>
      <c r="AU87" s="136">
        <v>85.06</v>
      </c>
      <c r="AV87" s="136">
        <v>82.93</v>
      </c>
      <c r="AW87" s="136">
        <v>80.8</v>
      </c>
    </row>
    <row r="88" spans="1:49" x14ac:dyDescent="0.45">
      <c r="A88" s="2">
        <v>143.51</v>
      </c>
      <c r="B88" s="15">
        <v>146.56</v>
      </c>
      <c r="C88" s="3">
        <v>149.62</v>
      </c>
      <c r="D88" s="188">
        <v>165.68</v>
      </c>
      <c r="E88" s="189">
        <v>168.73</v>
      </c>
      <c r="F88" s="189">
        <v>171.79</v>
      </c>
      <c r="G88" s="189">
        <v>174.85</v>
      </c>
      <c r="H88" s="190">
        <v>177.91</v>
      </c>
      <c r="I88" s="184">
        <v>180.96</v>
      </c>
      <c r="J88" s="184">
        <v>184.02</v>
      </c>
      <c r="K88" s="184">
        <v>187.08</v>
      </c>
      <c r="L88" s="184">
        <v>190.14</v>
      </c>
      <c r="M88" s="184">
        <v>193.19</v>
      </c>
      <c r="N88" s="184">
        <v>196.25</v>
      </c>
      <c r="O88" s="136">
        <v>186.31</v>
      </c>
      <c r="P88" s="136">
        <v>189.37</v>
      </c>
      <c r="Q88" s="136">
        <v>192.43</v>
      </c>
      <c r="R88" s="136">
        <v>195.49</v>
      </c>
      <c r="S88" s="136">
        <v>140.44999999999999</v>
      </c>
      <c r="T88" s="136">
        <v>137.38999999999999</v>
      </c>
      <c r="U88" s="136">
        <v>134.33000000000001</v>
      </c>
      <c r="V88" s="136">
        <v>131.28</v>
      </c>
      <c r="W88" s="136">
        <v>128.22</v>
      </c>
      <c r="X88" s="7">
        <v>84</v>
      </c>
      <c r="Y88" s="136">
        <v>88.23</v>
      </c>
      <c r="Z88" s="136">
        <v>90.39</v>
      </c>
      <c r="AA88" s="2">
        <v>92.55</v>
      </c>
      <c r="AB88" s="15">
        <v>94.71</v>
      </c>
      <c r="AC88" s="3">
        <v>96.87</v>
      </c>
      <c r="AD88" s="188">
        <v>107.84</v>
      </c>
      <c r="AE88" s="189">
        <v>110</v>
      </c>
      <c r="AF88" s="189">
        <v>112.16</v>
      </c>
      <c r="AG88" s="201">
        <v>114.32</v>
      </c>
      <c r="AH88" s="190">
        <v>116.47</v>
      </c>
      <c r="AI88" s="184">
        <v>118.63</v>
      </c>
      <c r="AJ88" s="184">
        <v>120.79</v>
      </c>
      <c r="AK88" s="184">
        <v>122.95</v>
      </c>
      <c r="AL88" s="184">
        <v>125.11</v>
      </c>
      <c r="AM88" s="184">
        <v>127.27</v>
      </c>
      <c r="AN88" s="184">
        <v>129.43</v>
      </c>
      <c r="AO88" s="136">
        <v>122.77</v>
      </c>
      <c r="AP88" s="136">
        <v>124.93</v>
      </c>
      <c r="AQ88" s="136">
        <v>127.09</v>
      </c>
      <c r="AR88" s="136">
        <v>129.25</v>
      </c>
      <c r="AS88" s="136">
        <v>90.39</v>
      </c>
      <c r="AT88" s="136">
        <v>88.23</v>
      </c>
      <c r="AU88" s="136">
        <v>86.07</v>
      </c>
      <c r="AV88" s="136">
        <v>83.91</v>
      </c>
      <c r="AW88" s="136">
        <v>81.75</v>
      </c>
    </row>
    <row r="89" spans="1:49" x14ac:dyDescent="0.45">
      <c r="A89" s="2">
        <v>145.24</v>
      </c>
      <c r="B89" s="15">
        <v>148.33000000000001</v>
      </c>
      <c r="C89" s="3">
        <v>151.41999999999999</v>
      </c>
      <c r="D89" s="188">
        <v>167.67</v>
      </c>
      <c r="E89" s="189">
        <v>170.77</v>
      </c>
      <c r="F89" s="189">
        <v>173.86</v>
      </c>
      <c r="G89" s="189">
        <v>176.96</v>
      </c>
      <c r="H89" s="190">
        <v>180.05</v>
      </c>
      <c r="I89" s="184">
        <v>183.14</v>
      </c>
      <c r="J89" s="184">
        <v>186.24</v>
      </c>
      <c r="K89" s="184">
        <v>189.33</v>
      </c>
      <c r="L89" s="184">
        <v>192.43</v>
      </c>
      <c r="M89" s="184">
        <v>195.52</v>
      </c>
      <c r="N89" s="184">
        <v>198.61</v>
      </c>
      <c r="O89" s="136">
        <v>188.55</v>
      </c>
      <c r="P89" s="136">
        <v>191.65</v>
      </c>
      <c r="Q89" s="136">
        <v>194.74</v>
      </c>
      <c r="R89" s="136">
        <v>197.83</v>
      </c>
      <c r="S89" s="136">
        <v>142.13999999999999</v>
      </c>
      <c r="T89" s="136">
        <v>139.05000000000001</v>
      </c>
      <c r="U89" s="136">
        <v>135.94999999999999</v>
      </c>
      <c r="V89" s="136">
        <v>132.86000000000001</v>
      </c>
      <c r="W89" s="136">
        <v>129.77000000000001</v>
      </c>
      <c r="X89" s="7">
        <v>85</v>
      </c>
      <c r="Y89" s="136">
        <v>89.29</v>
      </c>
      <c r="Z89" s="136">
        <v>91.47</v>
      </c>
      <c r="AA89" s="2">
        <v>93.66</v>
      </c>
      <c r="AB89" s="15">
        <v>95.84</v>
      </c>
      <c r="AC89" s="3">
        <v>98.03</v>
      </c>
      <c r="AD89" s="188">
        <v>109.13</v>
      </c>
      <c r="AE89" s="189">
        <v>111.32</v>
      </c>
      <c r="AF89" s="189">
        <v>113.5</v>
      </c>
      <c r="AG89" s="201">
        <v>115.69</v>
      </c>
      <c r="AH89" s="190">
        <v>117.87</v>
      </c>
      <c r="AI89" s="184">
        <v>120.06</v>
      </c>
      <c r="AJ89" s="184">
        <v>122.24</v>
      </c>
      <c r="AK89" s="184">
        <v>124.43</v>
      </c>
      <c r="AL89" s="184">
        <v>126.61</v>
      </c>
      <c r="AM89" s="184">
        <v>128.79</v>
      </c>
      <c r="AN89" s="184">
        <v>130.97999999999999</v>
      </c>
      <c r="AO89" s="136">
        <v>124.24</v>
      </c>
      <c r="AP89" s="136">
        <v>126.43</v>
      </c>
      <c r="AQ89" s="136">
        <v>128.61000000000001</v>
      </c>
      <c r="AR89" s="136">
        <v>130.79</v>
      </c>
      <c r="AS89" s="136">
        <v>91.47</v>
      </c>
      <c r="AT89" s="136">
        <v>89.29</v>
      </c>
      <c r="AU89" s="136">
        <v>87.1</v>
      </c>
      <c r="AV89" s="136">
        <v>84.92</v>
      </c>
      <c r="AW89" s="136">
        <v>82.74</v>
      </c>
    </row>
    <row r="90" spans="1:49" x14ac:dyDescent="0.45">
      <c r="A90" s="2">
        <v>146.9</v>
      </c>
      <c r="B90" s="15">
        <v>150.03</v>
      </c>
      <c r="C90" s="3">
        <v>153.16</v>
      </c>
      <c r="D90" s="188">
        <v>169.59</v>
      </c>
      <c r="E90" s="189">
        <v>172.72</v>
      </c>
      <c r="F90" s="189">
        <v>175.85</v>
      </c>
      <c r="G90" s="189">
        <v>178.98</v>
      </c>
      <c r="H90" s="190">
        <v>182.11</v>
      </c>
      <c r="I90" s="184">
        <v>185.24</v>
      </c>
      <c r="J90" s="184">
        <v>188.37</v>
      </c>
      <c r="K90" s="184">
        <v>191.5</v>
      </c>
      <c r="L90" s="184">
        <v>194.63</v>
      </c>
      <c r="M90" s="184">
        <v>197.76</v>
      </c>
      <c r="N90" s="184">
        <v>200.89</v>
      </c>
      <c r="O90" s="136">
        <v>190.72</v>
      </c>
      <c r="P90" s="136">
        <v>193.85</v>
      </c>
      <c r="Q90" s="136">
        <v>196.98</v>
      </c>
      <c r="R90" s="136">
        <v>200.11</v>
      </c>
      <c r="S90" s="136">
        <v>143.77000000000001</v>
      </c>
      <c r="T90" s="136">
        <v>140.63999999999999</v>
      </c>
      <c r="U90" s="136">
        <v>137.51</v>
      </c>
      <c r="V90" s="136">
        <v>134.38</v>
      </c>
      <c r="W90" s="136">
        <v>131.25</v>
      </c>
      <c r="X90" s="7">
        <v>86</v>
      </c>
      <c r="Y90" s="136">
        <v>90.33</v>
      </c>
      <c r="Z90" s="136">
        <v>92.54</v>
      </c>
      <c r="AA90" s="2">
        <v>94.75</v>
      </c>
      <c r="AB90" s="15">
        <v>96.96</v>
      </c>
      <c r="AC90" s="3">
        <v>99.17</v>
      </c>
      <c r="AD90" s="188">
        <v>110.4</v>
      </c>
      <c r="AE90" s="189">
        <v>112.61</v>
      </c>
      <c r="AF90" s="189">
        <v>114.82</v>
      </c>
      <c r="AG90" s="201">
        <v>117.03</v>
      </c>
      <c r="AH90" s="190">
        <v>119.24</v>
      </c>
      <c r="AI90" s="184">
        <v>121.45</v>
      </c>
      <c r="AJ90" s="184">
        <v>123.66</v>
      </c>
      <c r="AK90" s="184">
        <v>125.87</v>
      </c>
      <c r="AL90" s="184">
        <v>128.08000000000001</v>
      </c>
      <c r="AM90" s="184">
        <v>130.29</v>
      </c>
      <c r="AN90" s="184">
        <v>132.5</v>
      </c>
      <c r="AO90" s="136">
        <v>125.69</v>
      </c>
      <c r="AP90" s="136">
        <v>127.9</v>
      </c>
      <c r="AQ90" s="136">
        <v>130.11000000000001</v>
      </c>
      <c r="AR90" s="136">
        <v>132.32</v>
      </c>
      <c r="AS90" s="136">
        <v>92.54</v>
      </c>
      <c r="AT90" s="136">
        <v>90.33</v>
      </c>
      <c r="AU90" s="136">
        <v>88.12</v>
      </c>
      <c r="AV90" s="136">
        <v>85.91</v>
      </c>
      <c r="AW90" s="136">
        <v>83.7</v>
      </c>
    </row>
    <row r="91" spans="1:49" x14ac:dyDescent="0.45">
      <c r="A91" s="2">
        <v>148.56</v>
      </c>
      <c r="B91" s="15">
        <v>151.72999999999999</v>
      </c>
      <c r="C91" s="3">
        <v>154.9</v>
      </c>
      <c r="D91" s="188">
        <v>171.51</v>
      </c>
      <c r="E91" s="189">
        <v>174.67</v>
      </c>
      <c r="F91" s="189">
        <v>177.84</v>
      </c>
      <c r="G91" s="189">
        <v>181.01</v>
      </c>
      <c r="H91" s="190">
        <v>184.17</v>
      </c>
      <c r="I91" s="184">
        <v>187.34</v>
      </c>
      <c r="J91" s="184">
        <v>190.51</v>
      </c>
      <c r="K91" s="184">
        <v>193.67</v>
      </c>
      <c r="L91" s="184">
        <v>196.84</v>
      </c>
      <c r="M91" s="184">
        <v>200.01</v>
      </c>
      <c r="N91" s="184">
        <v>203.17</v>
      </c>
      <c r="O91" s="136">
        <v>192.9</v>
      </c>
      <c r="P91" s="136">
        <v>196.07</v>
      </c>
      <c r="Q91" s="136">
        <v>199.23</v>
      </c>
      <c r="R91" s="136">
        <v>202.4</v>
      </c>
      <c r="S91" s="136">
        <v>145.4</v>
      </c>
      <c r="T91" s="136">
        <v>142.22999999999999</v>
      </c>
      <c r="U91" s="136">
        <v>139.06</v>
      </c>
      <c r="V91" s="136">
        <v>135.9</v>
      </c>
      <c r="W91" s="136">
        <v>132.72999999999999</v>
      </c>
      <c r="X91" s="7">
        <v>87</v>
      </c>
      <c r="Y91" s="136">
        <v>91.37</v>
      </c>
      <c r="Z91" s="136">
        <v>93.6</v>
      </c>
      <c r="AA91" s="2">
        <v>95.84</v>
      </c>
      <c r="AB91" s="15">
        <v>98.08</v>
      </c>
      <c r="AC91" s="3">
        <v>100.31</v>
      </c>
      <c r="AD91" s="188">
        <v>111.67</v>
      </c>
      <c r="AE91" s="189">
        <v>113.91</v>
      </c>
      <c r="AF91" s="189">
        <v>116.14</v>
      </c>
      <c r="AG91" s="201">
        <v>118.38</v>
      </c>
      <c r="AH91" s="190">
        <v>120.62</v>
      </c>
      <c r="AI91" s="184">
        <v>122.85</v>
      </c>
      <c r="AJ91" s="184">
        <v>125.09</v>
      </c>
      <c r="AK91" s="184">
        <v>127.32</v>
      </c>
      <c r="AL91" s="184">
        <v>129.56</v>
      </c>
      <c r="AM91" s="184">
        <v>131.80000000000001</v>
      </c>
      <c r="AN91" s="184">
        <v>134.03</v>
      </c>
      <c r="AO91" s="136">
        <v>127.14</v>
      </c>
      <c r="AP91" s="136">
        <v>129.38</v>
      </c>
      <c r="AQ91" s="136">
        <v>131.61000000000001</v>
      </c>
      <c r="AR91" s="136">
        <v>133.85</v>
      </c>
      <c r="AS91" s="136">
        <v>93.6</v>
      </c>
      <c r="AT91" s="136">
        <v>91.37</v>
      </c>
      <c r="AU91" s="136">
        <v>89.13</v>
      </c>
      <c r="AV91" s="136">
        <v>86.9</v>
      </c>
      <c r="AW91" s="136">
        <v>84.66</v>
      </c>
    </row>
    <row r="92" spans="1:49" x14ac:dyDescent="0.45">
      <c r="A92" s="2">
        <v>150.31</v>
      </c>
      <c r="B92" s="15">
        <v>153.52000000000001</v>
      </c>
      <c r="C92" s="3">
        <v>156.72</v>
      </c>
      <c r="D92" s="188">
        <v>173.53</v>
      </c>
      <c r="E92" s="189">
        <v>176.73</v>
      </c>
      <c r="F92" s="189">
        <v>179.94</v>
      </c>
      <c r="G92" s="189">
        <v>183.14</v>
      </c>
      <c r="H92" s="190">
        <v>186.34</v>
      </c>
      <c r="I92" s="184">
        <v>189.54</v>
      </c>
      <c r="J92" s="184">
        <v>192.75</v>
      </c>
      <c r="K92" s="184">
        <v>195.95</v>
      </c>
      <c r="L92" s="184">
        <v>199.15</v>
      </c>
      <c r="M92" s="184">
        <v>202.36</v>
      </c>
      <c r="N92" s="184">
        <v>205.56</v>
      </c>
      <c r="O92" s="136">
        <v>195.16</v>
      </c>
      <c r="P92" s="136">
        <v>198.36</v>
      </c>
      <c r="Q92" s="136">
        <v>201.56</v>
      </c>
      <c r="R92" s="136">
        <v>204.77</v>
      </c>
      <c r="S92" s="136">
        <v>147.11000000000001</v>
      </c>
      <c r="T92" s="136">
        <v>143.91</v>
      </c>
      <c r="U92" s="136">
        <v>140.69999999999999</v>
      </c>
      <c r="V92" s="136">
        <v>137.5</v>
      </c>
      <c r="W92" s="136">
        <v>134.30000000000001</v>
      </c>
      <c r="X92" s="7">
        <v>88</v>
      </c>
      <c r="Y92" s="136">
        <v>92.41</v>
      </c>
      <c r="Z92" s="136">
        <v>94.67</v>
      </c>
      <c r="AA92" s="2">
        <v>96.93</v>
      </c>
      <c r="AB92" s="15">
        <v>99.2</v>
      </c>
      <c r="AC92" s="3">
        <v>101.46</v>
      </c>
      <c r="AD92" s="188">
        <v>112.94</v>
      </c>
      <c r="AE92" s="189">
        <v>115.21</v>
      </c>
      <c r="AF92" s="189">
        <v>117.47</v>
      </c>
      <c r="AG92" s="201">
        <v>119.73</v>
      </c>
      <c r="AH92" s="190">
        <v>121.99</v>
      </c>
      <c r="AI92" s="184">
        <v>124.25</v>
      </c>
      <c r="AJ92" s="184">
        <v>126.51</v>
      </c>
      <c r="AK92" s="184">
        <v>128.78</v>
      </c>
      <c r="AL92" s="184">
        <v>131.04</v>
      </c>
      <c r="AM92" s="184">
        <v>133.30000000000001</v>
      </c>
      <c r="AN92" s="184">
        <v>135.56</v>
      </c>
      <c r="AO92" s="136">
        <v>128.6</v>
      </c>
      <c r="AP92" s="136">
        <v>130.86000000000001</v>
      </c>
      <c r="AQ92" s="136">
        <v>133.12</v>
      </c>
      <c r="AR92" s="136">
        <v>135.38</v>
      </c>
      <c r="AS92" s="136">
        <v>94.67</v>
      </c>
      <c r="AT92" s="136">
        <v>92.41</v>
      </c>
      <c r="AU92" s="136">
        <v>90.15</v>
      </c>
      <c r="AV92" s="136">
        <v>87.89</v>
      </c>
      <c r="AW92" s="136">
        <v>85.63</v>
      </c>
    </row>
    <row r="93" spans="1:49" x14ac:dyDescent="0.45">
      <c r="A93" s="2">
        <v>151.99</v>
      </c>
      <c r="B93" s="15">
        <v>155.22999999999999</v>
      </c>
      <c r="C93" s="3">
        <v>158.47</v>
      </c>
      <c r="D93" s="188">
        <v>175.46</v>
      </c>
      <c r="E93" s="189">
        <v>178.7</v>
      </c>
      <c r="F93" s="189">
        <v>181.94</v>
      </c>
      <c r="G93" s="189">
        <v>185.18</v>
      </c>
      <c r="H93" s="190">
        <v>188.42</v>
      </c>
      <c r="I93" s="184">
        <v>191.66</v>
      </c>
      <c r="J93" s="184">
        <v>194.9</v>
      </c>
      <c r="K93" s="184">
        <v>198.14</v>
      </c>
      <c r="L93" s="184">
        <v>201.38</v>
      </c>
      <c r="M93" s="184">
        <v>204.62</v>
      </c>
      <c r="N93" s="184">
        <v>207.86</v>
      </c>
      <c r="O93" s="136">
        <v>197.34</v>
      </c>
      <c r="P93" s="136">
        <v>200.58</v>
      </c>
      <c r="Q93" s="136">
        <v>203.82</v>
      </c>
      <c r="R93" s="136">
        <v>207.06</v>
      </c>
      <c r="S93" s="136">
        <v>148.75</v>
      </c>
      <c r="T93" s="136">
        <v>145.51</v>
      </c>
      <c r="U93" s="136">
        <v>142.27000000000001</v>
      </c>
      <c r="V93" s="136">
        <v>139.03</v>
      </c>
      <c r="W93" s="136">
        <v>135.79</v>
      </c>
      <c r="X93" s="7">
        <v>89</v>
      </c>
      <c r="Y93" s="136">
        <v>93.45</v>
      </c>
      <c r="Z93" s="136">
        <v>95.74</v>
      </c>
      <c r="AA93" s="2">
        <v>98.03</v>
      </c>
      <c r="AB93" s="15">
        <v>100.32</v>
      </c>
      <c r="AC93" s="3">
        <v>102.6</v>
      </c>
      <c r="AD93" s="188">
        <v>114.22</v>
      </c>
      <c r="AE93" s="189">
        <v>116.51</v>
      </c>
      <c r="AF93" s="189">
        <v>118.79</v>
      </c>
      <c r="AG93" s="201">
        <v>121.08</v>
      </c>
      <c r="AH93" s="190">
        <v>123.37</v>
      </c>
      <c r="AI93" s="184">
        <v>125.65</v>
      </c>
      <c r="AJ93" s="184">
        <v>127.94</v>
      </c>
      <c r="AK93" s="184">
        <v>130.22999999999999</v>
      </c>
      <c r="AL93" s="184">
        <v>132.52000000000001</v>
      </c>
      <c r="AM93" s="184">
        <v>134.80000000000001</v>
      </c>
      <c r="AN93" s="184">
        <v>137.09</v>
      </c>
      <c r="AO93" s="136">
        <v>130.05000000000001</v>
      </c>
      <c r="AP93" s="136">
        <v>132.34</v>
      </c>
      <c r="AQ93" s="136">
        <v>134.63</v>
      </c>
      <c r="AR93" s="136">
        <v>136.91</v>
      </c>
      <c r="AS93" s="136">
        <v>95.74</v>
      </c>
      <c r="AT93" s="136">
        <v>93.45</v>
      </c>
      <c r="AU93" s="136">
        <v>91.17</v>
      </c>
      <c r="AV93" s="136">
        <v>88.88</v>
      </c>
      <c r="AW93" s="136">
        <v>86.59</v>
      </c>
    </row>
    <row r="94" spans="1:49" x14ac:dyDescent="0.45">
      <c r="A94" s="2">
        <v>153.66999999999999</v>
      </c>
      <c r="B94" s="15">
        <v>156.94999999999999</v>
      </c>
      <c r="C94" s="3">
        <v>160.22</v>
      </c>
      <c r="D94" s="188">
        <v>177.4</v>
      </c>
      <c r="E94" s="189">
        <v>180.67</v>
      </c>
      <c r="F94" s="189">
        <v>183.95</v>
      </c>
      <c r="G94" s="189">
        <v>187.23</v>
      </c>
      <c r="H94" s="190">
        <v>190.5</v>
      </c>
      <c r="I94" s="184">
        <v>193.78</v>
      </c>
      <c r="J94" s="184">
        <v>197.05</v>
      </c>
      <c r="K94" s="184">
        <v>200.33</v>
      </c>
      <c r="L94" s="184">
        <v>203.61</v>
      </c>
      <c r="M94" s="184">
        <v>206.88</v>
      </c>
      <c r="N94" s="184">
        <v>210.16</v>
      </c>
      <c r="O94" s="136">
        <v>199.53</v>
      </c>
      <c r="P94" s="136">
        <v>202.81</v>
      </c>
      <c r="Q94" s="136">
        <v>206.09</v>
      </c>
      <c r="R94" s="136">
        <v>209.36</v>
      </c>
      <c r="S94" s="136">
        <v>150.38999999999999</v>
      </c>
      <c r="T94" s="136">
        <v>147.12</v>
      </c>
      <c r="U94" s="136">
        <v>143.84</v>
      </c>
      <c r="V94" s="136">
        <v>140.57</v>
      </c>
      <c r="W94" s="136">
        <v>137.29</v>
      </c>
      <c r="X94" s="7">
        <v>90</v>
      </c>
      <c r="Y94" s="136">
        <v>94.52</v>
      </c>
      <c r="Z94" s="136">
        <v>96.83</v>
      </c>
      <c r="AA94" s="2">
        <v>99.15</v>
      </c>
      <c r="AB94" s="15">
        <v>101.46</v>
      </c>
      <c r="AC94" s="3">
        <v>103.77</v>
      </c>
      <c r="AD94" s="188">
        <v>115.53</v>
      </c>
      <c r="AE94" s="189">
        <v>117.84</v>
      </c>
      <c r="AF94" s="189">
        <v>120.15</v>
      </c>
      <c r="AG94" s="201">
        <v>122.47</v>
      </c>
      <c r="AH94" s="190">
        <v>124.78</v>
      </c>
      <c r="AI94" s="184">
        <v>127.09</v>
      </c>
      <c r="AJ94" s="184">
        <v>129.4</v>
      </c>
      <c r="AK94" s="184">
        <v>131.72</v>
      </c>
      <c r="AL94" s="184">
        <v>134.03</v>
      </c>
      <c r="AM94" s="184">
        <v>136.34</v>
      </c>
      <c r="AN94" s="184">
        <v>138.66</v>
      </c>
      <c r="AO94" s="136">
        <v>131.53</v>
      </c>
      <c r="AP94" s="136">
        <v>133.84</v>
      </c>
      <c r="AQ94" s="136">
        <v>136.16</v>
      </c>
      <c r="AR94" s="136">
        <v>138.47</v>
      </c>
      <c r="AS94" s="136">
        <v>96.83</v>
      </c>
      <c r="AT94" s="136">
        <v>94.52</v>
      </c>
      <c r="AU94" s="136">
        <v>92.21</v>
      </c>
      <c r="AV94" s="136">
        <v>89.9</v>
      </c>
      <c r="AW94" s="136">
        <v>87.58</v>
      </c>
    </row>
    <row r="95" spans="1:49" x14ac:dyDescent="0.45">
      <c r="A95" s="2">
        <v>155.44</v>
      </c>
      <c r="B95" s="15">
        <v>158.75</v>
      </c>
      <c r="C95" s="3">
        <v>162.06</v>
      </c>
      <c r="D95" s="188">
        <v>179.45</v>
      </c>
      <c r="E95" s="189">
        <v>182.76</v>
      </c>
      <c r="F95" s="189">
        <v>186.07</v>
      </c>
      <c r="G95" s="189">
        <v>189.39</v>
      </c>
      <c r="H95" s="190">
        <v>192.7</v>
      </c>
      <c r="I95" s="184">
        <v>196.01</v>
      </c>
      <c r="J95" s="184">
        <v>199.32</v>
      </c>
      <c r="K95" s="184">
        <v>202.64</v>
      </c>
      <c r="L95" s="184">
        <v>205.95</v>
      </c>
      <c r="M95" s="184">
        <v>209.26</v>
      </c>
      <c r="N95" s="184">
        <v>212.57</v>
      </c>
      <c r="O95" s="136">
        <v>201.81</v>
      </c>
      <c r="P95" s="136">
        <v>205.13</v>
      </c>
      <c r="Q95" s="136">
        <v>208.44</v>
      </c>
      <c r="R95" s="136">
        <v>211.75</v>
      </c>
      <c r="S95" s="136">
        <v>152.13</v>
      </c>
      <c r="T95" s="136">
        <v>148.82</v>
      </c>
      <c r="U95" s="136">
        <v>145.5</v>
      </c>
      <c r="V95" s="136">
        <v>142.19</v>
      </c>
      <c r="W95" s="136">
        <v>138.88</v>
      </c>
      <c r="X95" s="7">
        <v>91</v>
      </c>
      <c r="Y95" s="136">
        <v>95.57</v>
      </c>
      <c r="Z95" s="136">
        <v>97.91</v>
      </c>
      <c r="AA95" s="2">
        <v>100.25</v>
      </c>
      <c r="AB95" s="15">
        <v>102.58</v>
      </c>
      <c r="AC95" s="3">
        <v>104.92</v>
      </c>
      <c r="AD95" s="188">
        <v>116.8</v>
      </c>
      <c r="AE95" s="189">
        <v>119.14</v>
      </c>
      <c r="AF95" s="189">
        <v>121.48</v>
      </c>
      <c r="AG95" s="201">
        <v>123.82</v>
      </c>
      <c r="AH95" s="190">
        <v>126.16</v>
      </c>
      <c r="AI95" s="184">
        <v>128.5</v>
      </c>
      <c r="AJ95" s="184">
        <v>130.84</v>
      </c>
      <c r="AK95" s="184">
        <v>133.18</v>
      </c>
      <c r="AL95" s="184">
        <v>135.51</v>
      </c>
      <c r="AM95" s="184">
        <v>137.85</v>
      </c>
      <c r="AN95" s="184">
        <v>140.19</v>
      </c>
      <c r="AO95" s="136">
        <v>132.99</v>
      </c>
      <c r="AP95" s="136">
        <v>135.33000000000001</v>
      </c>
      <c r="AQ95" s="136">
        <v>137.66</v>
      </c>
      <c r="AR95" s="136">
        <v>140</v>
      </c>
      <c r="AS95" s="136">
        <v>97.91</v>
      </c>
      <c r="AT95" s="136">
        <v>95.57</v>
      </c>
      <c r="AU95" s="136">
        <v>93.23</v>
      </c>
      <c r="AV95" s="136">
        <v>90.89</v>
      </c>
      <c r="AW95" s="136">
        <v>88.55</v>
      </c>
    </row>
    <row r="96" spans="1:49" x14ac:dyDescent="0.45">
      <c r="A96" s="2">
        <v>157.13</v>
      </c>
      <c r="B96" s="15">
        <v>160.47999999999999</v>
      </c>
      <c r="C96" s="3">
        <v>163.83000000000001</v>
      </c>
      <c r="D96" s="188">
        <v>181.4</v>
      </c>
      <c r="E96" s="189">
        <v>184.75</v>
      </c>
      <c r="F96" s="189">
        <v>188.1</v>
      </c>
      <c r="G96" s="189">
        <v>191.45</v>
      </c>
      <c r="H96" s="190">
        <v>194.8</v>
      </c>
      <c r="I96" s="184">
        <v>198.15</v>
      </c>
      <c r="J96" s="184">
        <v>201.5</v>
      </c>
      <c r="K96" s="184">
        <v>204.84</v>
      </c>
      <c r="L96" s="184">
        <v>208.19</v>
      </c>
      <c r="M96" s="184">
        <v>211.54</v>
      </c>
      <c r="N96" s="184">
        <v>214.89</v>
      </c>
      <c r="O96" s="136">
        <v>204.02</v>
      </c>
      <c r="P96" s="136">
        <v>207.37</v>
      </c>
      <c r="Q96" s="136">
        <v>210.71</v>
      </c>
      <c r="R96" s="136">
        <v>214.06</v>
      </c>
      <c r="S96" s="136">
        <v>153.78</v>
      </c>
      <c r="T96" s="136">
        <v>150.44</v>
      </c>
      <c r="U96" s="136">
        <v>147.09</v>
      </c>
      <c r="V96" s="136">
        <v>143.74</v>
      </c>
      <c r="W96" s="136">
        <v>140.38999999999999</v>
      </c>
      <c r="X96" s="7">
        <v>92</v>
      </c>
      <c r="Y96" s="136">
        <v>96.59</v>
      </c>
      <c r="Z96" s="136">
        <v>98.96</v>
      </c>
      <c r="AA96" s="2">
        <v>101.32</v>
      </c>
      <c r="AB96" s="15">
        <v>103.69</v>
      </c>
      <c r="AC96" s="3">
        <v>106.05</v>
      </c>
      <c r="AD96" s="188">
        <v>118.05</v>
      </c>
      <c r="AE96" s="189">
        <v>120.42</v>
      </c>
      <c r="AF96" s="189">
        <v>122.78</v>
      </c>
      <c r="AG96" s="201">
        <v>125.14</v>
      </c>
      <c r="AH96" s="190">
        <v>127.51</v>
      </c>
      <c r="AI96" s="184">
        <v>129.87</v>
      </c>
      <c r="AJ96" s="184">
        <v>132.24</v>
      </c>
      <c r="AK96" s="184">
        <v>134.6</v>
      </c>
      <c r="AL96" s="184">
        <v>136.97</v>
      </c>
      <c r="AM96" s="184">
        <v>139.33000000000001</v>
      </c>
      <c r="AN96" s="184">
        <v>141.69999999999999</v>
      </c>
      <c r="AO96" s="136">
        <v>134.41999999999999</v>
      </c>
      <c r="AP96" s="136">
        <v>136.79</v>
      </c>
      <c r="AQ96" s="136">
        <v>139.15</v>
      </c>
      <c r="AR96" s="136">
        <v>141.52000000000001</v>
      </c>
      <c r="AS96" s="136">
        <v>98.96</v>
      </c>
      <c r="AT96" s="136">
        <v>96.59</v>
      </c>
      <c r="AU96" s="136">
        <v>94.23</v>
      </c>
      <c r="AV96" s="136">
        <v>91.86</v>
      </c>
      <c r="AW96" s="136">
        <v>89.5</v>
      </c>
    </row>
    <row r="97" spans="1:49" x14ac:dyDescent="0.45">
      <c r="A97" s="2">
        <v>158.83000000000001</v>
      </c>
      <c r="B97" s="15">
        <v>162.22</v>
      </c>
      <c r="C97" s="3">
        <v>165.6</v>
      </c>
      <c r="D97" s="188">
        <v>183.36</v>
      </c>
      <c r="E97" s="189">
        <v>186.75</v>
      </c>
      <c r="F97" s="189">
        <v>190.13</v>
      </c>
      <c r="G97" s="189">
        <v>193.52</v>
      </c>
      <c r="H97" s="190">
        <v>196.9</v>
      </c>
      <c r="I97" s="184">
        <v>200.29</v>
      </c>
      <c r="J97" s="184">
        <v>203.67</v>
      </c>
      <c r="K97" s="184">
        <v>207.06</v>
      </c>
      <c r="L97" s="184">
        <v>210.44</v>
      </c>
      <c r="M97" s="184">
        <v>213.83</v>
      </c>
      <c r="N97" s="184">
        <v>217.21</v>
      </c>
      <c r="O97" s="136">
        <v>206.23</v>
      </c>
      <c r="P97" s="136">
        <v>209.61</v>
      </c>
      <c r="Q97" s="136">
        <v>213</v>
      </c>
      <c r="R97" s="136">
        <v>216.38</v>
      </c>
      <c r="S97" s="136">
        <v>155.44999999999999</v>
      </c>
      <c r="T97" s="136">
        <v>152.06</v>
      </c>
      <c r="U97" s="136">
        <v>148.68</v>
      </c>
      <c r="V97" s="136">
        <v>145.29</v>
      </c>
      <c r="W97" s="136">
        <v>141.91</v>
      </c>
      <c r="X97" s="7">
        <v>93</v>
      </c>
      <c r="Y97" s="136">
        <v>97.64</v>
      </c>
      <c r="Z97" s="136">
        <v>100.03</v>
      </c>
      <c r="AA97" s="2">
        <v>102.42</v>
      </c>
      <c r="AB97" s="15">
        <v>104.81</v>
      </c>
      <c r="AC97" s="3">
        <v>107.2</v>
      </c>
      <c r="AD97" s="188">
        <v>119.33</v>
      </c>
      <c r="AE97" s="189">
        <v>121.72</v>
      </c>
      <c r="AF97" s="189">
        <v>124.11</v>
      </c>
      <c r="AG97" s="201">
        <v>126.5</v>
      </c>
      <c r="AH97" s="190">
        <v>128.88999999999999</v>
      </c>
      <c r="AI97" s="184">
        <v>131.28</v>
      </c>
      <c r="AJ97" s="184">
        <v>133.66999999999999</v>
      </c>
      <c r="AK97" s="184">
        <v>136.06</v>
      </c>
      <c r="AL97" s="184">
        <v>138.44999999999999</v>
      </c>
      <c r="AM97" s="184">
        <v>140.84</v>
      </c>
      <c r="AN97" s="184">
        <v>143.22999999999999</v>
      </c>
      <c r="AO97" s="136">
        <v>135.88</v>
      </c>
      <c r="AP97" s="136">
        <v>138.27000000000001</v>
      </c>
      <c r="AQ97" s="136">
        <v>140.66</v>
      </c>
      <c r="AR97" s="136">
        <v>143.05000000000001</v>
      </c>
      <c r="AS97" s="136">
        <v>100.03</v>
      </c>
      <c r="AT97" s="136">
        <v>97.64</v>
      </c>
      <c r="AU97" s="136">
        <v>95.25</v>
      </c>
      <c r="AV97" s="136">
        <v>92.86</v>
      </c>
      <c r="AW97" s="136">
        <v>90.47</v>
      </c>
    </row>
    <row r="98" spans="1:49" x14ac:dyDescent="0.45">
      <c r="A98" s="2">
        <v>160.54</v>
      </c>
      <c r="B98" s="15">
        <v>163.96</v>
      </c>
      <c r="C98" s="3">
        <v>167.38</v>
      </c>
      <c r="D98" s="188">
        <v>185.33</v>
      </c>
      <c r="E98" s="189">
        <v>188.75</v>
      </c>
      <c r="F98" s="189">
        <v>192.17</v>
      </c>
      <c r="G98" s="189">
        <v>195.59</v>
      </c>
      <c r="H98" s="190">
        <v>199.02</v>
      </c>
      <c r="I98" s="184">
        <v>202.44</v>
      </c>
      <c r="J98" s="184">
        <v>205.86</v>
      </c>
      <c r="K98" s="184">
        <v>209.28</v>
      </c>
      <c r="L98" s="184">
        <v>212.7</v>
      </c>
      <c r="M98" s="184">
        <v>216.12</v>
      </c>
      <c r="N98" s="184">
        <v>219.55</v>
      </c>
      <c r="O98" s="136">
        <v>208.44</v>
      </c>
      <c r="P98" s="136">
        <v>211.86</v>
      </c>
      <c r="Q98" s="136">
        <v>215.28</v>
      </c>
      <c r="R98" s="136">
        <v>218.7</v>
      </c>
      <c r="S98" s="136">
        <v>157.11000000000001</v>
      </c>
      <c r="T98" s="136">
        <v>153.69</v>
      </c>
      <c r="U98" s="136">
        <v>150.27000000000001</v>
      </c>
      <c r="V98" s="136">
        <v>146.85</v>
      </c>
      <c r="W98" s="136">
        <v>143.43</v>
      </c>
      <c r="X98" s="7">
        <v>94</v>
      </c>
      <c r="Y98" s="136">
        <v>98.69</v>
      </c>
      <c r="Z98" s="136">
        <v>101.11</v>
      </c>
      <c r="AA98" s="2">
        <v>103.52</v>
      </c>
      <c r="AB98" s="15">
        <v>105.94</v>
      </c>
      <c r="AC98" s="3">
        <v>108.35</v>
      </c>
      <c r="AD98" s="188">
        <v>120.62</v>
      </c>
      <c r="AE98" s="189">
        <v>123.03</v>
      </c>
      <c r="AF98" s="189">
        <v>125.45</v>
      </c>
      <c r="AG98" s="201">
        <v>127.86</v>
      </c>
      <c r="AH98" s="190">
        <v>130.28</v>
      </c>
      <c r="AI98" s="184">
        <v>132.69999999999999</v>
      </c>
      <c r="AJ98" s="184">
        <v>135.11000000000001</v>
      </c>
      <c r="AK98" s="184">
        <v>137.53</v>
      </c>
      <c r="AL98" s="184">
        <v>139.94</v>
      </c>
      <c r="AM98" s="184">
        <v>142.36000000000001</v>
      </c>
      <c r="AN98" s="184">
        <v>144.78</v>
      </c>
      <c r="AO98" s="136">
        <v>137.34</v>
      </c>
      <c r="AP98" s="136">
        <v>139.76</v>
      </c>
      <c r="AQ98" s="136">
        <v>142.18</v>
      </c>
      <c r="AR98" s="136">
        <v>144.59</v>
      </c>
      <c r="AS98" s="136">
        <v>101.11</v>
      </c>
      <c r="AT98" s="136">
        <v>98.69</v>
      </c>
      <c r="AU98" s="136">
        <v>96.28</v>
      </c>
      <c r="AV98" s="136">
        <v>93.86</v>
      </c>
      <c r="AW98" s="136">
        <v>91.44</v>
      </c>
    </row>
    <row r="99" spans="1:49" x14ac:dyDescent="0.45">
      <c r="A99" s="2">
        <v>162.16</v>
      </c>
      <c r="B99" s="15">
        <v>165.61</v>
      </c>
      <c r="C99" s="3">
        <v>169.07</v>
      </c>
      <c r="D99" s="188">
        <v>187.19</v>
      </c>
      <c r="E99" s="189">
        <v>190.65</v>
      </c>
      <c r="F99" s="189">
        <v>194.1</v>
      </c>
      <c r="G99" s="189">
        <v>197.56</v>
      </c>
      <c r="H99" s="190">
        <v>201.02</v>
      </c>
      <c r="I99" s="184">
        <v>204.48</v>
      </c>
      <c r="J99" s="184">
        <v>207.94</v>
      </c>
      <c r="K99" s="184">
        <v>211.39</v>
      </c>
      <c r="L99" s="184">
        <v>214.85</v>
      </c>
      <c r="M99" s="184">
        <v>218.31</v>
      </c>
      <c r="N99" s="184">
        <v>221.77</v>
      </c>
      <c r="O99" s="136">
        <v>210.57</v>
      </c>
      <c r="P99" s="136">
        <v>214.03</v>
      </c>
      <c r="Q99" s="136">
        <v>217.48</v>
      </c>
      <c r="R99" s="136">
        <v>220.94</v>
      </c>
      <c r="S99" s="136">
        <v>158.69999999999999</v>
      </c>
      <c r="T99" s="136">
        <v>155.24</v>
      </c>
      <c r="U99" s="136">
        <v>151.78</v>
      </c>
      <c r="V99" s="136">
        <v>148.32</v>
      </c>
      <c r="W99" s="136">
        <v>144.87</v>
      </c>
      <c r="X99" s="7">
        <v>95</v>
      </c>
      <c r="Y99" s="136">
        <v>99.74</v>
      </c>
      <c r="Z99" s="136">
        <v>102.19</v>
      </c>
      <c r="AA99" s="2">
        <v>104.63</v>
      </c>
      <c r="AB99" s="15">
        <v>107.07</v>
      </c>
      <c r="AC99" s="3">
        <v>109.51</v>
      </c>
      <c r="AD99" s="188">
        <v>121.9</v>
      </c>
      <c r="AE99" s="189">
        <v>124.35</v>
      </c>
      <c r="AF99" s="189">
        <v>126.79</v>
      </c>
      <c r="AG99" s="201">
        <v>129.22999999999999</v>
      </c>
      <c r="AH99" s="190">
        <v>131.66999999999999</v>
      </c>
      <c r="AI99" s="184">
        <v>134.11000000000001</v>
      </c>
      <c r="AJ99" s="184">
        <v>136.55000000000001</v>
      </c>
      <c r="AK99" s="184">
        <v>138.99</v>
      </c>
      <c r="AL99" s="184">
        <v>141.44</v>
      </c>
      <c r="AM99" s="184">
        <v>143.88</v>
      </c>
      <c r="AN99" s="184">
        <v>146.32</v>
      </c>
      <c r="AO99" s="136">
        <v>138.81</v>
      </c>
      <c r="AP99" s="136">
        <v>141.25</v>
      </c>
      <c r="AQ99" s="136">
        <v>143.69</v>
      </c>
      <c r="AR99" s="136">
        <v>146.13</v>
      </c>
      <c r="AS99" s="136">
        <v>102.19</v>
      </c>
      <c r="AT99" s="136">
        <v>99.74</v>
      </c>
      <c r="AU99" s="136">
        <v>97.3</v>
      </c>
      <c r="AV99" s="136">
        <v>94.86</v>
      </c>
      <c r="AW99" s="136">
        <v>92.42</v>
      </c>
    </row>
    <row r="100" spans="1:49" x14ac:dyDescent="0.45">
      <c r="A100" s="2">
        <v>163.87</v>
      </c>
      <c r="B100" s="15">
        <v>167.36</v>
      </c>
      <c r="C100" s="3">
        <v>170.86</v>
      </c>
      <c r="D100" s="188">
        <v>189.17</v>
      </c>
      <c r="E100" s="189">
        <v>192.66</v>
      </c>
      <c r="F100" s="189">
        <v>196.16</v>
      </c>
      <c r="G100" s="189">
        <v>199.65</v>
      </c>
      <c r="H100" s="190">
        <v>203.14</v>
      </c>
      <c r="I100" s="184">
        <v>206.64</v>
      </c>
      <c r="J100" s="184">
        <v>210.13</v>
      </c>
      <c r="K100" s="184">
        <v>213.63</v>
      </c>
      <c r="L100" s="184">
        <v>217.12</v>
      </c>
      <c r="M100" s="184">
        <v>220.62</v>
      </c>
      <c r="N100" s="184">
        <v>224.11</v>
      </c>
      <c r="O100" s="136">
        <v>212.79</v>
      </c>
      <c r="P100" s="136">
        <v>216.29</v>
      </c>
      <c r="Q100" s="136">
        <v>219.78</v>
      </c>
      <c r="R100" s="136">
        <v>223.27</v>
      </c>
      <c r="S100" s="136">
        <v>160.38</v>
      </c>
      <c r="T100" s="136">
        <v>156.88</v>
      </c>
      <c r="U100" s="136">
        <v>153.38999999999999</v>
      </c>
      <c r="V100" s="136">
        <v>149.88999999999999</v>
      </c>
      <c r="W100" s="136">
        <v>146.4</v>
      </c>
      <c r="X100" s="7">
        <v>96</v>
      </c>
      <c r="Y100" s="136">
        <v>100.8</v>
      </c>
      <c r="Z100" s="136">
        <v>103.27</v>
      </c>
      <c r="AA100" s="2">
        <v>105.73</v>
      </c>
      <c r="AB100" s="15">
        <v>108.2</v>
      </c>
      <c r="AC100" s="3">
        <v>110.67</v>
      </c>
      <c r="AD100" s="188">
        <v>123.19</v>
      </c>
      <c r="AE100" s="189">
        <v>125.66</v>
      </c>
      <c r="AF100" s="189">
        <v>128.13</v>
      </c>
      <c r="AG100" s="201">
        <v>130.59</v>
      </c>
      <c r="AH100" s="190">
        <v>133.06</v>
      </c>
      <c r="AI100" s="184">
        <v>135.53</v>
      </c>
      <c r="AJ100" s="184">
        <v>138</v>
      </c>
      <c r="AK100" s="184">
        <v>140.46</v>
      </c>
      <c r="AL100" s="184">
        <v>142.93</v>
      </c>
      <c r="AM100" s="184">
        <v>145.4</v>
      </c>
      <c r="AN100" s="184">
        <v>147.87</v>
      </c>
      <c r="AO100" s="136">
        <v>140.27000000000001</v>
      </c>
      <c r="AP100" s="136">
        <v>142.74</v>
      </c>
      <c r="AQ100" s="136">
        <v>145.21</v>
      </c>
      <c r="AR100" s="136">
        <v>147.66999999999999</v>
      </c>
      <c r="AS100" s="136">
        <v>103.27</v>
      </c>
      <c r="AT100" s="136">
        <v>100.8</v>
      </c>
      <c r="AU100" s="136">
        <v>98.33</v>
      </c>
      <c r="AV100" s="136">
        <v>95.86</v>
      </c>
      <c r="AW100" s="136">
        <v>93.4</v>
      </c>
    </row>
    <row r="101" spans="1:49" x14ac:dyDescent="0.45">
      <c r="A101" s="2">
        <v>165.59</v>
      </c>
      <c r="B101" s="15">
        <v>169.12</v>
      </c>
      <c r="C101" s="3">
        <v>172.65</v>
      </c>
      <c r="D101" s="188">
        <v>191.15</v>
      </c>
      <c r="E101" s="189">
        <v>194.68</v>
      </c>
      <c r="F101" s="189">
        <v>198.21</v>
      </c>
      <c r="G101" s="189">
        <v>201.75</v>
      </c>
      <c r="H101" s="190">
        <v>205.28</v>
      </c>
      <c r="I101" s="184">
        <v>208.81</v>
      </c>
      <c r="J101" s="184">
        <v>212.34</v>
      </c>
      <c r="K101" s="184">
        <v>215.87</v>
      </c>
      <c r="L101" s="184">
        <v>219.4</v>
      </c>
      <c r="M101" s="184">
        <v>222.93</v>
      </c>
      <c r="N101" s="184">
        <v>226.46</v>
      </c>
      <c r="O101" s="136">
        <v>215.02</v>
      </c>
      <c r="P101" s="136">
        <v>218.55</v>
      </c>
      <c r="Q101" s="136">
        <v>222.08</v>
      </c>
      <c r="R101" s="136">
        <v>225.61</v>
      </c>
      <c r="S101" s="136">
        <v>162.06</v>
      </c>
      <c r="T101" s="136">
        <v>158.53</v>
      </c>
      <c r="U101" s="136">
        <v>155</v>
      </c>
      <c r="V101" s="136">
        <v>151.47</v>
      </c>
      <c r="W101" s="136">
        <v>147.94</v>
      </c>
      <c r="X101" s="7">
        <v>97</v>
      </c>
      <c r="Y101" s="136">
        <v>101.83</v>
      </c>
      <c r="Z101" s="136">
        <v>104.32</v>
      </c>
      <c r="AA101" s="2">
        <v>106.81</v>
      </c>
      <c r="AB101" s="15">
        <v>109.31</v>
      </c>
      <c r="AC101" s="3">
        <v>111.8</v>
      </c>
      <c r="AD101" s="188">
        <v>124.45</v>
      </c>
      <c r="AE101" s="189">
        <v>126.94</v>
      </c>
      <c r="AF101" s="189">
        <v>129.43</v>
      </c>
      <c r="AG101" s="201">
        <v>131.93</v>
      </c>
      <c r="AH101" s="190">
        <v>134.41999999999999</v>
      </c>
      <c r="AI101" s="184">
        <v>136.91</v>
      </c>
      <c r="AJ101" s="184">
        <v>139.4</v>
      </c>
      <c r="AK101" s="184">
        <v>141.9</v>
      </c>
      <c r="AL101" s="184">
        <v>144.38999999999999</v>
      </c>
      <c r="AM101" s="184">
        <v>146.88</v>
      </c>
      <c r="AN101" s="184">
        <v>149.38</v>
      </c>
      <c r="AO101" s="136">
        <v>141.71</v>
      </c>
      <c r="AP101" s="136">
        <v>144.21</v>
      </c>
      <c r="AQ101" s="136">
        <v>146.69999999999999</v>
      </c>
      <c r="AR101" s="136">
        <v>149.19</v>
      </c>
      <c r="AS101" s="136">
        <v>104.32</v>
      </c>
      <c r="AT101" s="136">
        <v>101.83</v>
      </c>
      <c r="AU101" s="136">
        <v>99.33</v>
      </c>
      <c r="AV101" s="136">
        <v>96.84</v>
      </c>
      <c r="AW101" s="136">
        <v>94.35</v>
      </c>
    </row>
    <row r="102" spans="1:49" x14ac:dyDescent="0.45">
      <c r="A102" s="2">
        <v>167.31</v>
      </c>
      <c r="B102" s="15">
        <v>170.88</v>
      </c>
      <c r="C102" s="3">
        <v>174.45</v>
      </c>
      <c r="D102" s="188">
        <v>193.15</v>
      </c>
      <c r="E102" s="189">
        <v>196.71</v>
      </c>
      <c r="F102" s="189">
        <v>200.28</v>
      </c>
      <c r="G102" s="189">
        <v>203.85</v>
      </c>
      <c r="H102" s="190">
        <v>207.42</v>
      </c>
      <c r="I102" s="184">
        <v>210.98</v>
      </c>
      <c r="J102" s="184">
        <v>214.55</v>
      </c>
      <c r="K102" s="184">
        <v>218.12</v>
      </c>
      <c r="L102" s="184">
        <v>221.69</v>
      </c>
      <c r="M102" s="184">
        <v>225.25</v>
      </c>
      <c r="N102" s="184">
        <v>228.82</v>
      </c>
      <c r="O102" s="136">
        <v>217.26</v>
      </c>
      <c r="P102" s="136">
        <v>220.82</v>
      </c>
      <c r="Q102" s="136">
        <v>224.39</v>
      </c>
      <c r="R102" s="136">
        <v>227.96</v>
      </c>
      <c r="S102" s="136">
        <v>163.75</v>
      </c>
      <c r="T102" s="136">
        <v>160.18</v>
      </c>
      <c r="U102" s="136">
        <v>156.61000000000001</v>
      </c>
      <c r="V102" s="136">
        <v>153.05000000000001</v>
      </c>
      <c r="W102" s="136">
        <v>149.47999999999999</v>
      </c>
      <c r="X102" s="7">
        <v>98</v>
      </c>
      <c r="Y102" s="136">
        <v>102.88</v>
      </c>
      <c r="Z102" s="136">
        <v>105.4</v>
      </c>
      <c r="AA102" s="2">
        <v>107.92</v>
      </c>
      <c r="AB102" s="15">
        <v>110.44</v>
      </c>
      <c r="AC102" s="3">
        <v>112.96</v>
      </c>
      <c r="AD102" s="188">
        <v>125.74</v>
      </c>
      <c r="AE102" s="189">
        <v>128.26</v>
      </c>
      <c r="AF102" s="189">
        <v>130.78</v>
      </c>
      <c r="AG102" s="201">
        <v>133.30000000000001</v>
      </c>
      <c r="AH102" s="190">
        <v>135.81</v>
      </c>
      <c r="AI102" s="184">
        <v>138.33000000000001</v>
      </c>
      <c r="AJ102" s="184">
        <v>140.85</v>
      </c>
      <c r="AK102" s="184">
        <v>143.37</v>
      </c>
      <c r="AL102" s="184">
        <v>145.88999999999999</v>
      </c>
      <c r="AM102" s="184">
        <v>148.41</v>
      </c>
      <c r="AN102" s="184">
        <v>150.93</v>
      </c>
      <c r="AO102" s="136">
        <v>143.18</v>
      </c>
      <c r="AP102" s="136">
        <v>145.69999999999999</v>
      </c>
      <c r="AQ102" s="136">
        <v>148.22</v>
      </c>
      <c r="AR102" s="136">
        <v>150.74</v>
      </c>
      <c r="AS102" s="136">
        <v>105.4</v>
      </c>
      <c r="AT102" s="136">
        <v>102.88</v>
      </c>
      <c r="AU102" s="136">
        <v>100.37</v>
      </c>
      <c r="AV102" s="136">
        <v>97.85</v>
      </c>
      <c r="AW102" s="136">
        <v>95.33</v>
      </c>
    </row>
    <row r="103" spans="1:49" x14ac:dyDescent="0.45">
      <c r="A103" s="2">
        <v>169.05</v>
      </c>
      <c r="B103" s="15">
        <v>172.65</v>
      </c>
      <c r="C103" s="3">
        <v>176.25</v>
      </c>
      <c r="D103" s="188">
        <v>195.15</v>
      </c>
      <c r="E103" s="189">
        <v>198.75</v>
      </c>
      <c r="F103" s="189">
        <v>202.36</v>
      </c>
      <c r="G103" s="189">
        <v>205.96</v>
      </c>
      <c r="H103" s="190">
        <v>209.56</v>
      </c>
      <c r="I103" s="184">
        <v>213.17</v>
      </c>
      <c r="J103" s="184">
        <v>216.77</v>
      </c>
      <c r="K103" s="184">
        <v>220.38</v>
      </c>
      <c r="L103" s="184">
        <v>223.98</v>
      </c>
      <c r="M103" s="184">
        <v>227.58</v>
      </c>
      <c r="N103" s="184">
        <v>231.19</v>
      </c>
      <c r="O103" s="136">
        <v>219.5</v>
      </c>
      <c r="P103" s="136">
        <v>223.1</v>
      </c>
      <c r="Q103" s="136">
        <v>226.7</v>
      </c>
      <c r="R103" s="136">
        <v>230.31</v>
      </c>
      <c r="S103" s="136">
        <v>165.44</v>
      </c>
      <c r="T103" s="136">
        <v>164.84</v>
      </c>
      <c r="U103" s="136">
        <v>158.24</v>
      </c>
      <c r="V103" s="136">
        <v>154.63</v>
      </c>
      <c r="W103" s="136">
        <v>151.03</v>
      </c>
      <c r="X103" s="7">
        <v>99</v>
      </c>
      <c r="Y103" s="136">
        <v>103.91</v>
      </c>
      <c r="Z103" s="136">
        <v>106.46</v>
      </c>
      <c r="AA103" s="2">
        <v>109</v>
      </c>
      <c r="AB103" s="15">
        <v>111.55</v>
      </c>
      <c r="AC103" s="3">
        <v>114.09</v>
      </c>
      <c r="AD103" s="188">
        <v>127</v>
      </c>
      <c r="AE103" s="189">
        <v>129.54</v>
      </c>
      <c r="AF103" s="189">
        <v>132.08000000000001</v>
      </c>
      <c r="AG103" s="201">
        <v>134.63</v>
      </c>
      <c r="AH103" s="190">
        <v>137.16999999999999</v>
      </c>
      <c r="AI103" s="184">
        <v>139.72</v>
      </c>
      <c r="AJ103" s="184">
        <v>142.26</v>
      </c>
      <c r="AK103" s="184">
        <v>144.81</v>
      </c>
      <c r="AL103" s="184">
        <v>147.35</v>
      </c>
      <c r="AM103" s="184">
        <v>149.88999999999999</v>
      </c>
      <c r="AN103" s="184">
        <v>152.44</v>
      </c>
      <c r="AO103" s="136">
        <v>144.62</v>
      </c>
      <c r="AP103" s="136">
        <v>147.16999999999999</v>
      </c>
      <c r="AQ103" s="136">
        <v>149.71</v>
      </c>
      <c r="AR103" s="136">
        <v>152.26</v>
      </c>
      <c r="AS103" s="136">
        <v>106.46</v>
      </c>
      <c r="AT103" s="136">
        <v>103.91</v>
      </c>
      <c r="AU103" s="136">
        <v>101.37</v>
      </c>
      <c r="AV103" s="136">
        <v>98.83</v>
      </c>
      <c r="AW103" s="136">
        <v>96.28</v>
      </c>
    </row>
    <row r="104" spans="1:49" x14ac:dyDescent="0.45">
      <c r="A104" s="2">
        <v>170.69</v>
      </c>
      <c r="B104" s="15">
        <v>174.33</v>
      </c>
      <c r="C104" s="3">
        <v>177.97</v>
      </c>
      <c r="D104" s="188">
        <v>197.03</v>
      </c>
      <c r="E104" s="189">
        <v>200.67</v>
      </c>
      <c r="F104" s="189">
        <v>204.31</v>
      </c>
      <c r="G104" s="189">
        <v>207.95</v>
      </c>
      <c r="H104" s="190">
        <v>211.59</v>
      </c>
      <c r="I104" s="184">
        <v>215.23</v>
      </c>
      <c r="J104" s="184">
        <v>218.87</v>
      </c>
      <c r="K104" s="184">
        <v>222.51</v>
      </c>
      <c r="L104" s="184">
        <v>226.15</v>
      </c>
      <c r="M104" s="184">
        <v>229.79</v>
      </c>
      <c r="N104" s="184">
        <v>233.43</v>
      </c>
      <c r="O104" s="136">
        <v>221.65</v>
      </c>
      <c r="P104" s="136">
        <v>225.29</v>
      </c>
      <c r="Q104" s="136">
        <v>228.93</v>
      </c>
      <c r="R104" s="136">
        <v>232.57</v>
      </c>
      <c r="S104" s="136">
        <v>167.05</v>
      </c>
      <c r="T104" s="136">
        <v>163.41</v>
      </c>
      <c r="U104" s="136">
        <v>159.77000000000001</v>
      </c>
      <c r="V104" s="136">
        <v>156.13</v>
      </c>
      <c r="W104" s="136">
        <v>152.49</v>
      </c>
      <c r="X104" s="7">
        <v>100</v>
      </c>
      <c r="Y104" s="136">
        <v>104.98</v>
      </c>
      <c r="Z104" s="136">
        <v>107.55</v>
      </c>
      <c r="AA104" s="2">
        <v>110.12</v>
      </c>
      <c r="AB104" s="15">
        <v>112.69</v>
      </c>
      <c r="AC104" s="3">
        <v>115.26</v>
      </c>
      <c r="AD104" s="188">
        <v>128.29</v>
      </c>
      <c r="AE104" s="189">
        <v>130.86000000000001</v>
      </c>
      <c r="AF104" s="189">
        <v>133.43</v>
      </c>
      <c r="AG104" s="201">
        <v>136</v>
      </c>
      <c r="AH104" s="190">
        <v>138.57</v>
      </c>
      <c r="AI104" s="184">
        <v>141.13999999999999</v>
      </c>
      <c r="AJ104" s="184">
        <v>143.71</v>
      </c>
      <c r="AK104" s="184">
        <v>146.28</v>
      </c>
      <c r="AL104" s="184">
        <v>148.85</v>
      </c>
      <c r="AM104" s="184">
        <v>151.41999999999999</v>
      </c>
      <c r="AN104" s="184">
        <v>153.99</v>
      </c>
      <c r="AO104" s="136">
        <v>146.1</v>
      </c>
      <c r="AP104" s="136">
        <v>148.66999999999999</v>
      </c>
      <c r="AQ104" s="136">
        <v>151.24</v>
      </c>
      <c r="AR104" s="136">
        <v>153.81</v>
      </c>
      <c r="AS104" s="136">
        <v>107.55</v>
      </c>
      <c r="AT104" s="136">
        <v>104.98</v>
      </c>
      <c r="AU104" s="136">
        <v>102.41</v>
      </c>
      <c r="AV104" s="136">
        <v>99.84</v>
      </c>
      <c r="AW104" s="136">
        <v>97.27</v>
      </c>
    </row>
    <row r="105" spans="1:49" x14ac:dyDescent="0.45">
      <c r="A105" s="2">
        <v>172.43</v>
      </c>
      <c r="B105" s="15">
        <v>176.11</v>
      </c>
      <c r="C105" s="3">
        <v>179.78</v>
      </c>
      <c r="D105" s="188">
        <v>199.05</v>
      </c>
      <c r="E105" s="189">
        <v>202.73</v>
      </c>
      <c r="F105" s="189">
        <v>206.4</v>
      </c>
      <c r="G105" s="189">
        <v>210.08</v>
      </c>
      <c r="H105" s="190">
        <v>213.76</v>
      </c>
      <c r="I105" s="184">
        <v>217.43</v>
      </c>
      <c r="J105" s="184">
        <v>221.11</v>
      </c>
      <c r="K105" s="184">
        <v>224.78</v>
      </c>
      <c r="L105" s="184">
        <v>228.46</v>
      </c>
      <c r="M105" s="184">
        <v>232.14</v>
      </c>
      <c r="N105" s="184">
        <v>235.81</v>
      </c>
      <c r="O105" s="136">
        <v>223.9</v>
      </c>
      <c r="P105" s="136">
        <v>227.57</v>
      </c>
      <c r="Q105" s="136">
        <v>231.25</v>
      </c>
      <c r="R105" s="136">
        <v>234.93</v>
      </c>
      <c r="S105" s="136">
        <v>168.75</v>
      </c>
      <c r="T105" s="136">
        <v>165.08</v>
      </c>
      <c r="U105" s="136">
        <v>161.4</v>
      </c>
      <c r="V105" s="136">
        <v>157.72</v>
      </c>
      <c r="W105" s="136">
        <v>154.05000000000001</v>
      </c>
      <c r="X105" s="7">
        <v>101</v>
      </c>
      <c r="Y105" s="136">
        <v>106.01</v>
      </c>
      <c r="Z105" s="136">
        <v>108.6</v>
      </c>
      <c r="AA105" s="2">
        <v>111.2</v>
      </c>
      <c r="AB105" s="15">
        <v>113.8</v>
      </c>
      <c r="AC105" s="3">
        <v>116.39</v>
      </c>
      <c r="AD105" s="188">
        <v>129.55000000000001</v>
      </c>
      <c r="AE105" s="189">
        <v>132.15</v>
      </c>
      <c r="AF105" s="189">
        <v>134.74</v>
      </c>
      <c r="AG105" s="201">
        <v>137.34</v>
      </c>
      <c r="AH105" s="190">
        <v>139.94</v>
      </c>
      <c r="AI105" s="184">
        <v>142.53</v>
      </c>
      <c r="AJ105" s="184">
        <v>145.13</v>
      </c>
      <c r="AK105" s="184">
        <v>147.72</v>
      </c>
      <c r="AL105" s="184">
        <v>150.32</v>
      </c>
      <c r="AM105" s="184">
        <v>152.91</v>
      </c>
      <c r="AN105" s="184">
        <v>155.51</v>
      </c>
      <c r="AO105" s="136">
        <v>147.54</v>
      </c>
      <c r="AP105" s="136">
        <v>150.13</v>
      </c>
      <c r="AQ105" s="136">
        <v>152.72999999999999</v>
      </c>
      <c r="AR105" s="136">
        <v>155.33000000000001</v>
      </c>
      <c r="AS105" s="136">
        <v>108.6</v>
      </c>
      <c r="AT105" s="136">
        <v>106.01</v>
      </c>
      <c r="AU105" s="136">
        <v>103.41</v>
      </c>
      <c r="AV105" s="136">
        <v>100.82</v>
      </c>
      <c r="AW105" s="136">
        <v>98.22</v>
      </c>
    </row>
    <row r="106" spans="1:49" x14ac:dyDescent="0.45">
      <c r="A106" s="2">
        <v>174.08</v>
      </c>
      <c r="B106" s="15">
        <v>177.79</v>
      </c>
      <c r="C106" s="3">
        <v>181.5</v>
      </c>
      <c r="D106" s="188">
        <v>200.94</v>
      </c>
      <c r="E106" s="189">
        <v>204.66</v>
      </c>
      <c r="F106" s="189">
        <v>208.37</v>
      </c>
      <c r="G106" s="189">
        <v>212.08</v>
      </c>
      <c r="H106" s="190">
        <v>215.79</v>
      </c>
      <c r="I106" s="184">
        <v>219.51</v>
      </c>
      <c r="J106" s="184">
        <v>223.22</v>
      </c>
      <c r="K106" s="184">
        <v>226.93</v>
      </c>
      <c r="L106" s="184">
        <v>230.65</v>
      </c>
      <c r="M106" s="184">
        <v>234.36</v>
      </c>
      <c r="N106" s="184">
        <v>238.07</v>
      </c>
      <c r="O106" s="136">
        <v>226.05</v>
      </c>
      <c r="P106" s="136">
        <v>229.77</v>
      </c>
      <c r="Q106" s="136">
        <v>233.48</v>
      </c>
      <c r="R106" s="136">
        <v>237.19</v>
      </c>
      <c r="S106" s="136">
        <v>170.36</v>
      </c>
      <c r="T106" s="136">
        <v>166.65</v>
      </c>
      <c r="U106" s="136">
        <v>162.94</v>
      </c>
      <c r="V106" s="136">
        <v>159.22</v>
      </c>
      <c r="W106" s="136">
        <v>155.51</v>
      </c>
      <c r="X106" s="7">
        <v>102</v>
      </c>
      <c r="Y106" s="136">
        <v>107.07</v>
      </c>
      <c r="Z106" s="136">
        <v>109.69</v>
      </c>
      <c r="AA106" s="2">
        <v>112.31</v>
      </c>
      <c r="AB106" s="15">
        <v>114.94</v>
      </c>
      <c r="AC106" s="3">
        <v>117.56</v>
      </c>
      <c r="AD106" s="188">
        <v>130.86000000000001</v>
      </c>
      <c r="AE106" s="189">
        <v>133.47999999999999</v>
      </c>
      <c r="AF106" s="189">
        <v>136.1</v>
      </c>
      <c r="AG106" s="201">
        <v>138.72</v>
      </c>
      <c r="AH106" s="190">
        <v>141.34</v>
      </c>
      <c r="AI106" s="184">
        <v>143.96</v>
      </c>
      <c r="AJ106" s="184">
        <v>146.58000000000001</v>
      </c>
      <c r="AK106" s="184">
        <v>149.21</v>
      </c>
      <c r="AL106" s="184">
        <v>151.83000000000001</v>
      </c>
      <c r="AM106" s="184">
        <v>154.44999999999999</v>
      </c>
      <c r="AN106" s="184">
        <v>157.07</v>
      </c>
      <c r="AO106" s="136">
        <v>149.01</v>
      </c>
      <c r="AP106" s="136">
        <v>151.63999999999999</v>
      </c>
      <c r="AQ106" s="136">
        <v>154.26</v>
      </c>
      <c r="AR106" s="136">
        <v>156.88</v>
      </c>
      <c r="AS106" s="136">
        <v>109.69</v>
      </c>
      <c r="AT106" s="136">
        <v>107.07</v>
      </c>
      <c r="AU106" s="136">
        <v>104.45</v>
      </c>
      <c r="AV106" s="136">
        <v>101.83</v>
      </c>
      <c r="AW106" s="136">
        <v>99.21</v>
      </c>
    </row>
    <row r="107" spans="1:49" x14ac:dyDescent="0.45">
      <c r="A107" s="2">
        <v>175.83</v>
      </c>
      <c r="B107" s="15">
        <v>179.58</v>
      </c>
      <c r="C107" s="3">
        <v>183.33</v>
      </c>
      <c r="D107" s="188">
        <v>202.97</v>
      </c>
      <c r="E107" s="189">
        <v>206.72</v>
      </c>
      <c r="F107" s="189">
        <v>210.47</v>
      </c>
      <c r="G107" s="189">
        <v>214.22</v>
      </c>
      <c r="H107" s="190">
        <v>217.97</v>
      </c>
      <c r="I107" s="184">
        <v>221.72</v>
      </c>
      <c r="J107" s="184">
        <v>225.47</v>
      </c>
      <c r="K107" s="184">
        <v>229.22</v>
      </c>
      <c r="L107" s="184">
        <v>232.97</v>
      </c>
      <c r="M107" s="184">
        <v>236.72</v>
      </c>
      <c r="N107" s="184">
        <v>240.47</v>
      </c>
      <c r="O107" s="136">
        <v>228.32</v>
      </c>
      <c r="P107" s="136">
        <v>232.07</v>
      </c>
      <c r="Q107" s="136">
        <v>235.82</v>
      </c>
      <c r="R107" s="136">
        <v>239.57</v>
      </c>
      <c r="S107" s="136">
        <v>172.08</v>
      </c>
      <c r="T107" s="136">
        <v>168.33</v>
      </c>
      <c r="U107" s="136">
        <v>164.58</v>
      </c>
      <c r="V107" s="136">
        <v>160.83000000000001</v>
      </c>
      <c r="W107" s="136">
        <v>157.08000000000001</v>
      </c>
      <c r="X107" s="7">
        <v>103</v>
      </c>
      <c r="Y107" s="136">
        <v>108.11</v>
      </c>
      <c r="Z107" s="136">
        <v>110.75</v>
      </c>
      <c r="AA107" s="2">
        <v>113.4</v>
      </c>
      <c r="AB107" s="15">
        <v>116.05</v>
      </c>
      <c r="AC107" s="3">
        <v>118.7</v>
      </c>
      <c r="AD107" s="188">
        <v>132.12</v>
      </c>
      <c r="AE107" s="189">
        <v>134.77000000000001</v>
      </c>
      <c r="AF107" s="189">
        <v>137.41</v>
      </c>
      <c r="AG107" s="201">
        <v>140.06</v>
      </c>
      <c r="AH107" s="190">
        <v>142.71</v>
      </c>
      <c r="AI107" s="184">
        <v>145.35</v>
      </c>
      <c r="AJ107" s="184">
        <v>148</v>
      </c>
      <c r="AK107" s="184">
        <v>150.65</v>
      </c>
      <c r="AL107" s="184">
        <v>153.30000000000001</v>
      </c>
      <c r="AM107" s="184">
        <v>155.94</v>
      </c>
      <c r="AN107" s="184">
        <v>158.59</v>
      </c>
      <c r="AO107" s="136">
        <v>150.46</v>
      </c>
      <c r="AP107" s="136">
        <v>153.11000000000001</v>
      </c>
      <c r="AQ107" s="136">
        <v>155.75</v>
      </c>
      <c r="AR107" s="136">
        <v>158.4</v>
      </c>
      <c r="AS107" s="136">
        <v>110.75</v>
      </c>
      <c r="AT107" s="136">
        <v>108.11</v>
      </c>
      <c r="AU107" s="136">
        <v>105.46</v>
      </c>
      <c r="AV107" s="136">
        <v>102.81</v>
      </c>
      <c r="AW107" s="136">
        <v>100.17</v>
      </c>
    </row>
    <row r="108" spans="1:49" x14ac:dyDescent="0.45">
      <c r="A108" s="2">
        <v>177.48</v>
      </c>
      <c r="B108" s="15">
        <v>181.27</v>
      </c>
      <c r="C108" s="3">
        <v>185.06</v>
      </c>
      <c r="D108" s="188">
        <v>204.88</v>
      </c>
      <c r="E108" s="189">
        <v>208.66</v>
      </c>
      <c r="F108" s="189">
        <v>212.45</v>
      </c>
      <c r="G108" s="189">
        <v>216.23</v>
      </c>
      <c r="H108" s="190">
        <v>220.02</v>
      </c>
      <c r="I108" s="184">
        <v>223.81</v>
      </c>
      <c r="J108" s="184">
        <v>227.59</v>
      </c>
      <c r="K108" s="184">
        <v>231.38</v>
      </c>
      <c r="L108" s="184">
        <v>235.16</v>
      </c>
      <c r="M108" s="184">
        <v>238.95</v>
      </c>
      <c r="N108" s="184">
        <v>242.73</v>
      </c>
      <c r="O108" s="136">
        <v>230.48</v>
      </c>
      <c r="P108" s="136">
        <v>234.27</v>
      </c>
      <c r="Q108" s="136">
        <v>238.05</v>
      </c>
      <c r="R108" s="136">
        <v>241.84</v>
      </c>
      <c r="S108" s="136">
        <v>173.7</v>
      </c>
      <c r="T108" s="136">
        <v>169.91</v>
      </c>
      <c r="U108" s="136">
        <v>166.13</v>
      </c>
      <c r="V108" s="136">
        <v>162.34</v>
      </c>
      <c r="W108" s="136">
        <v>158.56</v>
      </c>
      <c r="X108" s="7">
        <v>104</v>
      </c>
      <c r="Y108" s="136">
        <v>109.14</v>
      </c>
      <c r="Z108" s="136">
        <v>111.82</v>
      </c>
      <c r="AA108" s="2">
        <v>114.49</v>
      </c>
      <c r="AB108" s="15">
        <v>117.16</v>
      </c>
      <c r="AC108" s="3">
        <v>119.83</v>
      </c>
      <c r="AD108" s="188">
        <v>133.38</v>
      </c>
      <c r="AE108" s="189">
        <v>136.06</v>
      </c>
      <c r="AF108" s="189">
        <v>138.72999999999999</v>
      </c>
      <c r="AG108" s="201">
        <v>141.4</v>
      </c>
      <c r="AH108" s="190">
        <v>144.07</v>
      </c>
      <c r="AI108" s="184">
        <v>146.75</v>
      </c>
      <c r="AJ108" s="184">
        <v>149.41999999999999</v>
      </c>
      <c r="AK108" s="184">
        <v>152.09</v>
      </c>
      <c r="AL108" s="184">
        <v>154.76</v>
      </c>
      <c r="AM108" s="184">
        <v>157.44</v>
      </c>
      <c r="AN108" s="184">
        <v>160.11000000000001</v>
      </c>
      <c r="AO108" s="136">
        <v>151.91</v>
      </c>
      <c r="AP108" s="136">
        <v>154.58000000000001</v>
      </c>
      <c r="AQ108" s="136">
        <v>157.25</v>
      </c>
      <c r="AR108" s="136">
        <v>159.93</v>
      </c>
      <c r="AS108" s="136">
        <v>111.82</v>
      </c>
      <c r="AT108" s="136">
        <v>109.14</v>
      </c>
      <c r="AU108" s="136">
        <v>106.47</v>
      </c>
      <c r="AV108" s="136">
        <v>103.8</v>
      </c>
      <c r="AW108" s="136">
        <v>101.12</v>
      </c>
    </row>
    <row r="109" spans="1:49" x14ac:dyDescent="0.45">
      <c r="A109" s="2">
        <v>179.25</v>
      </c>
      <c r="B109" s="15">
        <v>183.07</v>
      </c>
      <c r="C109" s="3">
        <v>186.9</v>
      </c>
      <c r="D109" s="188">
        <v>206.93</v>
      </c>
      <c r="E109" s="189">
        <v>210.75</v>
      </c>
      <c r="F109" s="189">
        <v>214.57</v>
      </c>
      <c r="G109" s="189">
        <v>218.39</v>
      </c>
      <c r="H109" s="190">
        <v>222.21</v>
      </c>
      <c r="I109" s="184">
        <v>226.04</v>
      </c>
      <c r="J109" s="184">
        <v>229.86</v>
      </c>
      <c r="K109" s="184">
        <v>233.68</v>
      </c>
      <c r="L109" s="184">
        <v>237.5</v>
      </c>
      <c r="M109" s="184">
        <v>241.32</v>
      </c>
      <c r="N109" s="184">
        <v>245.15</v>
      </c>
      <c r="O109" s="136">
        <v>232.76</v>
      </c>
      <c r="P109" s="136">
        <v>236.58</v>
      </c>
      <c r="Q109" s="136">
        <v>240.4</v>
      </c>
      <c r="R109" s="136">
        <v>244.23</v>
      </c>
      <c r="S109" s="136">
        <v>175.43</v>
      </c>
      <c r="T109" s="136">
        <v>171.61</v>
      </c>
      <c r="U109" s="136">
        <v>167.79</v>
      </c>
      <c r="V109" s="136">
        <v>163.96</v>
      </c>
      <c r="W109" s="136">
        <v>160.13999999999999</v>
      </c>
      <c r="X109" s="7">
        <v>105</v>
      </c>
      <c r="Y109" s="136">
        <v>110.21</v>
      </c>
      <c r="Z109" s="136">
        <v>112.91</v>
      </c>
      <c r="AA109" s="2">
        <v>115.61</v>
      </c>
      <c r="AB109" s="15">
        <v>118.31</v>
      </c>
      <c r="AC109" s="3">
        <v>121.01</v>
      </c>
      <c r="AD109" s="188">
        <v>134.69</v>
      </c>
      <c r="AE109" s="189">
        <v>137.38999999999999</v>
      </c>
      <c r="AF109" s="189">
        <v>140.09</v>
      </c>
      <c r="AG109" s="201">
        <v>142.79</v>
      </c>
      <c r="AH109" s="190">
        <v>145.49</v>
      </c>
      <c r="AI109" s="184">
        <v>148.18</v>
      </c>
      <c r="AJ109" s="184">
        <v>150.88</v>
      </c>
      <c r="AK109" s="184">
        <v>153.58000000000001</v>
      </c>
      <c r="AL109" s="184">
        <v>156.28</v>
      </c>
      <c r="AM109" s="184">
        <v>158.97999999999999</v>
      </c>
      <c r="AN109" s="184">
        <v>161.68</v>
      </c>
      <c r="AO109" s="136">
        <v>153.38999999999999</v>
      </c>
      <c r="AP109" s="136">
        <v>156.09</v>
      </c>
      <c r="AQ109" s="136">
        <v>158.78</v>
      </c>
      <c r="AR109" s="136">
        <v>161.47999999999999</v>
      </c>
      <c r="AS109" s="136">
        <v>112.91</v>
      </c>
      <c r="AT109" s="136">
        <v>110.21</v>
      </c>
      <c r="AU109" s="136">
        <v>107.51</v>
      </c>
      <c r="AV109" s="136">
        <v>104.8</v>
      </c>
      <c r="AW109" s="136">
        <v>102.12</v>
      </c>
    </row>
    <row r="110" spans="1:49" x14ac:dyDescent="0.45">
      <c r="A110" s="2">
        <v>180.91</v>
      </c>
      <c r="B110" s="15">
        <v>184.77</v>
      </c>
      <c r="C110" s="3">
        <v>188.63</v>
      </c>
      <c r="D110" s="188">
        <v>208.84</v>
      </c>
      <c r="E110" s="189">
        <v>212.7</v>
      </c>
      <c r="F110" s="189">
        <v>216.56</v>
      </c>
      <c r="G110" s="189">
        <v>220.41</v>
      </c>
      <c r="H110" s="190">
        <v>224.27</v>
      </c>
      <c r="I110" s="184">
        <v>228.13</v>
      </c>
      <c r="J110" s="184">
        <v>231.99</v>
      </c>
      <c r="K110" s="184">
        <v>235.85</v>
      </c>
      <c r="L110" s="184">
        <v>239.71</v>
      </c>
      <c r="M110" s="184">
        <v>243.56</v>
      </c>
      <c r="N110" s="184">
        <v>247.42</v>
      </c>
      <c r="O110" s="136">
        <v>234.93</v>
      </c>
      <c r="P110" s="136">
        <v>238.79</v>
      </c>
      <c r="Q110" s="136">
        <v>242.65</v>
      </c>
      <c r="R110" s="136">
        <v>246.51</v>
      </c>
      <c r="S110" s="136">
        <v>177.06</v>
      </c>
      <c r="T110" s="136">
        <v>173.2</v>
      </c>
      <c r="U110" s="136">
        <v>169.34</v>
      </c>
      <c r="V110" s="136">
        <v>165.48</v>
      </c>
      <c r="W110" s="136">
        <v>161.62</v>
      </c>
      <c r="X110" s="7">
        <v>106</v>
      </c>
      <c r="Y110" s="136">
        <v>111.25</v>
      </c>
      <c r="Z110" s="136">
        <v>113.97</v>
      </c>
      <c r="AA110" s="2">
        <v>116.7</v>
      </c>
      <c r="AB110" s="15">
        <v>119.42</v>
      </c>
      <c r="AC110" s="3">
        <v>122.15</v>
      </c>
      <c r="AD110" s="188">
        <v>135.96</v>
      </c>
      <c r="AE110" s="189">
        <v>138.68</v>
      </c>
      <c r="AF110" s="189">
        <v>141.41</v>
      </c>
      <c r="AG110" s="201">
        <v>144.13</v>
      </c>
      <c r="AH110" s="190">
        <v>146.86000000000001</v>
      </c>
      <c r="AI110" s="184">
        <v>149.58000000000001</v>
      </c>
      <c r="AJ110" s="184">
        <v>152.30000000000001</v>
      </c>
      <c r="AK110" s="184">
        <v>155.03</v>
      </c>
      <c r="AL110" s="184">
        <v>157.75</v>
      </c>
      <c r="AM110" s="184">
        <v>160.47999999999999</v>
      </c>
      <c r="AN110" s="184">
        <v>163.19999999999999</v>
      </c>
      <c r="AO110" s="136">
        <v>154.84</v>
      </c>
      <c r="AP110" s="136">
        <v>157.56</v>
      </c>
      <c r="AQ110" s="136">
        <v>160.29</v>
      </c>
      <c r="AR110" s="136">
        <v>163.01</v>
      </c>
      <c r="AS110" s="136">
        <v>113.97</v>
      </c>
      <c r="AT110" s="136">
        <v>111.25</v>
      </c>
      <c r="AU110" s="136">
        <v>108.53</v>
      </c>
      <c r="AV110" s="136">
        <v>105.8</v>
      </c>
      <c r="AW110" s="136">
        <v>103.08</v>
      </c>
    </row>
    <row r="111" spans="1:49" x14ac:dyDescent="0.45">
      <c r="A111" s="2">
        <v>182.58</v>
      </c>
      <c r="B111" s="15">
        <v>186.48</v>
      </c>
      <c r="C111" s="3">
        <v>190.37</v>
      </c>
      <c r="D111" s="188">
        <v>210.76</v>
      </c>
      <c r="E111" s="189">
        <v>214.65</v>
      </c>
      <c r="F111" s="189">
        <v>218.55</v>
      </c>
      <c r="G111" s="189">
        <v>222.44</v>
      </c>
      <c r="H111" s="190">
        <v>226.34</v>
      </c>
      <c r="I111" s="184">
        <v>230.23</v>
      </c>
      <c r="J111" s="184">
        <v>234.13</v>
      </c>
      <c r="K111" s="184">
        <v>238.02</v>
      </c>
      <c r="L111" s="184">
        <v>241.92</v>
      </c>
      <c r="M111" s="184">
        <v>245.81</v>
      </c>
      <c r="N111" s="184">
        <v>249.71</v>
      </c>
      <c r="O111" s="136">
        <v>237.11</v>
      </c>
      <c r="P111" s="136">
        <v>241</v>
      </c>
      <c r="Q111" s="136">
        <v>244.9</v>
      </c>
      <c r="R111" s="136">
        <v>248.79</v>
      </c>
      <c r="S111" s="136">
        <v>178.69</v>
      </c>
      <c r="T111" s="136">
        <v>174.79</v>
      </c>
      <c r="U111" s="136">
        <v>170.9</v>
      </c>
      <c r="V111" s="136">
        <v>167</v>
      </c>
      <c r="W111" s="136">
        <v>163.11000000000001</v>
      </c>
      <c r="X111" s="7">
        <v>107</v>
      </c>
      <c r="Y111" s="136">
        <v>112.29</v>
      </c>
      <c r="Z111" s="136">
        <v>115.04</v>
      </c>
      <c r="AA111" s="2">
        <v>117.79</v>
      </c>
      <c r="AB111" s="15">
        <v>120.54</v>
      </c>
      <c r="AC111" s="3">
        <v>123.29</v>
      </c>
      <c r="AD111" s="188">
        <v>137.22999999999999</v>
      </c>
      <c r="AE111" s="189">
        <v>139.97999999999999</v>
      </c>
      <c r="AF111" s="189">
        <v>142.72999999999999</v>
      </c>
      <c r="AG111" s="201">
        <v>145.47999999999999</v>
      </c>
      <c r="AH111" s="190">
        <v>148.22999999999999</v>
      </c>
      <c r="AI111" s="184">
        <v>150.97999999999999</v>
      </c>
      <c r="AJ111" s="184">
        <v>153.72999999999999</v>
      </c>
      <c r="AK111" s="184">
        <v>156.47999999999999</v>
      </c>
      <c r="AL111" s="184">
        <v>159.22999999999999</v>
      </c>
      <c r="AM111" s="184">
        <v>161.97999999999999</v>
      </c>
      <c r="AN111" s="184">
        <v>164.73</v>
      </c>
      <c r="AO111" s="136">
        <v>156.29</v>
      </c>
      <c r="AP111" s="136">
        <v>159.04</v>
      </c>
      <c r="AQ111" s="136">
        <v>161.79</v>
      </c>
      <c r="AR111" s="136">
        <v>164.54</v>
      </c>
      <c r="AS111" s="136">
        <v>115.04</v>
      </c>
      <c r="AT111" s="136">
        <v>112.29</v>
      </c>
      <c r="AU111" s="136">
        <v>109.54</v>
      </c>
      <c r="AV111" s="136">
        <v>106.79</v>
      </c>
      <c r="AW111" s="136">
        <v>104.04</v>
      </c>
    </row>
    <row r="112" spans="1:49" x14ac:dyDescent="0.45">
      <c r="A112" s="2">
        <v>184.25</v>
      </c>
      <c r="B112" s="15">
        <v>188.18</v>
      </c>
      <c r="C112" s="3">
        <v>192.11</v>
      </c>
      <c r="D112" s="188">
        <v>212.68</v>
      </c>
      <c r="E112" s="189">
        <v>216.61</v>
      </c>
      <c r="F112" s="189">
        <v>220.54</v>
      </c>
      <c r="G112" s="189">
        <v>224.47</v>
      </c>
      <c r="H112" s="190">
        <v>228.41</v>
      </c>
      <c r="I112" s="184">
        <v>232.34</v>
      </c>
      <c r="J112" s="184">
        <v>236.27</v>
      </c>
      <c r="K112" s="184">
        <v>240.2</v>
      </c>
      <c r="L112" s="184">
        <v>244.13</v>
      </c>
      <c r="M112" s="184">
        <v>248.06</v>
      </c>
      <c r="N112" s="184">
        <v>251.99</v>
      </c>
      <c r="O112" s="136">
        <v>239.29</v>
      </c>
      <c r="P112" s="136">
        <v>243.22</v>
      </c>
      <c r="Q112" s="136">
        <v>247.15</v>
      </c>
      <c r="R112" s="136">
        <v>251.08</v>
      </c>
      <c r="S112" s="136">
        <v>180.32</v>
      </c>
      <c r="T112" s="136">
        <v>176.39</v>
      </c>
      <c r="U112" s="136">
        <v>172.46</v>
      </c>
      <c r="V112" s="136">
        <v>168.53</v>
      </c>
      <c r="W112" s="136">
        <v>164.6</v>
      </c>
      <c r="X112" s="7">
        <v>108</v>
      </c>
      <c r="Y112" s="136">
        <v>113.33</v>
      </c>
      <c r="Z112" s="136">
        <v>116.11</v>
      </c>
      <c r="AA112" s="2">
        <v>118.88</v>
      </c>
      <c r="AB112" s="15">
        <v>121.66</v>
      </c>
      <c r="AC112" s="3">
        <v>124.43</v>
      </c>
      <c r="AD112" s="188">
        <v>138.5</v>
      </c>
      <c r="AE112" s="189">
        <v>141.27000000000001</v>
      </c>
      <c r="AF112" s="189">
        <v>144.05000000000001</v>
      </c>
      <c r="AG112" s="201">
        <v>146.83000000000001</v>
      </c>
      <c r="AH112" s="190">
        <v>149.6</v>
      </c>
      <c r="AI112" s="184">
        <v>152.38</v>
      </c>
      <c r="AJ112" s="184">
        <v>155.15</v>
      </c>
      <c r="AK112" s="184">
        <v>157.93</v>
      </c>
      <c r="AL112" s="184">
        <v>160.69999999999999</v>
      </c>
      <c r="AM112" s="184">
        <v>163.47999999999999</v>
      </c>
      <c r="AN112" s="184">
        <v>166.25</v>
      </c>
      <c r="AO112" s="136">
        <v>157.74</v>
      </c>
      <c r="AP112" s="136">
        <v>160.52000000000001</v>
      </c>
      <c r="AQ112" s="136">
        <v>163.29</v>
      </c>
      <c r="AR112" s="136">
        <v>166.07</v>
      </c>
      <c r="AS112" s="136">
        <v>116.11</v>
      </c>
      <c r="AT112" s="136">
        <v>113.33</v>
      </c>
      <c r="AU112" s="136">
        <v>110.56</v>
      </c>
      <c r="AV112" s="136">
        <v>107.78</v>
      </c>
      <c r="AW112" s="136">
        <v>105</v>
      </c>
    </row>
    <row r="113" spans="1:49" x14ac:dyDescent="0.45">
      <c r="A113" s="2">
        <v>186.04</v>
      </c>
      <c r="B113" s="15">
        <v>190.01</v>
      </c>
      <c r="C113" s="3">
        <v>193.98</v>
      </c>
      <c r="D113" s="188">
        <v>214.76</v>
      </c>
      <c r="E113" s="189">
        <v>218.73</v>
      </c>
      <c r="F113" s="189">
        <v>222.69</v>
      </c>
      <c r="G113" s="189">
        <v>226.66</v>
      </c>
      <c r="H113" s="190">
        <v>230.63</v>
      </c>
      <c r="I113" s="184">
        <v>234.6</v>
      </c>
      <c r="J113" s="184">
        <v>238.56</v>
      </c>
      <c r="K113" s="184">
        <v>242.53</v>
      </c>
      <c r="L113" s="184">
        <v>246.5</v>
      </c>
      <c r="M113" s="184">
        <v>250.47</v>
      </c>
      <c r="N113" s="184">
        <v>254.44</v>
      </c>
      <c r="O113" s="136">
        <v>241.59</v>
      </c>
      <c r="P113" s="136">
        <v>245.56</v>
      </c>
      <c r="Q113" s="136">
        <v>249.52</v>
      </c>
      <c r="R113" s="136">
        <v>253.49</v>
      </c>
      <c r="S113" s="136">
        <v>182.07</v>
      </c>
      <c r="T113" s="136">
        <v>178.11</v>
      </c>
      <c r="U113" s="136">
        <v>174.14</v>
      </c>
      <c r="V113" s="136">
        <v>170.17</v>
      </c>
      <c r="W113" s="136">
        <v>166.2</v>
      </c>
      <c r="X113" s="7">
        <v>109</v>
      </c>
      <c r="Y113" s="136">
        <v>114.37</v>
      </c>
      <c r="Z113" s="136">
        <v>117.17</v>
      </c>
      <c r="AA113" s="2">
        <v>119.98</v>
      </c>
      <c r="AB113" s="15">
        <v>122.78</v>
      </c>
      <c r="AC113" s="3">
        <v>125.58</v>
      </c>
      <c r="AD113" s="188">
        <v>139.77000000000001</v>
      </c>
      <c r="AE113" s="189">
        <v>142.57</v>
      </c>
      <c r="AF113" s="189">
        <v>145.37</v>
      </c>
      <c r="AG113" s="201">
        <v>148.16999999999999</v>
      </c>
      <c r="AH113" s="190">
        <v>150.97999999999999</v>
      </c>
      <c r="AI113" s="184">
        <v>153.78</v>
      </c>
      <c r="AJ113" s="184">
        <v>156.58000000000001</v>
      </c>
      <c r="AK113" s="184">
        <v>159.38</v>
      </c>
      <c r="AL113" s="184">
        <v>162.18</v>
      </c>
      <c r="AM113" s="184">
        <v>164.98</v>
      </c>
      <c r="AN113" s="184">
        <v>167.78</v>
      </c>
      <c r="AO113" s="136">
        <v>159.19</v>
      </c>
      <c r="AP113" s="136">
        <v>162</v>
      </c>
      <c r="AQ113" s="136">
        <v>164.8</v>
      </c>
      <c r="AR113" s="136">
        <v>167.6</v>
      </c>
      <c r="AS113" s="136">
        <v>117.17</v>
      </c>
      <c r="AT113" s="136">
        <v>114.37</v>
      </c>
      <c r="AU113" s="136">
        <v>111.57</v>
      </c>
      <c r="AV113" s="136">
        <v>108.77</v>
      </c>
      <c r="AW113" s="136">
        <v>105.97</v>
      </c>
    </row>
    <row r="114" spans="1:49" x14ac:dyDescent="0.45">
      <c r="A114" s="2">
        <v>187.72</v>
      </c>
      <c r="B114" s="15">
        <v>191.73</v>
      </c>
      <c r="C114" s="3">
        <v>195.73</v>
      </c>
      <c r="D114" s="188">
        <v>216.69</v>
      </c>
      <c r="E114" s="189">
        <v>220.7</v>
      </c>
      <c r="F114" s="189">
        <v>224.7</v>
      </c>
      <c r="G114" s="189">
        <v>228.71</v>
      </c>
      <c r="H114" s="190">
        <v>232.71</v>
      </c>
      <c r="I114" s="184">
        <v>236.71</v>
      </c>
      <c r="J114" s="184">
        <v>240.72</v>
      </c>
      <c r="K114" s="184">
        <v>244.72</v>
      </c>
      <c r="L114" s="184">
        <v>248.73</v>
      </c>
      <c r="M114" s="184">
        <v>252.73</v>
      </c>
      <c r="N114" s="184">
        <v>256.73</v>
      </c>
      <c r="O114" s="136">
        <v>243.78</v>
      </c>
      <c r="P114" s="136">
        <v>247.78</v>
      </c>
      <c r="Q114" s="136">
        <v>251.79</v>
      </c>
      <c r="R114" s="136">
        <v>255.79</v>
      </c>
      <c r="S114" s="136">
        <v>183.72</v>
      </c>
      <c r="T114" s="136">
        <v>179.71</v>
      </c>
      <c r="U114" s="136">
        <v>175.71</v>
      </c>
      <c r="V114" s="136">
        <v>171.71</v>
      </c>
      <c r="W114" s="136">
        <v>167.7</v>
      </c>
      <c r="X114" s="7">
        <v>110</v>
      </c>
      <c r="Y114" s="136">
        <v>115.42</v>
      </c>
      <c r="Z114" s="136">
        <v>118.24</v>
      </c>
      <c r="AA114" s="2">
        <v>121.07</v>
      </c>
      <c r="AB114" s="15">
        <v>123.9</v>
      </c>
      <c r="AC114" s="3">
        <v>126.72</v>
      </c>
      <c r="AD114" s="188">
        <v>141.04</v>
      </c>
      <c r="AE114" s="189">
        <v>143.87</v>
      </c>
      <c r="AF114" s="189">
        <v>146.69999999999999</v>
      </c>
      <c r="AG114" s="201">
        <v>149.53</v>
      </c>
      <c r="AH114" s="190">
        <v>152.35</v>
      </c>
      <c r="AI114" s="184">
        <v>155.18</v>
      </c>
      <c r="AJ114" s="184">
        <v>158.01</v>
      </c>
      <c r="AK114" s="184">
        <v>160.83000000000001</v>
      </c>
      <c r="AL114" s="184">
        <v>163.66</v>
      </c>
      <c r="AM114" s="184">
        <v>166.49</v>
      </c>
      <c r="AN114" s="184">
        <v>169.31</v>
      </c>
      <c r="AO114" s="136">
        <v>160.65</v>
      </c>
      <c r="AP114" s="136">
        <v>163.47999999999999</v>
      </c>
      <c r="AQ114" s="136">
        <v>166.3</v>
      </c>
      <c r="AR114" s="136">
        <v>169.13</v>
      </c>
      <c r="AS114" s="136">
        <v>118.24</v>
      </c>
      <c r="AT114" s="136">
        <v>115.42</v>
      </c>
      <c r="AU114" s="136">
        <v>112.59</v>
      </c>
      <c r="AV114" s="136">
        <v>109.76</v>
      </c>
      <c r="AW114" s="136">
        <v>106.94</v>
      </c>
    </row>
    <row r="115" spans="1:49" x14ac:dyDescent="0.45">
      <c r="A115" s="2">
        <v>189.41</v>
      </c>
      <c r="B115" s="15">
        <v>193.45</v>
      </c>
      <c r="C115" s="3">
        <v>197.49</v>
      </c>
      <c r="D115" s="188">
        <v>218.63</v>
      </c>
      <c r="E115" s="189">
        <v>222.68</v>
      </c>
      <c r="F115" s="189">
        <v>226.72</v>
      </c>
      <c r="G115" s="189">
        <v>230.76</v>
      </c>
      <c r="H115" s="190">
        <v>234.8</v>
      </c>
      <c r="I115" s="184">
        <v>238.84</v>
      </c>
      <c r="J115" s="184">
        <v>242.88</v>
      </c>
      <c r="K115" s="184">
        <v>246.92</v>
      </c>
      <c r="L115" s="184">
        <v>250.96</v>
      </c>
      <c r="M115" s="184">
        <v>255</v>
      </c>
      <c r="N115" s="184">
        <v>259.04000000000002</v>
      </c>
      <c r="O115" s="136">
        <v>245.97</v>
      </c>
      <c r="P115" s="136">
        <v>250.01</v>
      </c>
      <c r="Q115" s="136">
        <v>254.05</v>
      </c>
      <c r="R115" s="136">
        <v>258.08999999999997</v>
      </c>
      <c r="S115" s="136">
        <v>185.36</v>
      </c>
      <c r="T115" s="136">
        <v>181.32</v>
      </c>
      <c r="U115" s="136">
        <v>177.28</v>
      </c>
      <c r="V115" s="136">
        <v>173.24</v>
      </c>
      <c r="W115" s="136">
        <v>169.2</v>
      </c>
      <c r="X115" s="7">
        <v>111</v>
      </c>
      <c r="Y115" s="136">
        <v>116.46</v>
      </c>
      <c r="Z115" s="136">
        <v>119.31</v>
      </c>
      <c r="AA115" s="2">
        <v>122.17</v>
      </c>
      <c r="AB115" s="15">
        <v>125.02</v>
      </c>
      <c r="AC115" s="3">
        <v>127.87</v>
      </c>
      <c r="AD115" s="188">
        <v>142.32</v>
      </c>
      <c r="AE115" s="189">
        <v>145.16999999999999</v>
      </c>
      <c r="AF115" s="189">
        <v>148.02000000000001</v>
      </c>
      <c r="AG115" s="201">
        <v>150.88</v>
      </c>
      <c r="AH115" s="190">
        <v>153.72999999999999</v>
      </c>
      <c r="AI115" s="184">
        <v>156.58000000000001</v>
      </c>
      <c r="AJ115" s="184">
        <v>159.44</v>
      </c>
      <c r="AK115" s="184">
        <v>162.29</v>
      </c>
      <c r="AL115" s="184">
        <v>165.14</v>
      </c>
      <c r="AM115" s="184">
        <v>167.99</v>
      </c>
      <c r="AN115" s="184">
        <v>170.85</v>
      </c>
      <c r="AO115" s="136">
        <v>162.1</v>
      </c>
      <c r="AP115" s="136">
        <v>164.96</v>
      </c>
      <c r="AQ115" s="136">
        <v>167.81</v>
      </c>
      <c r="AR115" s="136">
        <v>170.66</v>
      </c>
      <c r="AS115" s="136">
        <v>119.31</v>
      </c>
      <c r="AT115" s="136">
        <v>116.46</v>
      </c>
      <c r="AU115" s="136">
        <v>113.61</v>
      </c>
      <c r="AV115" s="136">
        <v>110.75</v>
      </c>
      <c r="AW115" s="136">
        <v>107.9</v>
      </c>
    </row>
    <row r="116" spans="1:49" x14ac:dyDescent="0.45">
      <c r="A116" s="2">
        <v>191.09</v>
      </c>
      <c r="B116" s="15">
        <v>195.17</v>
      </c>
      <c r="C116" s="3">
        <v>199.25</v>
      </c>
      <c r="D116" s="188">
        <v>220.58</v>
      </c>
      <c r="E116" s="189">
        <v>224.66</v>
      </c>
      <c r="F116" s="189">
        <v>228.73</v>
      </c>
      <c r="G116" s="189">
        <v>232.81</v>
      </c>
      <c r="H116" s="190">
        <v>236.89</v>
      </c>
      <c r="I116" s="184">
        <v>240.96</v>
      </c>
      <c r="J116" s="184">
        <v>245.04</v>
      </c>
      <c r="K116" s="184">
        <v>249.12</v>
      </c>
      <c r="L116" s="184">
        <v>253.19</v>
      </c>
      <c r="M116" s="184">
        <v>257.27</v>
      </c>
      <c r="N116" s="184">
        <v>261.35000000000002</v>
      </c>
      <c r="O116" s="136">
        <v>248.17</v>
      </c>
      <c r="P116" s="136">
        <v>252.24</v>
      </c>
      <c r="Q116" s="136">
        <v>256.32</v>
      </c>
      <c r="R116" s="136">
        <v>260.39999999999998</v>
      </c>
      <c r="S116" s="136">
        <v>187.02</v>
      </c>
      <c r="T116" s="136">
        <v>182.94</v>
      </c>
      <c r="U116" s="136">
        <v>178.86</v>
      </c>
      <c r="V116" s="136">
        <v>174.79</v>
      </c>
      <c r="W116" s="136">
        <v>170.71</v>
      </c>
      <c r="X116" s="7">
        <v>112</v>
      </c>
      <c r="Y116" s="136">
        <v>117.51</v>
      </c>
      <c r="Z116" s="136">
        <v>120.38</v>
      </c>
      <c r="AA116" s="2">
        <v>123.26</v>
      </c>
      <c r="AB116" s="15">
        <v>126.14</v>
      </c>
      <c r="AC116" s="3">
        <v>129.02000000000001</v>
      </c>
      <c r="AD116" s="188">
        <v>143.6</v>
      </c>
      <c r="AE116" s="189">
        <v>146.47</v>
      </c>
      <c r="AF116" s="189">
        <v>149.35</v>
      </c>
      <c r="AG116" s="201">
        <v>152.22999999999999</v>
      </c>
      <c r="AH116" s="190">
        <v>155.11000000000001</v>
      </c>
      <c r="AI116" s="184">
        <v>157.99</v>
      </c>
      <c r="AJ116" s="184">
        <v>160.87</v>
      </c>
      <c r="AK116" s="184">
        <v>163.75</v>
      </c>
      <c r="AL116" s="184">
        <v>166.62</v>
      </c>
      <c r="AM116" s="184">
        <v>169.5</v>
      </c>
      <c r="AN116" s="184">
        <v>172.38</v>
      </c>
      <c r="AO116" s="136">
        <v>163.56</v>
      </c>
      <c r="AP116" s="136">
        <v>166.44</v>
      </c>
      <c r="AQ116" s="136">
        <v>169.32</v>
      </c>
      <c r="AR116" s="136">
        <v>172.2</v>
      </c>
      <c r="AS116" s="136">
        <v>120.38</v>
      </c>
      <c r="AT116" s="136">
        <v>117.51</v>
      </c>
      <c r="AU116" s="136">
        <v>114.63</v>
      </c>
      <c r="AV116" s="136">
        <v>111.75</v>
      </c>
      <c r="AW116" s="136">
        <v>108.87</v>
      </c>
    </row>
    <row r="117" spans="1:49" x14ac:dyDescent="0.45">
      <c r="A117" s="2">
        <v>192.78</v>
      </c>
      <c r="B117" s="15">
        <v>196.9</v>
      </c>
      <c r="C117" s="3">
        <v>201.01</v>
      </c>
      <c r="D117" s="188">
        <v>222.53</v>
      </c>
      <c r="E117" s="189">
        <v>226.64</v>
      </c>
      <c r="F117" s="189">
        <v>230.76</v>
      </c>
      <c r="G117" s="189">
        <v>234.87</v>
      </c>
      <c r="H117" s="190">
        <v>238.98</v>
      </c>
      <c r="I117" s="184">
        <v>243.1</v>
      </c>
      <c r="J117" s="184">
        <v>247.21</v>
      </c>
      <c r="K117" s="184">
        <v>251.32</v>
      </c>
      <c r="L117" s="184">
        <v>255.44</v>
      </c>
      <c r="M117" s="184">
        <v>259.55</v>
      </c>
      <c r="N117" s="184">
        <v>263.66000000000003</v>
      </c>
      <c r="O117" s="136">
        <v>250.37</v>
      </c>
      <c r="P117" s="136">
        <v>254.48</v>
      </c>
      <c r="Q117" s="136">
        <v>258.60000000000002</v>
      </c>
      <c r="R117" s="136">
        <v>262.70999999999998</v>
      </c>
      <c r="S117" s="136">
        <v>188.67</v>
      </c>
      <c r="T117" s="136">
        <v>184.56</v>
      </c>
      <c r="U117" s="136">
        <v>180.45</v>
      </c>
      <c r="V117" s="136">
        <v>176.33</v>
      </c>
      <c r="W117" s="136">
        <v>172.22</v>
      </c>
      <c r="X117" s="7">
        <v>113</v>
      </c>
      <c r="Y117" s="136">
        <v>118.55</v>
      </c>
      <c r="Z117" s="136">
        <v>121.46</v>
      </c>
      <c r="AA117" s="2">
        <v>124.36</v>
      </c>
      <c r="AB117" s="15">
        <v>127.26</v>
      </c>
      <c r="AC117" s="3">
        <v>130.16999999999999</v>
      </c>
      <c r="AD117" s="188">
        <v>144.87</v>
      </c>
      <c r="AE117" s="189">
        <v>147.78</v>
      </c>
      <c r="AF117" s="189">
        <v>150.68</v>
      </c>
      <c r="AG117" s="201">
        <v>153.59</v>
      </c>
      <c r="AH117" s="190">
        <v>156.49</v>
      </c>
      <c r="AI117" s="184">
        <v>159.4</v>
      </c>
      <c r="AJ117" s="184">
        <v>162.30000000000001</v>
      </c>
      <c r="AK117" s="184">
        <v>165.2</v>
      </c>
      <c r="AL117" s="184">
        <v>168.11</v>
      </c>
      <c r="AM117" s="184">
        <v>171.01</v>
      </c>
      <c r="AN117" s="184">
        <v>173.92</v>
      </c>
      <c r="AO117" s="136">
        <v>165.02</v>
      </c>
      <c r="AP117" s="136">
        <v>167.92</v>
      </c>
      <c r="AQ117" s="136">
        <v>170.83</v>
      </c>
      <c r="AR117" s="136">
        <v>173.3</v>
      </c>
      <c r="AS117" s="136">
        <v>121.46</v>
      </c>
      <c r="AT117" s="136">
        <v>118.55</v>
      </c>
      <c r="AU117" s="136">
        <v>115.65</v>
      </c>
      <c r="AV117" s="136">
        <v>112.74</v>
      </c>
      <c r="AW117" s="136">
        <v>109.84</v>
      </c>
    </row>
    <row r="118" spans="1:49" x14ac:dyDescent="0.45">
      <c r="A118" s="2">
        <v>194.48</v>
      </c>
      <c r="B118" s="15">
        <v>198.63</v>
      </c>
      <c r="C118" s="3">
        <v>202.78</v>
      </c>
      <c r="D118" s="188">
        <v>224.49</v>
      </c>
      <c r="E118" s="189">
        <v>228.64</v>
      </c>
      <c r="F118" s="189">
        <v>232.79</v>
      </c>
      <c r="G118" s="189">
        <v>236.94</v>
      </c>
      <c r="H118" s="190">
        <v>241.09</v>
      </c>
      <c r="I118" s="184">
        <v>245.24</v>
      </c>
      <c r="J118" s="184">
        <v>249.39</v>
      </c>
      <c r="K118" s="184">
        <v>253.53</v>
      </c>
      <c r="L118" s="184">
        <v>257.68</v>
      </c>
      <c r="M118" s="184">
        <v>261.83</v>
      </c>
      <c r="N118" s="184">
        <v>265.98</v>
      </c>
      <c r="O118" s="136">
        <v>252.57</v>
      </c>
      <c r="P118" s="136">
        <v>256.72000000000003</v>
      </c>
      <c r="Q118" s="136">
        <v>260.87</v>
      </c>
      <c r="R118" s="136">
        <v>265.02</v>
      </c>
      <c r="S118" s="136">
        <v>190.33</v>
      </c>
      <c r="T118" s="136">
        <v>186.18</v>
      </c>
      <c r="U118" s="136">
        <v>182.03</v>
      </c>
      <c r="V118" s="136">
        <v>177.88</v>
      </c>
      <c r="W118" s="136">
        <v>173.73</v>
      </c>
      <c r="X118" s="7">
        <v>114</v>
      </c>
      <c r="Y118" s="136">
        <v>119.6</v>
      </c>
      <c r="Z118" s="136">
        <v>122.53</v>
      </c>
      <c r="AA118" s="2">
        <v>125.46</v>
      </c>
      <c r="AB118" s="15">
        <v>128.38999999999999</v>
      </c>
      <c r="AC118" s="3">
        <v>131.32</v>
      </c>
      <c r="AD118" s="188">
        <v>146.16</v>
      </c>
      <c r="AE118" s="189">
        <v>149.08000000000001</v>
      </c>
      <c r="AF118" s="189">
        <v>152.01</v>
      </c>
      <c r="AG118" s="201">
        <v>154.94</v>
      </c>
      <c r="AH118" s="190">
        <v>157.87</v>
      </c>
      <c r="AI118" s="184">
        <v>160.80000000000001</v>
      </c>
      <c r="AJ118" s="184">
        <v>163.72999999999999</v>
      </c>
      <c r="AK118" s="184">
        <v>166.66</v>
      </c>
      <c r="AL118" s="184">
        <v>169.59</v>
      </c>
      <c r="AM118" s="184">
        <v>172.52</v>
      </c>
      <c r="AN118" s="184">
        <v>175.45</v>
      </c>
      <c r="AO118" s="136">
        <v>166.48</v>
      </c>
      <c r="AP118" s="136">
        <v>169.41</v>
      </c>
      <c r="AQ118" s="136">
        <v>172.34</v>
      </c>
      <c r="AR118" s="136">
        <v>175.27</v>
      </c>
      <c r="AS118" s="136">
        <v>122.53</v>
      </c>
      <c r="AT118" s="136">
        <v>119.6</v>
      </c>
      <c r="AU118" s="136">
        <v>116.67</v>
      </c>
      <c r="AV118" s="136">
        <v>113.74</v>
      </c>
      <c r="AW118" s="136">
        <v>110.81</v>
      </c>
    </row>
    <row r="119" spans="1:49" x14ac:dyDescent="0.45">
      <c r="A119" s="2">
        <v>196.18</v>
      </c>
      <c r="B119" s="15">
        <v>200.37</v>
      </c>
      <c r="C119" s="3">
        <v>204.55</v>
      </c>
      <c r="D119" s="188">
        <v>226.45</v>
      </c>
      <c r="E119" s="189">
        <v>230.64</v>
      </c>
      <c r="F119" s="189">
        <v>234.82</v>
      </c>
      <c r="G119" s="189">
        <v>239.01</v>
      </c>
      <c r="H119" s="190">
        <v>243.19</v>
      </c>
      <c r="I119" s="184">
        <v>247.38</v>
      </c>
      <c r="J119" s="184">
        <v>251.57</v>
      </c>
      <c r="K119" s="184">
        <v>255.75</v>
      </c>
      <c r="L119" s="184">
        <v>259.94</v>
      </c>
      <c r="M119" s="184">
        <v>264.12</v>
      </c>
      <c r="N119" s="184">
        <v>268.31</v>
      </c>
      <c r="O119" s="136">
        <v>254.78</v>
      </c>
      <c r="P119" s="136">
        <v>258.97000000000003</v>
      </c>
      <c r="Q119" s="136">
        <v>263.16000000000003</v>
      </c>
      <c r="R119" s="136">
        <v>267.33999999999997</v>
      </c>
      <c r="S119" s="136">
        <v>191.99</v>
      </c>
      <c r="T119" s="136">
        <v>187.81</v>
      </c>
      <c r="U119" s="136">
        <v>183.62</v>
      </c>
      <c r="V119" s="136">
        <v>179.44</v>
      </c>
      <c r="W119" s="136">
        <v>175.25</v>
      </c>
      <c r="X119" s="7">
        <v>115</v>
      </c>
      <c r="Y119" s="136">
        <v>120.65</v>
      </c>
      <c r="Z119" s="136">
        <v>123.6</v>
      </c>
      <c r="AA119" s="2">
        <v>126.56</v>
      </c>
      <c r="AB119" s="15">
        <v>129.52000000000001</v>
      </c>
      <c r="AC119" s="3">
        <v>132.47</v>
      </c>
      <c r="AD119" s="188">
        <v>147.44</v>
      </c>
      <c r="AE119" s="189">
        <v>150.38999999999999</v>
      </c>
      <c r="AF119" s="189">
        <v>153.35</v>
      </c>
      <c r="AG119" s="201">
        <v>156.30000000000001</v>
      </c>
      <c r="AH119" s="190">
        <v>159.26</v>
      </c>
      <c r="AI119" s="184">
        <v>162.21</v>
      </c>
      <c r="AJ119" s="184">
        <v>165.17</v>
      </c>
      <c r="AK119" s="184">
        <v>168.13</v>
      </c>
      <c r="AL119" s="184">
        <v>171.08</v>
      </c>
      <c r="AM119" s="184">
        <v>174.04</v>
      </c>
      <c r="AN119" s="184">
        <v>176.99</v>
      </c>
      <c r="AO119" s="136">
        <v>167.4</v>
      </c>
      <c r="AP119" s="136">
        <v>170.89</v>
      </c>
      <c r="AQ119" s="136">
        <v>173.85</v>
      </c>
      <c r="AR119" s="136">
        <v>176.8</v>
      </c>
      <c r="AS119" s="136">
        <v>123.6</v>
      </c>
      <c r="AT119" s="136">
        <v>120.65</v>
      </c>
      <c r="AU119" s="136">
        <v>117.69</v>
      </c>
      <c r="AV119" s="136">
        <v>114.74</v>
      </c>
      <c r="AW119" s="136">
        <v>111.78</v>
      </c>
    </row>
    <row r="120" spans="1:49" x14ac:dyDescent="0.45">
      <c r="A120" s="2">
        <v>197.89</v>
      </c>
      <c r="B120" s="15">
        <v>202.11</v>
      </c>
      <c r="C120" s="3">
        <v>206.33</v>
      </c>
      <c r="D120" s="188">
        <v>228.42</v>
      </c>
      <c r="E120" s="189">
        <v>232.64</v>
      </c>
      <c r="F120" s="189">
        <v>236.86</v>
      </c>
      <c r="G120" s="189">
        <v>241.08</v>
      </c>
      <c r="H120" s="190">
        <v>245.31</v>
      </c>
      <c r="I120" s="184">
        <v>249.53</v>
      </c>
      <c r="J120" s="184">
        <v>253.75</v>
      </c>
      <c r="K120" s="184">
        <v>257.97000000000003</v>
      </c>
      <c r="L120" s="184">
        <v>262.2</v>
      </c>
      <c r="M120" s="184">
        <v>266.42</v>
      </c>
      <c r="N120" s="184">
        <v>270.64</v>
      </c>
      <c r="O120" s="136">
        <v>257</v>
      </c>
      <c r="P120" s="136">
        <v>261.22000000000003</v>
      </c>
      <c r="Q120" s="136">
        <v>265.44</v>
      </c>
      <c r="R120" s="136">
        <v>269.67</v>
      </c>
      <c r="S120" s="136">
        <v>193.66</v>
      </c>
      <c r="T120" s="136">
        <v>189.44</v>
      </c>
      <c r="U120" s="136">
        <v>185.22</v>
      </c>
      <c r="V120" s="136">
        <v>181</v>
      </c>
      <c r="W120" s="136">
        <v>176.77</v>
      </c>
      <c r="X120" s="7">
        <v>116</v>
      </c>
      <c r="Y120" s="136">
        <v>121.7</v>
      </c>
      <c r="Z120" s="136">
        <v>134.68</v>
      </c>
      <c r="AA120" s="2">
        <v>127.66</v>
      </c>
      <c r="AB120" s="15">
        <v>130.63999999999999</v>
      </c>
      <c r="AC120" s="3">
        <v>133.62</v>
      </c>
      <c r="AD120" s="188">
        <v>148.72</v>
      </c>
      <c r="AE120" s="189">
        <v>151.69999999999999</v>
      </c>
      <c r="AF120" s="189">
        <v>154.68</v>
      </c>
      <c r="AG120" s="201">
        <v>157.66</v>
      </c>
      <c r="AH120" s="190">
        <v>160.65</v>
      </c>
      <c r="AI120" s="184">
        <v>163.63</v>
      </c>
      <c r="AJ120" s="184">
        <v>166.61</v>
      </c>
      <c r="AK120" s="184">
        <v>169.59</v>
      </c>
      <c r="AL120" s="184">
        <v>172.57</v>
      </c>
      <c r="AM120" s="184">
        <v>175.55</v>
      </c>
      <c r="AN120" s="184">
        <v>178.53</v>
      </c>
      <c r="AO120" s="136">
        <v>169.4</v>
      </c>
      <c r="AP120" s="136">
        <v>172.38</v>
      </c>
      <c r="AQ120" s="136">
        <v>175.36</v>
      </c>
      <c r="AR120" s="136">
        <v>178.34</v>
      </c>
      <c r="AS120" s="136">
        <v>134.68</v>
      </c>
      <c r="AT120" s="136">
        <v>121.7</v>
      </c>
      <c r="AU120" s="136">
        <v>118.72</v>
      </c>
      <c r="AV120" s="136">
        <v>115.74</v>
      </c>
      <c r="AW120" s="136">
        <v>112.76</v>
      </c>
    </row>
    <row r="121" spans="1:49" x14ac:dyDescent="0.45">
      <c r="A121" s="2">
        <v>199.6</v>
      </c>
      <c r="B121" s="15">
        <v>203.85</v>
      </c>
      <c r="C121" s="3">
        <v>208.11</v>
      </c>
      <c r="D121" s="188">
        <v>230.39</v>
      </c>
      <c r="E121" s="189">
        <v>234.65</v>
      </c>
      <c r="F121" s="189">
        <v>238.91</v>
      </c>
      <c r="G121" s="189">
        <v>243.17</v>
      </c>
      <c r="H121" s="190">
        <v>247.43</v>
      </c>
      <c r="I121" s="184">
        <v>251.68</v>
      </c>
      <c r="J121" s="184">
        <v>255.94</v>
      </c>
      <c r="K121" s="184">
        <v>260.2</v>
      </c>
      <c r="L121" s="184">
        <v>264.45999999999998</v>
      </c>
      <c r="M121" s="184">
        <v>268.72000000000003</v>
      </c>
      <c r="N121" s="184">
        <v>272.98</v>
      </c>
      <c r="O121" s="136">
        <v>259.22000000000003</v>
      </c>
      <c r="P121" s="136">
        <v>263.48</v>
      </c>
      <c r="Q121" s="136">
        <v>267.74</v>
      </c>
      <c r="R121" s="136">
        <v>271.99</v>
      </c>
      <c r="S121" s="136">
        <v>195.34</v>
      </c>
      <c r="T121" s="136">
        <v>191.08</v>
      </c>
      <c r="U121" s="136">
        <v>186.82</v>
      </c>
      <c r="V121" s="136">
        <v>182.56</v>
      </c>
      <c r="W121" s="136">
        <v>178.3</v>
      </c>
      <c r="X121" s="7">
        <v>117</v>
      </c>
      <c r="Y121" s="136">
        <v>122.75</v>
      </c>
      <c r="Z121" s="136">
        <v>125.76</v>
      </c>
      <c r="AA121" s="2">
        <v>128.77000000000001</v>
      </c>
      <c r="AB121" s="15">
        <v>131.77000000000001</v>
      </c>
      <c r="AC121" s="3">
        <v>134.78</v>
      </c>
      <c r="AD121" s="188">
        <v>150.01</v>
      </c>
      <c r="AE121" s="189">
        <v>153.01</v>
      </c>
      <c r="AF121" s="189">
        <v>156.02000000000001</v>
      </c>
      <c r="AG121" s="201">
        <v>159.03</v>
      </c>
      <c r="AH121" s="190">
        <v>162.03</v>
      </c>
      <c r="AI121" s="184">
        <v>165.04</v>
      </c>
      <c r="AJ121" s="184">
        <v>168.05</v>
      </c>
      <c r="AK121" s="184">
        <v>171.06</v>
      </c>
      <c r="AL121" s="184">
        <v>174.06</v>
      </c>
      <c r="AM121" s="184">
        <v>177.07</v>
      </c>
      <c r="AN121" s="184">
        <v>180.08</v>
      </c>
      <c r="AO121" s="136">
        <v>170.86</v>
      </c>
      <c r="AP121" s="136">
        <v>173.87</v>
      </c>
      <c r="AQ121" s="136">
        <v>176.88</v>
      </c>
      <c r="AR121" s="136">
        <v>179.88</v>
      </c>
      <c r="AS121" s="136">
        <v>125.76</v>
      </c>
      <c r="AT121" s="136">
        <v>122.75</v>
      </c>
      <c r="AU121" s="136">
        <v>119.74</v>
      </c>
      <c r="AV121" s="136">
        <v>116.74</v>
      </c>
      <c r="AW121" s="136">
        <v>113.73</v>
      </c>
    </row>
    <row r="122" spans="1:49" x14ac:dyDescent="0.45">
      <c r="A122" s="2">
        <v>201.31</v>
      </c>
      <c r="B122" s="15">
        <v>205.6</v>
      </c>
      <c r="C122" s="3">
        <v>209.9</v>
      </c>
      <c r="D122" s="188">
        <v>232.37</v>
      </c>
      <c r="E122" s="189">
        <v>236.67</v>
      </c>
      <c r="F122" s="189">
        <v>240.96</v>
      </c>
      <c r="G122" s="189">
        <v>245.26</v>
      </c>
      <c r="H122" s="190">
        <v>249.55</v>
      </c>
      <c r="I122" s="184">
        <v>253.85</v>
      </c>
      <c r="J122" s="184">
        <v>258.14</v>
      </c>
      <c r="K122" s="184">
        <v>262.44</v>
      </c>
      <c r="L122" s="184">
        <v>266.73</v>
      </c>
      <c r="M122" s="184">
        <v>271.02999999999997</v>
      </c>
      <c r="N122" s="184">
        <v>275.32</v>
      </c>
      <c r="O122" s="136">
        <v>261.44</v>
      </c>
      <c r="P122" s="136">
        <v>265.74</v>
      </c>
      <c r="Q122" s="136">
        <v>270.02999999999997</v>
      </c>
      <c r="R122" s="136">
        <v>274.33</v>
      </c>
      <c r="S122" s="136">
        <v>197.01</v>
      </c>
      <c r="T122" s="136">
        <v>192.72</v>
      </c>
      <c r="U122" s="136">
        <v>188.42</v>
      </c>
      <c r="V122" s="136">
        <v>184.13</v>
      </c>
      <c r="W122" s="136">
        <v>179.83</v>
      </c>
      <c r="X122" s="7">
        <v>118</v>
      </c>
      <c r="Y122" s="136">
        <v>123.8</v>
      </c>
      <c r="Z122" s="136">
        <v>126.84</v>
      </c>
      <c r="AA122" s="2">
        <v>129.87</v>
      </c>
      <c r="AB122" s="15">
        <v>132.9</v>
      </c>
      <c r="AC122" s="3">
        <v>135.93</v>
      </c>
      <c r="AD122" s="188">
        <v>151.29</v>
      </c>
      <c r="AE122" s="189">
        <v>154.33000000000001</v>
      </c>
      <c r="AF122" s="189">
        <v>157.36000000000001</v>
      </c>
      <c r="AG122" s="201">
        <v>160.38999999999999</v>
      </c>
      <c r="AH122" s="190">
        <v>163.41999999999999</v>
      </c>
      <c r="AI122" s="184">
        <v>166.46</v>
      </c>
      <c r="AJ122" s="184">
        <v>169.49</v>
      </c>
      <c r="AK122" s="184">
        <v>172.52</v>
      </c>
      <c r="AL122" s="184">
        <v>175.56</v>
      </c>
      <c r="AM122" s="184">
        <v>178.59</v>
      </c>
      <c r="AN122" s="184">
        <v>181.62</v>
      </c>
      <c r="AO122" s="136">
        <v>172.33</v>
      </c>
      <c r="AP122" s="136">
        <v>175.36</v>
      </c>
      <c r="AQ122" s="136">
        <v>178.39</v>
      </c>
      <c r="AR122" s="136">
        <v>181.42</v>
      </c>
      <c r="AS122" s="136">
        <v>126.84</v>
      </c>
      <c r="AT122" s="136">
        <v>123.8</v>
      </c>
      <c r="AU122" s="136">
        <v>120.77</v>
      </c>
      <c r="AV122" s="136">
        <v>117.74</v>
      </c>
      <c r="AW122" s="136">
        <v>114.71</v>
      </c>
    </row>
    <row r="123" spans="1:49" x14ac:dyDescent="0.45">
      <c r="A123" s="2">
        <v>203.03</v>
      </c>
      <c r="B123" s="15">
        <v>207.36</v>
      </c>
      <c r="C123" s="3">
        <v>211.69</v>
      </c>
      <c r="D123" s="188">
        <v>234.36</v>
      </c>
      <c r="E123" s="189">
        <v>238.69</v>
      </c>
      <c r="F123" s="189">
        <v>243.02</v>
      </c>
      <c r="G123" s="189">
        <v>247.35</v>
      </c>
      <c r="H123" s="190">
        <v>251.68</v>
      </c>
      <c r="I123" s="184">
        <v>256.01</v>
      </c>
      <c r="J123" s="184">
        <v>260.35000000000002</v>
      </c>
      <c r="K123" s="184">
        <v>264.68</v>
      </c>
      <c r="L123" s="184">
        <v>269.01</v>
      </c>
      <c r="M123" s="184">
        <v>273.54000000000002</v>
      </c>
      <c r="N123" s="184">
        <v>277.67</v>
      </c>
      <c r="O123" s="136">
        <v>263.67</v>
      </c>
      <c r="P123" s="136">
        <v>268</v>
      </c>
      <c r="Q123" s="136">
        <v>272.33</v>
      </c>
      <c r="R123" s="136">
        <v>276.67</v>
      </c>
      <c r="S123" s="136">
        <v>198.7</v>
      </c>
      <c r="T123" s="136">
        <v>194.36</v>
      </c>
      <c r="U123" s="136">
        <v>190.03</v>
      </c>
      <c r="V123" s="136">
        <v>185.7</v>
      </c>
      <c r="W123" s="136">
        <v>181.37</v>
      </c>
      <c r="X123" s="7">
        <v>119</v>
      </c>
      <c r="Y123" s="136">
        <v>124.86</v>
      </c>
      <c r="Z123" s="136">
        <v>127.92</v>
      </c>
      <c r="AA123" s="2">
        <v>130.97999999999999</v>
      </c>
      <c r="AB123" s="15">
        <v>134.03</v>
      </c>
      <c r="AC123" s="3">
        <v>137.09</v>
      </c>
      <c r="AD123" s="188">
        <v>152.58000000000001</v>
      </c>
      <c r="AE123" s="189">
        <v>155.63999999999999</v>
      </c>
      <c r="AF123" s="189">
        <v>158.69999999999999</v>
      </c>
      <c r="AG123" s="201">
        <v>161.76</v>
      </c>
      <c r="AH123" s="190">
        <v>164.72</v>
      </c>
      <c r="AI123" s="184">
        <v>167.88</v>
      </c>
      <c r="AJ123" s="184">
        <v>170.93</v>
      </c>
      <c r="AK123" s="184">
        <v>173.99</v>
      </c>
      <c r="AL123" s="184">
        <v>177.05</v>
      </c>
      <c r="AM123" s="184">
        <v>180.11</v>
      </c>
      <c r="AN123" s="184">
        <v>183.17</v>
      </c>
      <c r="AO123" s="136">
        <v>173.79</v>
      </c>
      <c r="AP123" s="136">
        <v>176.85</v>
      </c>
      <c r="AQ123" s="136">
        <v>179.91</v>
      </c>
      <c r="AR123" s="136">
        <v>182.97</v>
      </c>
      <c r="AS123" s="136">
        <v>127.92</v>
      </c>
      <c r="AT123" s="136">
        <v>124.86</v>
      </c>
      <c r="AU123" s="136">
        <v>121.8</v>
      </c>
      <c r="AV123" s="136">
        <v>118.74</v>
      </c>
      <c r="AW123" s="136">
        <v>115.68</v>
      </c>
    </row>
    <row r="124" spans="1:49" x14ac:dyDescent="0.45">
      <c r="A124" s="2">
        <v>204.75</v>
      </c>
      <c r="B124" s="15">
        <v>209.12</v>
      </c>
      <c r="C124" s="3">
        <v>213.49</v>
      </c>
      <c r="D124" s="188">
        <v>236.35</v>
      </c>
      <c r="E124" s="189">
        <v>240.72</v>
      </c>
      <c r="F124" s="189">
        <v>245.08</v>
      </c>
      <c r="G124" s="189">
        <v>249.45</v>
      </c>
      <c r="H124" s="190">
        <v>253.82</v>
      </c>
      <c r="I124" s="184">
        <v>258.19</v>
      </c>
      <c r="J124" s="184">
        <v>262.56</v>
      </c>
      <c r="K124" s="184">
        <v>266.92</v>
      </c>
      <c r="L124" s="184">
        <v>271.29000000000002</v>
      </c>
      <c r="M124" s="184">
        <v>275.66000000000003</v>
      </c>
      <c r="N124" s="184">
        <v>280.02999999999997</v>
      </c>
      <c r="O124" s="136">
        <v>265.89999999999998</v>
      </c>
      <c r="P124" s="136">
        <v>270.27</v>
      </c>
      <c r="Q124" s="136">
        <v>274.64</v>
      </c>
      <c r="R124" s="136">
        <v>279.01</v>
      </c>
      <c r="S124" s="136">
        <v>200.38</v>
      </c>
      <c r="T124" s="136">
        <v>196.02</v>
      </c>
      <c r="U124" s="136">
        <v>191.65</v>
      </c>
      <c r="V124" s="136">
        <v>187.28</v>
      </c>
      <c r="W124" s="136">
        <v>182.91</v>
      </c>
      <c r="X124" s="7">
        <v>120</v>
      </c>
      <c r="Y124" s="136">
        <v>125.87</v>
      </c>
      <c r="Z124" s="136">
        <v>128.96</v>
      </c>
      <c r="AA124" s="2">
        <v>132.04</v>
      </c>
      <c r="AB124" s="15">
        <v>135.13</v>
      </c>
      <c r="AC124" s="3">
        <v>138.21</v>
      </c>
      <c r="AD124" s="188">
        <v>153.82</v>
      </c>
      <c r="AE124" s="189">
        <v>156.9</v>
      </c>
      <c r="AF124" s="189">
        <v>159.99</v>
      </c>
      <c r="AG124" s="201">
        <v>163.07</v>
      </c>
      <c r="AH124" s="190">
        <v>166.16</v>
      </c>
      <c r="AI124" s="184">
        <v>169.24</v>
      </c>
      <c r="AJ124" s="184">
        <v>172.32</v>
      </c>
      <c r="AK124" s="184">
        <v>175.41</v>
      </c>
      <c r="AL124" s="184">
        <v>178.49</v>
      </c>
      <c r="AM124" s="184">
        <v>181.58</v>
      </c>
      <c r="AN124" s="184">
        <v>184.66</v>
      </c>
      <c r="AO124" s="136">
        <v>175.22</v>
      </c>
      <c r="AP124" s="136">
        <v>178.3</v>
      </c>
      <c r="AQ124" s="136">
        <v>181.39</v>
      </c>
      <c r="AR124" s="136">
        <v>184.47</v>
      </c>
      <c r="AS124" s="136">
        <v>128.96</v>
      </c>
      <c r="AT124" s="136">
        <v>125.87</v>
      </c>
      <c r="AU124" s="136">
        <v>122.79</v>
      </c>
      <c r="AV124" s="136">
        <v>119.71</v>
      </c>
      <c r="AW124" s="136">
        <v>116.62</v>
      </c>
    </row>
    <row r="125" spans="1:49" x14ac:dyDescent="0.45">
      <c r="A125" s="2">
        <v>206.34</v>
      </c>
      <c r="B125" s="15">
        <v>210.74</v>
      </c>
      <c r="C125" s="3">
        <v>215.15</v>
      </c>
      <c r="D125" s="188">
        <v>238.16</v>
      </c>
      <c r="E125" s="189">
        <v>242.57</v>
      </c>
      <c r="F125" s="189">
        <v>246.97</v>
      </c>
      <c r="G125" s="189">
        <v>251.38</v>
      </c>
      <c r="H125" s="190">
        <v>255.78</v>
      </c>
      <c r="I125" s="184">
        <v>260.18</v>
      </c>
      <c r="J125" s="184">
        <v>264.58999999999997</v>
      </c>
      <c r="K125" s="184">
        <v>268.99</v>
      </c>
      <c r="L125" s="184">
        <v>273.39999999999998</v>
      </c>
      <c r="M125" s="184">
        <v>277.8</v>
      </c>
      <c r="N125" s="184">
        <v>282.20999999999998</v>
      </c>
      <c r="O125" s="136">
        <v>268</v>
      </c>
      <c r="P125" s="136">
        <v>272.39999999999998</v>
      </c>
      <c r="Q125" s="136">
        <v>276.81</v>
      </c>
      <c r="R125" s="136">
        <v>281.20999999999998</v>
      </c>
      <c r="S125" s="136">
        <v>201.93</v>
      </c>
      <c r="T125" s="136">
        <v>197.53</v>
      </c>
      <c r="U125" s="136">
        <v>193.12</v>
      </c>
      <c r="V125" s="136">
        <v>188.72</v>
      </c>
      <c r="W125" s="136">
        <v>184.31</v>
      </c>
      <c r="X125" s="7">
        <v>121</v>
      </c>
      <c r="Y125" s="136">
        <v>126.93</v>
      </c>
      <c r="Z125" s="136">
        <v>130.04</v>
      </c>
      <c r="AA125" s="2">
        <v>133.15</v>
      </c>
      <c r="AB125" s="15">
        <v>136.26</v>
      </c>
      <c r="AC125" s="3">
        <v>139.37</v>
      </c>
      <c r="AD125" s="188">
        <v>155.11000000000001</v>
      </c>
      <c r="AE125" s="189">
        <v>158.22</v>
      </c>
      <c r="AF125" s="189">
        <v>161.33000000000001</v>
      </c>
      <c r="AG125" s="201">
        <v>164.44</v>
      </c>
      <c r="AH125" s="190">
        <v>167.55</v>
      </c>
      <c r="AI125" s="184">
        <v>170.66</v>
      </c>
      <c r="AJ125" s="184">
        <v>173.77</v>
      </c>
      <c r="AK125" s="184">
        <v>176.88</v>
      </c>
      <c r="AL125" s="184">
        <v>179.99</v>
      </c>
      <c r="AM125" s="184">
        <v>183.1</v>
      </c>
      <c r="AN125" s="184">
        <v>186.21</v>
      </c>
      <c r="AO125" s="136">
        <v>176.69</v>
      </c>
      <c r="AP125" s="136">
        <v>179.8</v>
      </c>
      <c r="AQ125" s="136">
        <v>182.91</v>
      </c>
      <c r="AR125" s="136">
        <v>186.02</v>
      </c>
      <c r="AS125" s="136">
        <v>130.04</v>
      </c>
      <c r="AT125" s="136">
        <v>126.93</v>
      </c>
      <c r="AU125" s="136">
        <v>123.82</v>
      </c>
      <c r="AV125" s="136">
        <v>120.71</v>
      </c>
      <c r="AW125" s="136">
        <v>117.6</v>
      </c>
    </row>
    <row r="126" spans="1:49" x14ac:dyDescent="0.45">
      <c r="A126" s="2">
        <v>208.07</v>
      </c>
      <c r="B126" s="15">
        <v>212.51</v>
      </c>
      <c r="C126" s="3">
        <v>216.95</v>
      </c>
      <c r="D126" s="188">
        <v>240.16</v>
      </c>
      <c r="E126" s="189">
        <v>244.6</v>
      </c>
      <c r="F126" s="189">
        <v>249.05</v>
      </c>
      <c r="G126" s="189">
        <v>253.49</v>
      </c>
      <c r="H126" s="190">
        <v>257.93</v>
      </c>
      <c r="I126" s="184">
        <v>262.37</v>
      </c>
      <c r="J126" s="184">
        <v>266.81</v>
      </c>
      <c r="K126" s="184">
        <v>271.25</v>
      </c>
      <c r="L126" s="184">
        <v>275.69</v>
      </c>
      <c r="M126" s="184">
        <v>280.13</v>
      </c>
      <c r="N126" s="184">
        <v>284.57</v>
      </c>
      <c r="O126" s="136">
        <v>270.24</v>
      </c>
      <c r="P126" s="136">
        <v>274.68</v>
      </c>
      <c r="Q126" s="136">
        <v>279.12</v>
      </c>
      <c r="R126" s="136">
        <v>283.56</v>
      </c>
      <c r="S126" s="136">
        <v>203.63</v>
      </c>
      <c r="T126" s="136">
        <v>199.19</v>
      </c>
      <c r="U126" s="136">
        <v>194.75</v>
      </c>
      <c r="V126" s="136">
        <v>190.31</v>
      </c>
      <c r="W126" s="136">
        <v>185.86</v>
      </c>
      <c r="X126" s="7">
        <v>122</v>
      </c>
      <c r="Y126" s="136">
        <v>127.99</v>
      </c>
      <c r="Z126" s="136">
        <v>131.13</v>
      </c>
      <c r="AA126" s="2">
        <v>134.26</v>
      </c>
      <c r="AB126" s="15">
        <v>137.4</v>
      </c>
      <c r="AC126" s="3">
        <v>140.53</v>
      </c>
      <c r="AD126" s="188">
        <v>156.41</v>
      </c>
      <c r="AE126" s="189">
        <v>159.54</v>
      </c>
      <c r="AF126" s="189">
        <v>162.68</v>
      </c>
      <c r="AG126" s="201">
        <v>165.81</v>
      </c>
      <c r="AH126" s="190">
        <v>168.95</v>
      </c>
      <c r="AI126" s="184">
        <v>172.08</v>
      </c>
      <c r="AJ126" s="184">
        <v>175.22</v>
      </c>
      <c r="AK126" s="184">
        <v>178.35</v>
      </c>
      <c r="AL126" s="184">
        <v>181.49</v>
      </c>
      <c r="AM126" s="184">
        <v>184.63</v>
      </c>
      <c r="AN126" s="184">
        <v>187.76</v>
      </c>
      <c r="AO126" s="136">
        <v>178.16</v>
      </c>
      <c r="AP126" s="136">
        <v>181.29</v>
      </c>
      <c r="AQ126" s="136">
        <v>184.43</v>
      </c>
      <c r="AR126" s="136">
        <v>187.56</v>
      </c>
      <c r="AS126" s="136">
        <v>131.13</v>
      </c>
      <c r="AT126" s="136">
        <v>127.99</v>
      </c>
      <c r="AU126" s="136">
        <v>124.85</v>
      </c>
      <c r="AV126" s="136">
        <v>121.72</v>
      </c>
      <c r="AW126" s="136">
        <v>118.58</v>
      </c>
    </row>
    <row r="127" spans="1:49" x14ac:dyDescent="0.45">
      <c r="A127" s="2">
        <v>209.81</v>
      </c>
      <c r="B127" s="15">
        <v>214.28</v>
      </c>
      <c r="C127" s="3">
        <v>218.76</v>
      </c>
      <c r="D127" s="188">
        <v>242.17</v>
      </c>
      <c r="E127" s="189">
        <v>246.65</v>
      </c>
      <c r="F127" s="189" t="s">
        <v>159</v>
      </c>
      <c r="G127" s="189">
        <v>255.6</v>
      </c>
      <c r="H127" s="190">
        <v>260.08</v>
      </c>
      <c r="I127" s="184">
        <v>264.56</v>
      </c>
      <c r="J127" s="184">
        <v>269.04000000000002</v>
      </c>
      <c r="K127" s="184">
        <v>273.51</v>
      </c>
      <c r="L127" s="184">
        <v>277.99</v>
      </c>
      <c r="M127" s="184">
        <v>282.47000000000003</v>
      </c>
      <c r="N127" s="184">
        <v>286.94</v>
      </c>
      <c r="O127" s="136">
        <v>272.49</v>
      </c>
      <c r="P127" s="136">
        <v>276.95999999999998</v>
      </c>
      <c r="Q127" s="136">
        <v>281.44</v>
      </c>
      <c r="R127" s="136">
        <v>285.92</v>
      </c>
      <c r="S127" s="136">
        <v>205.33</v>
      </c>
      <c r="T127" s="136">
        <v>200.85</v>
      </c>
      <c r="U127" s="136">
        <v>196.37</v>
      </c>
      <c r="V127" s="136">
        <v>191.9</v>
      </c>
      <c r="W127" s="136">
        <v>187.42</v>
      </c>
      <c r="X127" s="7">
        <v>123</v>
      </c>
      <c r="Y127" s="136">
        <v>129.01</v>
      </c>
      <c r="Z127" s="136">
        <v>132.16999999999999</v>
      </c>
      <c r="AA127" s="2">
        <v>135.33000000000001</v>
      </c>
      <c r="AB127" s="15">
        <v>138.49</v>
      </c>
      <c r="AC127" s="3">
        <v>141.65</v>
      </c>
      <c r="AD127" s="188">
        <v>157.63999999999999</v>
      </c>
      <c r="AE127" s="189">
        <v>160.81</v>
      </c>
      <c r="AF127" s="189">
        <v>163.97</v>
      </c>
      <c r="AG127" s="201">
        <v>167.13</v>
      </c>
      <c r="AH127" s="190">
        <v>170.29</v>
      </c>
      <c r="AI127" s="184">
        <v>173.45</v>
      </c>
      <c r="AJ127" s="184">
        <v>176.61</v>
      </c>
      <c r="AK127" s="184">
        <v>179.77</v>
      </c>
      <c r="AL127" s="184">
        <v>182.93</v>
      </c>
      <c r="AM127" s="184">
        <v>186.09</v>
      </c>
      <c r="AN127" s="184">
        <v>189.26</v>
      </c>
      <c r="AO127" s="136">
        <v>179.58</v>
      </c>
      <c r="AP127" s="136">
        <v>182.75</v>
      </c>
      <c r="AQ127" s="136">
        <v>185.91</v>
      </c>
      <c r="AR127" s="136">
        <v>189.07</v>
      </c>
      <c r="AS127" s="136">
        <v>132.16999999999999</v>
      </c>
      <c r="AT127" s="136">
        <v>129.01</v>
      </c>
      <c r="AU127" s="136">
        <v>125.85</v>
      </c>
      <c r="AV127" s="136">
        <v>122.68</v>
      </c>
      <c r="AW127" s="136">
        <v>119.52</v>
      </c>
    </row>
    <row r="128" spans="1:49" x14ac:dyDescent="0.45">
      <c r="A128" s="2">
        <v>211.55</v>
      </c>
      <c r="B128" s="15">
        <v>216.06</v>
      </c>
      <c r="C128" s="3">
        <v>220.57</v>
      </c>
      <c r="D128" s="188">
        <v>244.19</v>
      </c>
      <c r="E128" s="189">
        <v>248.7</v>
      </c>
      <c r="F128" s="189">
        <v>253.22</v>
      </c>
      <c r="G128" s="189">
        <v>257.73</v>
      </c>
      <c r="H128" s="190">
        <v>262.24</v>
      </c>
      <c r="I128" s="184">
        <v>266.76</v>
      </c>
      <c r="J128" s="184">
        <v>271.27</v>
      </c>
      <c r="K128" s="184">
        <v>275.77999999999997</v>
      </c>
      <c r="L128" s="184">
        <v>280.3</v>
      </c>
      <c r="M128" s="184">
        <v>284.81</v>
      </c>
      <c r="N128" s="184">
        <v>289.32</v>
      </c>
      <c r="O128" s="136">
        <v>274.74</v>
      </c>
      <c r="P128" s="136">
        <v>279.25</v>
      </c>
      <c r="Q128" s="136">
        <v>283.77</v>
      </c>
      <c r="R128" s="136">
        <v>288.27999999999997</v>
      </c>
      <c r="S128" s="136">
        <v>207.03</v>
      </c>
      <c r="T128" s="136">
        <v>202.52</v>
      </c>
      <c r="U128" s="136">
        <v>198.01</v>
      </c>
      <c r="V128" s="136">
        <v>193.49</v>
      </c>
      <c r="W128" s="136">
        <v>188.98</v>
      </c>
      <c r="X128" s="7">
        <v>124</v>
      </c>
      <c r="Y128" s="136">
        <v>130.07</v>
      </c>
      <c r="Z128" s="136">
        <v>133.25</v>
      </c>
      <c r="AA128" s="2">
        <v>136.44</v>
      </c>
      <c r="AB128" s="15">
        <v>139.63</v>
      </c>
      <c r="AC128" s="3">
        <v>142.81</v>
      </c>
      <c r="AD128" s="188">
        <v>158.94</v>
      </c>
      <c r="AE128" s="189">
        <v>162.13</v>
      </c>
      <c r="AF128" s="189">
        <v>165.32</v>
      </c>
      <c r="AG128" s="201">
        <v>168.5</v>
      </c>
      <c r="AH128" s="190">
        <v>171.69</v>
      </c>
      <c r="AI128" s="184">
        <v>174.88</v>
      </c>
      <c r="AJ128" s="184">
        <v>178.06</v>
      </c>
      <c r="AK128" s="184">
        <v>181.25</v>
      </c>
      <c r="AL128" s="184">
        <v>184.44</v>
      </c>
      <c r="AM128" s="184">
        <v>187.62</v>
      </c>
      <c r="AN128" s="184">
        <v>190.81</v>
      </c>
      <c r="AO128" s="136">
        <v>181.06</v>
      </c>
      <c r="AP128" s="136">
        <v>184.24</v>
      </c>
      <c r="AQ128" s="136">
        <v>187.43</v>
      </c>
      <c r="AR128" s="136">
        <v>190.62</v>
      </c>
      <c r="AS128" s="136">
        <v>133.25</v>
      </c>
      <c r="AT128" s="136">
        <v>130.07</v>
      </c>
      <c r="AU128" s="136">
        <v>126.88</v>
      </c>
      <c r="AV128" s="136">
        <v>123.69</v>
      </c>
      <c r="AW128" s="136">
        <v>120.51</v>
      </c>
    </row>
    <row r="129" spans="1:49" x14ac:dyDescent="0.45">
      <c r="A129" s="2">
        <v>213.14</v>
      </c>
      <c r="B129" s="15">
        <v>217.69</v>
      </c>
      <c r="C129" s="3">
        <v>222.24</v>
      </c>
      <c r="D129" s="188">
        <v>246.01</v>
      </c>
      <c r="E129" s="189">
        <v>250.56</v>
      </c>
      <c r="F129" s="189">
        <v>255.11</v>
      </c>
      <c r="G129" s="189">
        <v>259.66000000000003</v>
      </c>
      <c r="H129" s="190">
        <v>264.20999999999998</v>
      </c>
      <c r="I129" s="184">
        <v>268.76</v>
      </c>
      <c r="J129" s="184">
        <v>273.31</v>
      </c>
      <c r="K129" s="184">
        <v>277.86</v>
      </c>
      <c r="L129" s="184">
        <v>282.41000000000003</v>
      </c>
      <c r="M129" s="184">
        <v>286.95999999999998</v>
      </c>
      <c r="N129" s="184">
        <v>291.51</v>
      </c>
      <c r="O129" s="136">
        <v>276.83999999999997</v>
      </c>
      <c r="P129" s="136">
        <v>281.39</v>
      </c>
      <c r="Q129" s="136">
        <v>285.94</v>
      </c>
      <c r="R129" s="136">
        <v>290.49</v>
      </c>
      <c r="S129" s="136">
        <v>208.59</v>
      </c>
      <c r="T129" s="136">
        <v>204.04</v>
      </c>
      <c r="U129" s="136">
        <v>199.49</v>
      </c>
      <c r="V129" s="136">
        <v>194.94</v>
      </c>
      <c r="W129" s="136">
        <v>190.39</v>
      </c>
      <c r="X129" s="7">
        <v>125</v>
      </c>
      <c r="Y129" s="136">
        <v>131.13</v>
      </c>
      <c r="Z129" s="136">
        <v>134.34</v>
      </c>
      <c r="AA129" s="2">
        <v>137.55000000000001</v>
      </c>
      <c r="AB129" s="15">
        <v>140.77000000000001</v>
      </c>
      <c r="AC129" s="3">
        <v>143.97999999999999</v>
      </c>
      <c r="AD129" s="188">
        <v>160.24</v>
      </c>
      <c r="AE129" s="189">
        <v>163.46</v>
      </c>
      <c r="AF129" s="189">
        <v>166.67</v>
      </c>
      <c r="AG129" s="201">
        <v>169.88</v>
      </c>
      <c r="AH129" s="190">
        <v>173.09</v>
      </c>
      <c r="AI129" s="184">
        <v>176.31</v>
      </c>
      <c r="AJ129" s="184">
        <v>179.52</v>
      </c>
      <c r="AK129" s="184">
        <v>182.73</v>
      </c>
      <c r="AL129" s="184">
        <v>185.94</v>
      </c>
      <c r="AM129" s="184">
        <v>189.16</v>
      </c>
      <c r="AN129" s="184">
        <v>192.37</v>
      </c>
      <c r="AO129" s="136">
        <v>182.53</v>
      </c>
      <c r="AP129" s="136">
        <v>185.74</v>
      </c>
      <c r="AQ129" s="136">
        <v>188.95</v>
      </c>
      <c r="AR129" s="136">
        <v>192.17</v>
      </c>
      <c r="AS129" s="136">
        <v>134.34</v>
      </c>
      <c r="AT129" s="136">
        <v>131.13</v>
      </c>
      <c r="AU129" s="136">
        <v>127.92</v>
      </c>
      <c r="AV129" s="136">
        <v>124.7</v>
      </c>
      <c r="AW129" s="136">
        <v>121.49</v>
      </c>
    </row>
    <row r="130" spans="1:49" x14ac:dyDescent="0.45">
      <c r="A130" s="2">
        <v>214.89</v>
      </c>
      <c r="B130" s="15">
        <v>219.48</v>
      </c>
      <c r="C130" s="3">
        <v>224.07</v>
      </c>
      <c r="D130" s="188">
        <v>248.04</v>
      </c>
      <c r="E130" s="189">
        <v>252.63</v>
      </c>
      <c r="F130" s="189">
        <v>257.20999999999998</v>
      </c>
      <c r="G130" s="189">
        <v>261.8</v>
      </c>
      <c r="H130" s="190">
        <v>266.39</v>
      </c>
      <c r="I130" s="184">
        <v>270.97000000000003</v>
      </c>
      <c r="J130" s="184">
        <v>275.56</v>
      </c>
      <c r="K130" s="184">
        <v>280.14999999999998</v>
      </c>
      <c r="L130" s="184">
        <v>284.73</v>
      </c>
      <c r="M130" s="184">
        <v>289.32</v>
      </c>
      <c r="N130" s="184">
        <v>293.91000000000003</v>
      </c>
      <c r="O130" s="136">
        <v>279.10000000000002</v>
      </c>
      <c r="P130" s="136">
        <v>283.69</v>
      </c>
      <c r="Q130" s="136">
        <v>288.27999999999997</v>
      </c>
      <c r="R130" s="136">
        <v>292.86</v>
      </c>
      <c r="S130" s="136">
        <v>210.31</v>
      </c>
      <c r="T130" s="136">
        <v>205.72</v>
      </c>
      <c r="U130" s="136">
        <v>201.13</v>
      </c>
      <c r="V130" s="136">
        <v>196.55</v>
      </c>
      <c r="W130" s="136">
        <v>191.96</v>
      </c>
      <c r="X130" s="7">
        <v>126</v>
      </c>
      <c r="Y130" s="136">
        <v>132.15</v>
      </c>
      <c r="Z130" s="136">
        <v>135.38999999999999</v>
      </c>
      <c r="AA130" s="2">
        <v>138.63</v>
      </c>
      <c r="AB130" s="15">
        <v>141.86000000000001</v>
      </c>
      <c r="AC130" s="3">
        <v>145.1</v>
      </c>
      <c r="AD130" s="188">
        <v>161.47999999999999</v>
      </c>
      <c r="AE130" s="189">
        <v>164.72</v>
      </c>
      <c r="AF130" s="189">
        <v>167.96</v>
      </c>
      <c r="AG130" s="201">
        <v>171.2</v>
      </c>
      <c r="AH130" s="190">
        <v>174.44</v>
      </c>
      <c r="AI130" s="184">
        <v>177.67</v>
      </c>
      <c r="AJ130" s="184">
        <v>180.91</v>
      </c>
      <c r="AK130" s="184">
        <v>184.15</v>
      </c>
      <c r="AL130" s="184">
        <v>187.39</v>
      </c>
      <c r="AM130" s="184">
        <v>190.63</v>
      </c>
      <c r="AN130" s="184">
        <v>193.87</v>
      </c>
      <c r="AO130" s="136">
        <v>183.96</v>
      </c>
      <c r="AP130" s="136">
        <v>187.2</v>
      </c>
      <c r="AQ130" s="136">
        <v>190.44</v>
      </c>
      <c r="AR130" s="136">
        <v>193.67</v>
      </c>
      <c r="AS130" s="136">
        <v>135.38999999999999</v>
      </c>
      <c r="AT130" s="136">
        <v>132.15</v>
      </c>
      <c r="AU130" s="136">
        <v>128.91</v>
      </c>
      <c r="AV130" s="136">
        <v>125.67</v>
      </c>
      <c r="AW130" s="136">
        <v>122.43</v>
      </c>
    </row>
    <row r="131" spans="1:49" x14ac:dyDescent="0.45">
      <c r="A131" s="2">
        <v>216.65</v>
      </c>
      <c r="B131" s="15">
        <v>221.27</v>
      </c>
      <c r="C131" s="3">
        <v>225.9</v>
      </c>
      <c r="D131" s="188">
        <v>250.08</v>
      </c>
      <c r="E131" s="189">
        <v>254.7</v>
      </c>
      <c r="F131" s="189">
        <v>259.32</v>
      </c>
      <c r="G131" s="189">
        <v>263.94</v>
      </c>
      <c r="H131" s="190">
        <v>268.57</v>
      </c>
      <c r="I131" s="184">
        <v>273.19</v>
      </c>
      <c r="J131" s="184">
        <v>277.81</v>
      </c>
      <c r="K131" s="184">
        <v>282.44</v>
      </c>
      <c r="L131" s="184">
        <v>287.06</v>
      </c>
      <c r="M131" s="184">
        <v>291.68</v>
      </c>
      <c r="N131" s="184">
        <v>296.3</v>
      </c>
      <c r="O131" s="136">
        <v>281.37</v>
      </c>
      <c r="P131" s="136">
        <v>285.99</v>
      </c>
      <c r="Q131" s="136">
        <v>290.61</v>
      </c>
      <c r="R131" s="136">
        <v>295.24</v>
      </c>
      <c r="S131" s="136">
        <v>212.03</v>
      </c>
      <c r="T131" s="136">
        <v>207.4</v>
      </c>
      <c r="U131" s="136">
        <v>202.78</v>
      </c>
      <c r="V131" s="136">
        <v>198.16</v>
      </c>
      <c r="W131" s="136">
        <v>193.54</v>
      </c>
      <c r="X131" s="7">
        <v>127</v>
      </c>
      <c r="Y131" s="136">
        <v>133.21</v>
      </c>
      <c r="Z131" s="136">
        <v>136.47999999999999</v>
      </c>
      <c r="AA131" s="2">
        <v>139.74</v>
      </c>
      <c r="AB131" s="15">
        <v>143.01</v>
      </c>
      <c r="AC131" s="3">
        <v>146.27000000000001</v>
      </c>
      <c r="AD131" s="188">
        <v>162.79</v>
      </c>
      <c r="AE131" s="189">
        <v>166.05</v>
      </c>
      <c r="AF131" s="189">
        <v>169.32</v>
      </c>
      <c r="AG131" s="201">
        <v>172.58</v>
      </c>
      <c r="AH131" s="190">
        <v>175.84</v>
      </c>
      <c r="AI131" s="184">
        <v>179.11</v>
      </c>
      <c r="AJ131" s="184">
        <v>182.37</v>
      </c>
      <c r="AK131" s="184">
        <v>185.63</v>
      </c>
      <c r="AL131" s="184">
        <v>188.9</v>
      </c>
      <c r="AM131" s="184">
        <v>192.16</v>
      </c>
      <c r="AN131" s="184">
        <v>195.43</v>
      </c>
      <c r="AO131" s="136">
        <v>185.44</v>
      </c>
      <c r="AP131" s="136">
        <v>188.7</v>
      </c>
      <c r="AQ131" s="136">
        <v>191.96</v>
      </c>
      <c r="AR131" s="136">
        <v>195.23</v>
      </c>
      <c r="AS131" s="136">
        <v>136.47999999999999</v>
      </c>
      <c r="AT131" s="136">
        <v>133.21</v>
      </c>
      <c r="AU131" s="136">
        <v>129.94999999999999</v>
      </c>
      <c r="AV131" s="136">
        <v>126.69</v>
      </c>
      <c r="AW131" s="136">
        <v>123.42</v>
      </c>
    </row>
    <row r="132" spans="1:49" x14ac:dyDescent="0.45">
      <c r="A132" s="2">
        <v>218.25</v>
      </c>
      <c r="B132" s="15">
        <v>222.91</v>
      </c>
      <c r="C132" s="3">
        <v>227.57</v>
      </c>
      <c r="D132" s="188">
        <v>251.91</v>
      </c>
      <c r="E132" s="189">
        <v>256.57</v>
      </c>
      <c r="F132" s="189">
        <v>261.23</v>
      </c>
      <c r="G132" s="189">
        <v>265.89</v>
      </c>
      <c r="H132" s="190">
        <v>270.55</v>
      </c>
      <c r="I132" s="184">
        <v>275.20999999999998</v>
      </c>
      <c r="J132" s="184">
        <v>279.87</v>
      </c>
      <c r="K132" s="184">
        <v>284.52999999999997</v>
      </c>
      <c r="L132" s="184">
        <v>289.18</v>
      </c>
      <c r="M132" s="184">
        <v>293.83999999999997</v>
      </c>
      <c r="N132" s="184">
        <v>298.5</v>
      </c>
      <c r="O132" s="136">
        <v>283.48</v>
      </c>
      <c r="P132" s="136">
        <v>288.14</v>
      </c>
      <c r="Q132" s="136">
        <v>292.8</v>
      </c>
      <c r="R132" s="136">
        <v>297.45999999999998</v>
      </c>
      <c r="S132" s="136">
        <v>213.59</v>
      </c>
      <c r="T132" s="136">
        <v>208.93</v>
      </c>
      <c r="U132" s="136">
        <v>204.27</v>
      </c>
      <c r="V132" s="136">
        <v>199.61</v>
      </c>
      <c r="W132" s="136">
        <v>196.54</v>
      </c>
      <c r="X132" s="7">
        <v>128</v>
      </c>
      <c r="Y132" s="136">
        <v>134.28</v>
      </c>
      <c r="Z132" s="136">
        <v>137.57</v>
      </c>
      <c r="AA132" s="2">
        <v>140.86000000000001</v>
      </c>
      <c r="AB132" s="15">
        <v>144.15</v>
      </c>
      <c r="AC132" s="3">
        <v>147.44</v>
      </c>
      <c r="AD132" s="188">
        <v>164.09</v>
      </c>
      <c r="AE132" s="189">
        <v>167.38</v>
      </c>
      <c r="AF132" s="189">
        <v>170.67</v>
      </c>
      <c r="AG132" s="201">
        <v>173.96</v>
      </c>
      <c r="AH132" s="190">
        <v>177.25</v>
      </c>
      <c r="AI132" s="184">
        <v>180.54</v>
      </c>
      <c r="AJ132" s="184">
        <v>183.83</v>
      </c>
      <c r="AK132" s="184">
        <v>187.12</v>
      </c>
      <c r="AL132" s="184">
        <v>190.41</v>
      </c>
      <c r="AM132" s="184">
        <v>193.7</v>
      </c>
      <c r="AN132" s="184">
        <v>196.99</v>
      </c>
      <c r="AO132" s="136">
        <v>186.91</v>
      </c>
      <c r="AP132" s="136">
        <v>190.2</v>
      </c>
      <c r="AQ132" s="136">
        <v>193.49</v>
      </c>
      <c r="AR132" s="136">
        <v>196.78</v>
      </c>
      <c r="AS132" s="136">
        <v>137.57</v>
      </c>
      <c r="AT132" s="136">
        <v>134.28</v>
      </c>
      <c r="AU132" s="136">
        <v>130.99</v>
      </c>
      <c r="AV132" s="136">
        <v>127.7</v>
      </c>
      <c r="AW132" s="136">
        <v>124.41</v>
      </c>
    </row>
    <row r="133" spans="1:49" x14ac:dyDescent="0.45">
      <c r="A133" s="2">
        <v>220.02</v>
      </c>
      <c r="B133" s="15">
        <v>224.71</v>
      </c>
      <c r="C133" s="3">
        <v>229.41</v>
      </c>
      <c r="D133" s="188">
        <v>253.96</v>
      </c>
      <c r="E133" s="189">
        <v>258.64999999999998</v>
      </c>
      <c r="F133" s="189">
        <v>263.35000000000002</v>
      </c>
      <c r="G133" s="189">
        <v>268.04000000000002</v>
      </c>
      <c r="H133" s="190">
        <v>272.74</v>
      </c>
      <c r="I133" s="184">
        <v>277.43</v>
      </c>
      <c r="J133" s="184">
        <v>282.13</v>
      </c>
      <c r="K133" s="184">
        <v>286.83</v>
      </c>
      <c r="L133" s="184">
        <v>291.52</v>
      </c>
      <c r="M133" s="184">
        <v>296.22000000000003</v>
      </c>
      <c r="N133" s="184">
        <v>300.91000000000003</v>
      </c>
      <c r="O133" s="136">
        <v>285.76</v>
      </c>
      <c r="P133" s="136">
        <v>290.45</v>
      </c>
      <c r="Q133" s="136">
        <v>295.14999999999998</v>
      </c>
      <c r="R133" s="136">
        <v>299.83999999999997</v>
      </c>
      <c r="S133" s="136">
        <v>215.32</v>
      </c>
      <c r="T133" s="136">
        <v>210.63</v>
      </c>
      <c r="U133" s="136">
        <v>205.93</v>
      </c>
      <c r="V133" s="136">
        <v>201.23</v>
      </c>
      <c r="W133" s="136">
        <v>198.13</v>
      </c>
      <c r="X133" s="7">
        <v>129</v>
      </c>
      <c r="Y133" s="136">
        <v>135.30000000000001</v>
      </c>
      <c r="Z133" s="136">
        <v>138.62</v>
      </c>
      <c r="AA133" s="2">
        <v>141.93</v>
      </c>
      <c r="AB133" s="15">
        <v>145.25</v>
      </c>
      <c r="AC133" s="3">
        <v>148.56</v>
      </c>
      <c r="AD133" s="188">
        <v>165.34</v>
      </c>
      <c r="AE133" s="189">
        <v>168.65</v>
      </c>
      <c r="AF133" s="189">
        <v>171.97</v>
      </c>
      <c r="AG133" s="201">
        <v>175.28</v>
      </c>
      <c r="AH133" s="190">
        <v>178.6</v>
      </c>
      <c r="AI133" s="184">
        <v>181.91</v>
      </c>
      <c r="AJ133" s="184">
        <v>185.23</v>
      </c>
      <c r="AK133" s="184">
        <v>188.54</v>
      </c>
      <c r="AL133" s="184">
        <v>191.86</v>
      </c>
      <c r="AM133" s="184">
        <v>195.18</v>
      </c>
      <c r="AN133" s="184">
        <v>198.49</v>
      </c>
      <c r="AO133" s="136">
        <v>188.35</v>
      </c>
      <c r="AP133" s="136">
        <v>191.66</v>
      </c>
      <c r="AQ133" s="136">
        <v>194.98</v>
      </c>
      <c r="AR133" s="136">
        <v>198.29</v>
      </c>
      <c r="AS133" s="136">
        <v>138.62</v>
      </c>
      <c r="AT133" s="136">
        <v>135.30000000000001</v>
      </c>
      <c r="AU133" s="136">
        <v>131.99</v>
      </c>
      <c r="AV133" s="136">
        <v>128.66999999999999</v>
      </c>
      <c r="AW133" s="136">
        <v>125.36</v>
      </c>
    </row>
    <row r="134" spans="1:49" x14ac:dyDescent="0.45">
      <c r="A134" s="2">
        <v>221.79300000000001</v>
      </c>
      <c r="B134" s="15">
        <v>226.52</v>
      </c>
      <c r="C134" s="3">
        <v>231.25</v>
      </c>
      <c r="D134" s="188">
        <v>256.01</v>
      </c>
      <c r="E134" s="189">
        <v>260.74</v>
      </c>
      <c r="F134" s="189">
        <v>265.48</v>
      </c>
      <c r="G134" s="189">
        <v>270.20999999999998</v>
      </c>
      <c r="H134" s="190">
        <v>274.94</v>
      </c>
      <c r="I134" s="184">
        <v>279.67</v>
      </c>
      <c r="J134" s="184">
        <v>284.39999999999998</v>
      </c>
      <c r="K134" s="184">
        <v>289.14</v>
      </c>
      <c r="L134" s="184">
        <v>293.87</v>
      </c>
      <c r="M134" s="184">
        <v>298.60000000000002</v>
      </c>
      <c r="N134" s="184">
        <v>303.33</v>
      </c>
      <c r="O134" s="136">
        <v>288.04000000000002</v>
      </c>
      <c r="P134" s="136">
        <v>292.77</v>
      </c>
      <c r="Q134" s="136">
        <v>297.5</v>
      </c>
      <c r="R134" s="136">
        <v>302.23</v>
      </c>
      <c r="S134" s="136">
        <v>217.06</v>
      </c>
      <c r="T134" s="136">
        <v>212.32</v>
      </c>
      <c r="U134" s="136">
        <v>207.59</v>
      </c>
      <c r="V134" s="136">
        <v>202.86</v>
      </c>
      <c r="W134" s="136">
        <v>199.56</v>
      </c>
      <c r="X134" s="7">
        <v>130</v>
      </c>
      <c r="Y134" s="136">
        <v>136.37</v>
      </c>
      <c r="Z134" s="136">
        <v>139.71</v>
      </c>
      <c r="AA134" s="2">
        <v>143.05000000000001</v>
      </c>
      <c r="AB134" s="15">
        <v>146.38999999999999</v>
      </c>
      <c r="AC134" s="3">
        <v>149.74</v>
      </c>
      <c r="AD134" s="188">
        <v>166.65</v>
      </c>
      <c r="AE134" s="189">
        <v>169.99</v>
      </c>
      <c r="AF134" s="189">
        <v>173.33</v>
      </c>
      <c r="AG134" s="201">
        <v>176.67</v>
      </c>
      <c r="AH134" s="190">
        <v>180.01</v>
      </c>
      <c r="AI134" s="184">
        <v>183.35</v>
      </c>
      <c r="AJ134" s="184">
        <v>186.69</v>
      </c>
      <c r="AK134" s="184">
        <v>190.03</v>
      </c>
      <c r="AL134" s="184">
        <v>193.38</v>
      </c>
      <c r="AM134" s="184">
        <v>196.72</v>
      </c>
      <c r="AN134" s="184">
        <v>200.06</v>
      </c>
      <c r="AO134" s="136">
        <v>189.83</v>
      </c>
      <c r="AP134" s="136">
        <v>193.17</v>
      </c>
      <c r="AQ134" s="136">
        <v>196.51</v>
      </c>
      <c r="AR134" s="136">
        <v>199.85</v>
      </c>
      <c r="AS134" s="136">
        <v>139.71</v>
      </c>
      <c r="AT134" s="136">
        <v>136.37</v>
      </c>
      <c r="AU134" s="136">
        <v>133.03</v>
      </c>
      <c r="AV134" s="136">
        <v>129.69</v>
      </c>
      <c r="AW134" s="136">
        <v>126.35</v>
      </c>
    </row>
    <row r="135" spans="1:49" x14ac:dyDescent="0.45">
      <c r="A135" s="2">
        <v>223.4</v>
      </c>
      <c r="B135" s="15">
        <v>228.17</v>
      </c>
      <c r="C135" s="3">
        <v>232.94</v>
      </c>
      <c r="D135" s="188">
        <v>257.86</v>
      </c>
      <c r="E135" s="189">
        <v>262.62</v>
      </c>
      <c r="F135" s="189">
        <v>267.39</v>
      </c>
      <c r="G135" s="189">
        <v>272.16000000000003</v>
      </c>
      <c r="H135" s="190">
        <v>276.93</v>
      </c>
      <c r="I135" s="184">
        <v>281.7</v>
      </c>
      <c r="J135" s="184">
        <v>286.47000000000003</v>
      </c>
      <c r="K135" s="184">
        <v>291.24</v>
      </c>
      <c r="L135" s="184">
        <v>296</v>
      </c>
      <c r="M135" s="184">
        <v>300.77</v>
      </c>
      <c r="N135" s="184">
        <v>305.54000000000002</v>
      </c>
      <c r="O135" s="136">
        <v>290.16000000000003</v>
      </c>
      <c r="P135" s="136">
        <v>294.92</v>
      </c>
      <c r="Q135" s="136">
        <v>299.69</v>
      </c>
      <c r="R135" s="136">
        <v>304.45999999999998</v>
      </c>
      <c r="S135" s="136">
        <v>218.63</v>
      </c>
      <c r="T135" s="136">
        <v>213.86</v>
      </c>
      <c r="U135" s="136">
        <v>209.09</v>
      </c>
      <c r="V135" s="136">
        <v>204.32</v>
      </c>
      <c r="W135" s="136">
        <v>201.16</v>
      </c>
      <c r="X135" s="7">
        <v>131</v>
      </c>
      <c r="Y135" s="136">
        <v>137.38999999999999</v>
      </c>
      <c r="Z135" s="136">
        <v>140.76</v>
      </c>
      <c r="AA135" s="2">
        <v>144.13</v>
      </c>
      <c r="AB135" s="15">
        <v>147.49</v>
      </c>
      <c r="AC135" s="3">
        <v>150.86000000000001</v>
      </c>
      <c r="AD135" s="188">
        <v>167.89</v>
      </c>
      <c r="AE135" s="189">
        <v>171.26</v>
      </c>
      <c r="AF135" s="189">
        <v>174.63</v>
      </c>
      <c r="AG135" s="201">
        <v>177.99</v>
      </c>
      <c r="AH135" s="190">
        <v>181.36</v>
      </c>
      <c r="AI135" s="184">
        <v>184.73</v>
      </c>
      <c r="AJ135" s="184">
        <v>188.09</v>
      </c>
      <c r="AK135" s="184">
        <v>191.46</v>
      </c>
      <c r="AL135" s="184">
        <v>194.83</v>
      </c>
      <c r="AM135" s="184">
        <v>198.19</v>
      </c>
      <c r="AN135" s="184">
        <v>201.56</v>
      </c>
      <c r="AO135" s="136">
        <v>191.26</v>
      </c>
      <c r="AP135" s="136">
        <v>194.63</v>
      </c>
      <c r="AQ135" s="136">
        <v>197.99</v>
      </c>
      <c r="AR135" s="136">
        <v>201.36</v>
      </c>
      <c r="AS135" s="136">
        <v>140.76</v>
      </c>
      <c r="AT135" s="136">
        <v>137.38999999999999</v>
      </c>
      <c r="AU135" s="136">
        <v>134.03</v>
      </c>
      <c r="AV135" s="136">
        <v>130.66</v>
      </c>
      <c r="AW135" s="136">
        <v>127.29</v>
      </c>
    </row>
    <row r="136" spans="1:49" x14ac:dyDescent="0.45">
      <c r="A136" s="2">
        <v>225.18</v>
      </c>
      <c r="B136" s="15">
        <v>229.99</v>
      </c>
      <c r="C136" s="3">
        <v>234.79</v>
      </c>
      <c r="D136" s="188">
        <v>259.92</v>
      </c>
      <c r="E136" s="189">
        <v>264.73</v>
      </c>
      <c r="F136" s="189">
        <v>269.52999999999997</v>
      </c>
      <c r="G136" s="189">
        <v>274.33999999999997</v>
      </c>
      <c r="H136" s="190">
        <v>279.14</v>
      </c>
      <c r="I136" s="184">
        <v>283.95</v>
      </c>
      <c r="J136" s="184">
        <v>288.75</v>
      </c>
      <c r="K136" s="184">
        <v>293.56</v>
      </c>
      <c r="L136" s="184">
        <v>298.36</v>
      </c>
      <c r="M136" s="184">
        <v>303.17</v>
      </c>
      <c r="N136" s="184">
        <v>307.97000000000003</v>
      </c>
      <c r="O136" s="136">
        <v>292.45</v>
      </c>
      <c r="P136" s="136">
        <v>297.25</v>
      </c>
      <c r="Q136" s="136">
        <v>302.06</v>
      </c>
      <c r="R136" s="136">
        <v>306.86</v>
      </c>
      <c r="S136" s="136">
        <v>220.38</v>
      </c>
      <c r="T136" s="136">
        <v>215.57</v>
      </c>
      <c r="U136" s="136">
        <v>210.77</v>
      </c>
      <c r="V136" s="136">
        <v>205.96</v>
      </c>
      <c r="W136" s="136">
        <v>202.59</v>
      </c>
      <c r="X136" s="7">
        <v>132</v>
      </c>
      <c r="Y136" s="136">
        <v>138.41999999999999</v>
      </c>
      <c r="Z136" s="136">
        <v>141.81</v>
      </c>
      <c r="AA136" s="2">
        <v>145.19999999999999</v>
      </c>
      <c r="AB136" s="15">
        <v>148.59</v>
      </c>
      <c r="AC136" s="3">
        <v>151.99</v>
      </c>
      <c r="AD136" s="188">
        <v>169.14</v>
      </c>
      <c r="AE136" s="189">
        <v>172.53</v>
      </c>
      <c r="AF136" s="189">
        <v>175.92</v>
      </c>
      <c r="AG136" s="201">
        <v>179.32</v>
      </c>
      <c r="AH136" s="190">
        <v>182.71</v>
      </c>
      <c r="AI136" s="184">
        <v>186.1</v>
      </c>
      <c r="AJ136" s="184">
        <v>189.49</v>
      </c>
      <c r="AK136" s="184">
        <v>192.89</v>
      </c>
      <c r="AL136" s="184">
        <v>196.28</v>
      </c>
      <c r="AM136" s="184">
        <v>199.67</v>
      </c>
      <c r="AN136" s="184">
        <v>203.06</v>
      </c>
      <c r="AO136" s="136">
        <v>192.7</v>
      </c>
      <c r="AP136" s="136">
        <v>196.09</v>
      </c>
      <c r="AQ136" s="136">
        <v>199.48</v>
      </c>
      <c r="AR136" s="136">
        <v>202.87</v>
      </c>
      <c r="AS136" s="136">
        <v>141.81</v>
      </c>
      <c r="AT136" s="136">
        <v>138.41999999999999</v>
      </c>
      <c r="AU136" s="136">
        <v>135.03</v>
      </c>
      <c r="AV136" s="136">
        <v>131.63</v>
      </c>
      <c r="AW136" s="136">
        <v>128.24</v>
      </c>
    </row>
    <row r="137" spans="1:49" x14ac:dyDescent="0.45">
      <c r="A137" s="2">
        <v>226.79</v>
      </c>
      <c r="B137" s="15">
        <v>231.64</v>
      </c>
      <c r="C137" s="3">
        <v>236.48</v>
      </c>
      <c r="D137" s="188">
        <v>261.77</v>
      </c>
      <c r="E137" s="189">
        <v>266.62</v>
      </c>
      <c r="F137" s="189">
        <v>271.45999999999998</v>
      </c>
      <c r="G137" s="189">
        <v>276.3</v>
      </c>
      <c r="H137" s="190">
        <v>281.14</v>
      </c>
      <c r="I137" s="184">
        <v>285.98</v>
      </c>
      <c r="J137" s="184">
        <v>290.82</v>
      </c>
      <c r="K137" s="184">
        <v>295.66000000000003</v>
      </c>
      <c r="L137" s="184">
        <v>300.5</v>
      </c>
      <c r="M137" s="184">
        <v>305.35000000000002</v>
      </c>
      <c r="N137" s="184">
        <v>310.19</v>
      </c>
      <c r="O137" s="136">
        <v>294.57</v>
      </c>
      <c r="P137" s="136">
        <v>299.41000000000003</v>
      </c>
      <c r="Q137" s="136">
        <v>304.25</v>
      </c>
      <c r="R137" s="136">
        <v>309.10000000000002</v>
      </c>
      <c r="S137" s="136">
        <v>221.95</v>
      </c>
      <c r="T137" s="136">
        <v>217.11</v>
      </c>
      <c r="U137" s="136">
        <v>212.27</v>
      </c>
      <c r="V137" s="136">
        <v>207.43</v>
      </c>
      <c r="W137" s="136">
        <v>204.2</v>
      </c>
      <c r="X137" s="7">
        <v>133</v>
      </c>
      <c r="Y137" s="136">
        <v>139.49</v>
      </c>
      <c r="Z137" s="136">
        <v>142.91</v>
      </c>
      <c r="AA137" s="2">
        <v>146.33000000000001</v>
      </c>
      <c r="AB137" s="15">
        <v>149.75</v>
      </c>
      <c r="AC137" s="3">
        <v>153.16</v>
      </c>
      <c r="AD137" s="188">
        <v>170.45</v>
      </c>
      <c r="AE137" s="189">
        <v>173.87</v>
      </c>
      <c r="AF137" s="189">
        <v>177.29</v>
      </c>
      <c r="AG137" s="201">
        <v>180.71</v>
      </c>
      <c r="AH137" s="190">
        <v>184.13</v>
      </c>
      <c r="AI137" s="184">
        <v>187.55</v>
      </c>
      <c r="AJ137" s="184">
        <v>190.96</v>
      </c>
      <c r="AK137" s="184">
        <v>194.38</v>
      </c>
      <c r="AL137" s="184">
        <v>197.8</v>
      </c>
      <c r="AM137" s="184">
        <v>201.22</v>
      </c>
      <c r="AN137" s="184">
        <v>204.64</v>
      </c>
      <c r="AO137" s="136">
        <v>194.18</v>
      </c>
      <c r="AP137" s="136">
        <v>197.6</v>
      </c>
      <c r="AQ137" s="136">
        <v>201.02</v>
      </c>
      <c r="AR137" s="136">
        <v>204.43</v>
      </c>
      <c r="AS137" s="136">
        <v>142.91</v>
      </c>
      <c r="AT137" s="136">
        <v>139.49</v>
      </c>
      <c r="AU137" s="136">
        <v>136.07</v>
      </c>
      <c r="AV137" s="136">
        <v>132.65</v>
      </c>
      <c r="AW137" s="136">
        <v>129.24</v>
      </c>
    </row>
    <row r="138" spans="1:49" x14ac:dyDescent="0.45">
      <c r="A138" s="2">
        <v>228.59</v>
      </c>
      <c r="B138" s="15">
        <v>233.46</v>
      </c>
      <c r="C138" s="3">
        <v>238.34</v>
      </c>
      <c r="D138" s="188">
        <v>263.85000000000002</v>
      </c>
      <c r="E138" s="189">
        <v>268.73</v>
      </c>
      <c r="F138" s="189">
        <v>273.61</v>
      </c>
      <c r="G138" s="189">
        <v>278.49</v>
      </c>
      <c r="H138" s="190">
        <v>283.36</v>
      </c>
      <c r="I138" s="184">
        <v>288.24</v>
      </c>
      <c r="J138" s="184">
        <v>293.12</v>
      </c>
      <c r="K138" s="184">
        <v>298</v>
      </c>
      <c r="L138" s="184">
        <v>302.88</v>
      </c>
      <c r="M138" s="184">
        <v>307.75</v>
      </c>
      <c r="N138" s="184">
        <v>312.63</v>
      </c>
      <c r="O138" s="136">
        <v>296.87</v>
      </c>
      <c r="P138" s="136">
        <v>301.75</v>
      </c>
      <c r="Q138" s="136">
        <v>306.63</v>
      </c>
      <c r="R138" s="136">
        <v>311.51</v>
      </c>
      <c r="S138" s="136">
        <v>223.71</v>
      </c>
      <c r="T138" s="136">
        <v>218.83</v>
      </c>
      <c r="U138" s="136">
        <v>213.95</v>
      </c>
      <c r="V138" s="136">
        <v>209.08</v>
      </c>
      <c r="W138" s="136">
        <v>205.64</v>
      </c>
      <c r="X138" s="7">
        <v>134</v>
      </c>
      <c r="Y138" s="136">
        <v>140.52000000000001</v>
      </c>
      <c r="Z138" s="136">
        <v>143.96</v>
      </c>
      <c r="AA138" s="2">
        <v>147.4</v>
      </c>
      <c r="AB138" s="15">
        <v>150.85</v>
      </c>
      <c r="AC138" s="3">
        <v>154.29</v>
      </c>
      <c r="AD138" s="188">
        <v>171.7</v>
      </c>
      <c r="AE138" s="189">
        <v>175.15</v>
      </c>
      <c r="AF138" s="189">
        <v>178.59</v>
      </c>
      <c r="AG138" s="201">
        <v>182.03</v>
      </c>
      <c r="AH138" s="190">
        <v>185.48</v>
      </c>
      <c r="AI138" s="184">
        <v>188.92</v>
      </c>
      <c r="AJ138" s="184">
        <v>192.37</v>
      </c>
      <c r="AK138" s="184">
        <v>195.81</v>
      </c>
      <c r="AL138" s="184">
        <v>199.25</v>
      </c>
      <c r="AM138" s="184">
        <v>202.7</v>
      </c>
      <c r="AN138" s="184">
        <v>206.14</v>
      </c>
      <c r="AO138" s="136">
        <v>195.62</v>
      </c>
      <c r="AP138" s="136">
        <v>199.06</v>
      </c>
      <c r="AQ138" s="136">
        <v>202.5</v>
      </c>
      <c r="AR138" s="136">
        <v>205.95</v>
      </c>
      <c r="AS138" s="136">
        <v>143.96</v>
      </c>
      <c r="AT138" s="136">
        <v>140.52000000000001</v>
      </c>
      <c r="AU138" s="136">
        <v>137.07</v>
      </c>
      <c r="AV138" s="136">
        <v>133.63</v>
      </c>
      <c r="AW138" s="136">
        <v>130.18</v>
      </c>
    </row>
    <row r="139" spans="1:49" x14ac:dyDescent="0.45">
      <c r="A139" s="2">
        <v>230.21</v>
      </c>
      <c r="B139" s="15">
        <v>235.12</v>
      </c>
      <c r="C139" s="3">
        <v>240.03</v>
      </c>
      <c r="D139" s="188">
        <v>265.70999999999998</v>
      </c>
      <c r="E139" s="189">
        <v>270.63</v>
      </c>
      <c r="F139" s="189">
        <v>275.54000000000002</v>
      </c>
      <c r="G139" s="189">
        <v>280.45</v>
      </c>
      <c r="H139" s="190">
        <v>285.37</v>
      </c>
      <c r="I139" s="184">
        <v>290.27999999999997</v>
      </c>
      <c r="J139" s="184">
        <v>295.2</v>
      </c>
      <c r="K139" s="184">
        <v>300.11</v>
      </c>
      <c r="L139" s="184">
        <v>305.02</v>
      </c>
      <c r="M139" s="184">
        <v>309.94</v>
      </c>
      <c r="N139" s="184">
        <v>314.85000000000002</v>
      </c>
      <c r="O139" s="136">
        <v>299</v>
      </c>
      <c r="P139" s="136">
        <v>303.92</v>
      </c>
      <c r="Q139" s="136">
        <v>308.83</v>
      </c>
      <c r="R139" s="136">
        <v>313.74</v>
      </c>
      <c r="S139" s="136">
        <v>225.29</v>
      </c>
      <c r="T139" s="136">
        <v>220.38</v>
      </c>
      <c r="U139" s="136">
        <v>215.46</v>
      </c>
      <c r="V139" s="136">
        <v>210.55</v>
      </c>
      <c r="W139" s="136">
        <v>207.08</v>
      </c>
      <c r="X139" s="7">
        <v>135</v>
      </c>
      <c r="Y139" s="136">
        <v>141.59</v>
      </c>
      <c r="Z139" s="136">
        <v>145.06</v>
      </c>
      <c r="AA139" s="2">
        <v>148.53</v>
      </c>
      <c r="AB139" s="15">
        <v>152</v>
      </c>
      <c r="AC139" s="3">
        <v>155.47</v>
      </c>
      <c r="AD139" s="188">
        <v>173.02</v>
      </c>
      <c r="AE139" s="189">
        <v>176.49</v>
      </c>
      <c r="AF139" s="189">
        <v>179.96</v>
      </c>
      <c r="AG139" s="201">
        <v>183.43</v>
      </c>
      <c r="AH139" s="190">
        <v>186.9</v>
      </c>
      <c r="AI139" s="184">
        <v>190.37</v>
      </c>
      <c r="AJ139" s="184">
        <v>193.84</v>
      </c>
      <c r="AK139" s="184">
        <v>197.31</v>
      </c>
      <c r="AL139" s="184">
        <v>200.78</v>
      </c>
      <c r="AM139" s="184">
        <v>204.25</v>
      </c>
      <c r="AN139" s="184">
        <v>207.72</v>
      </c>
      <c r="AO139" s="136">
        <v>197.1</v>
      </c>
      <c r="AP139" s="136">
        <v>200.57</v>
      </c>
      <c r="AQ139" s="136">
        <v>204.04</v>
      </c>
      <c r="AR139" s="136">
        <v>207.51</v>
      </c>
      <c r="AS139" s="136">
        <v>145.06</v>
      </c>
      <c r="AT139" s="136">
        <v>141.59</v>
      </c>
      <c r="AU139" s="136">
        <v>138.12</v>
      </c>
      <c r="AV139" s="136">
        <v>134.65</v>
      </c>
      <c r="AW139" s="136">
        <v>131.18</v>
      </c>
    </row>
    <row r="140" spans="1:49" x14ac:dyDescent="0.45">
      <c r="A140" s="2">
        <v>231.83</v>
      </c>
      <c r="B140" s="15">
        <v>236.78</v>
      </c>
      <c r="C140" s="3">
        <v>241.73</v>
      </c>
      <c r="D140" s="188">
        <v>267.57</v>
      </c>
      <c r="E140" s="189">
        <v>272.52</v>
      </c>
      <c r="F140" s="189">
        <v>277.47000000000003</v>
      </c>
      <c r="G140" s="189">
        <v>282.42</v>
      </c>
      <c r="H140" s="190">
        <v>287.37</v>
      </c>
      <c r="I140" s="184">
        <v>292.33</v>
      </c>
      <c r="J140" s="184">
        <v>297.27999999999997</v>
      </c>
      <c r="K140" s="184">
        <v>302.23</v>
      </c>
      <c r="L140" s="184">
        <v>307.18</v>
      </c>
      <c r="M140" s="184">
        <v>312.13</v>
      </c>
      <c r="N140" s="184">
        <v>317.08</v>
      </c>
      <c r="O140" s="136">
        <v>301.13</v>
      </c>
      <c r="P140" s="136">
        <v>306.08</v>
      </c>
      <c r="Q140" s="136">
        <v>311.02999999999997</v>
      </c>
      <c r="R140" s="136">
        <v>315.98</v>
      </c>
      <c r="S140" s="136">
        <v>226.88</v>
      </c>
      <c r="T140" s="136">
        <v>221.93</v>
      </c>
      <c r="U140" s="136">
        <v>216.98</v>
      </c>
      <c r="V140" s="136">
        <v>212.03</v>
      </c>
      <c r="W140" s="136">
        <v>208.7</v>
      </c>
      <c r="X140" s="7">
        <v>136</v>
      </c>
      <c r="Y140" s="136">
        <v>142.62</v>
      </c>
      <c r="Z140" s="136">
        <v>146.11000000000001</v>
      </c>
      <c r="AA140" s="2">
        <v>149.61000000000001</v>
      </c>
      <c r="AB140" s="15">
        <v>153.1</v>
      </c>
      <c r="AC140" s="3">
        <v>156.6</v>
      </c>
      <c r="AD140" s="188">
        <v>174.27</v>
      </c>
      <c r="AE140" s="189">
        <v>177.77</v>
      </c>
      <c r="AF140" s="189">
        <v>181.26</v>
      </c>
      <c r="AG140" s="201">
        <v>184.76</v>
      </c>
      <c r="AH140" s="190">
        <v>188.25</v>
      </c>
      <c r="AI140" s="184">
        <v>191.75</v>
      </c>
      <c r="AJ140" s="184">
        <v>195.24</v>
      </c>
      <c r="AK140" s="184">
        <v>198.74</v>
      </c>
      <c r="AL140" s="184">
        <v>202.23</v>
      </c>
      <c r="AM140" s="184">
        <v>205.73</v>
      </c>
      <c r="AN140" s="184">
        <v>209.22</v>
      </c>
      <c r="AO140" s="136">
        <v>198.54</v>
      </c>
      <c r="AP140" s="136">
        <v>202.04</v>
      </c>
      <c r="AQ140" s="136">
        <v>205.53</v>
      </c>
      <c r="AR140" s="136">
        <v>209.03</v>
      </c>
      <c r="AS140" s="136">
        <v>146.11000000000001</v>
      </c>
      <c r="AT140" s="136">
        <v>142.62</v>
      </c>
      <c r="AU140" s="136">
        <v>139.12</v>
      </c>
      <c r="AV140" s="136">
        <v>135.63</v>
      </c>
      <c r="AW140" s="136">
        <v>132.13</v>
      </c>
    </row>
    <row r="141" spans="1:49" x14ac:dyDescent="0.45">
      <c r="A141" s="2">
        <v>233.63</v>
      </c>
      <c r="B141" s="15">
        <v>238.62</v>
      </c>
      <c r="C141" s="3">
        <v>243.61</v>
      </c>
      <c r="D141" s="188">
        <v>269.67</v>
      </c>
      <c r="E141" s="189">
        <v>274.66000000000003</v>
      </c>
      <c r="F141" s="189">
        <v>279.64999999999998</v>
      </c>
      <c r="G141" s="189">
        <v>284.63</v>
      </c>
      <c r="H141" s="190">
        <v>289.62</v>
      </c>
      <c r="I141" s="184">
        <v>294.61</v>
      </c>
      <c r="J141" s="184">
        <v>299.58999999999997</v>
      </c>
      <c r="K141" s="184">
        <v>304.58</v>
      </c>
      <c r="L141" s="184">
        <v>309.57</v>
      </c>
      <c r="M141" s="184">
        <v>314.55</v>
      </c>
      <c r="N141" s="184">
        <v>319.54000000000002</v>
      </c>
      <c r="O141" s="136">
        <v>303.45</v>
      </c>
      <c r="P141" s="136">
        <v>308.44</v>
      </c>
      <c r="Q141" s="136">
        <v>313.42</v>
      </c>
      <c r="R141" s="136">
        <v>318.41000000000003</v>
      </c>
      <c r="S141" s="136">
        <v>228.65</v>
      </c>
      <c r="T141" s="136">
        <v>223.66</v>
      </c>
      <c r="U141" s="136">
        <v>218.67</v>
      </c>
      <c r="V141" s="136">
        <v>213.69</v>
      </c>
      <c r="W141" s="136">
        <v>210</v>
      </c>
      <c r="X141" s="7">
        <v>137</v>
      </c>
      <c r="Y141" s="136">
        <v>143.69999999999999</v>
      </c>
      <c r="Z141" s="136">
        <v>147.22</v>
      </c>
      <c r="AA141" s="2">
        <v>150.74</v>
      </c>
      <c r="AB141" s="15">
        <v>154.26</v>
      </c>
      <c r="AC141" s="3">
        <v>157.78</v>
      </c>
      <c r="AD141" s="188">
        <v>175.6</v>
      </c>
      <c r="AE141" s="189">
        <v>179.12</v>
      </c>
      <c r="AF141" s="189">
        <v>182.64</v>
      </c>
      <c r="AG141" s="201">
        <v>186.16</v>
      </c>
      <c r="AH141" s="190">
        <v>189.68</v>
      </c>
      <c r="AI141" s="184">
        <v>193.2</v>
      </c>
      <c r="AJ141" s="184">
        <v>196.72</v>
      </c>
      <c r="AK141" s="184">
        <v>200.24</v>
      </c>
      <c r="AL141" s="184">
        <v>203.76</v>
      </c>
      <c r="AM141" s="184">
        <v>207.29</v>
      </c>
      <c r="AN141" s="184">
        <v>210.81</v>
      </c>
      <c r="AO141" s="136">
        <v>200.03</v>
      </c>
      <c r="AP141" s="136">
        <v>203.55</v>
      </c>
      <c r="AQ141" s="136">
        <v>207.07</v>
      </c>
      <c r="AR141" s="136">
        <v>210.59</v>
      </c>
      <c r="AS141" s="136">
        <v>147.22</v>
      </c>
      <c r="AT141" s="136">
        <v>143.69999999999999</v>
      </c>
      <c r="AU141" s="136">
        <v>140.18</v>
      </c>
      <c r="AV141" s="136">
        <v>136.66</v>
      </c>
      <c r="AW141" s="136">
        <v>133.13</v>
      </c>
    </row>
    <row r="142" spans="1:49" x14ac:dyDescent="0.45">
      <c r="A142" s="2">
        <v>235.26</v>
      </c>
      <c r="B142" s="15">
        <v>240.28</v>
      </c>
      <c r="C142" s="3">
        <v>245.31</v>
      </c>
      <c r="D142" s="188">
        <v>271.54000000000002</v>
      </c>
      <c r="E142" s="189">
        <v>276.56</v>
      </c>
      <c r="F142" s="189">
        <v>281.58999999999997</v>
      </c>
      <c r="G142" s="189">
        <v>286.61</v>
      </c>
      <c r="H142" s="190">
        <v>291.63</v>
      </c>
      <c r="I142" s="184">
        <v>296.66000000000003</v>
      </c>
      <c r="J142" s="184">
        <v>301.68</v>
      </c>
      <c r="K142" s="184">
        <v>306.7</v>
      </c>
      <c r="L142" s="184">
        <v>311.73</v>
      </c>
      <c r="M142" s="184">
        <v>316.75</v>
      </c>
      <c r="N142" s="184">
        <v>321.77</v>
      </c>
      <c r="O142" s="136">
        <v>305.58999999999997</v>
      </c>
      <c r="P142" s="136">
        <v>310.61</v>
      </c>
      <c r="Q142" s="136">
        <v>615.63</v>
      </c>
      <c r="R142" s="136">
        <v>320.66000000000003</v>
      </c>
      <c r="S142" s="136">
        <v>230.24</v>
      </c>
      <c r="T142" s="136">
        <v>225.22</v>
      </c>
      <c r="U142" s="136">
        <v>220.19</v>
      </c>
      <c r="V142" s="136">
        <v>215.17</v>
      </c>
      <c r="W142" s="136">
        <v>15</v>
      </c>
      <c r="X142" s="7">
        <v>138</v>
      </c>
      <c r="Y142" s="136">
        <v>144.72999999999999</v>
      </c>
      <c r="Z142" s="136">
        <v>148.27000000000001</v>
      </c>
      <c r="AA142" s="2">
        <v>151.82</v>
      </c>
      <c r="AB142" s="15">
        <v>155.37</v>
      </c>
      <c r="AC142" s="3">
        <v>158.91</v>
      </c>
      <c r="AD142" s="188">
        <v>176.85</v>
      </c>
      <c r="AE142" s="189">
        <v>180.4</v>
      </c>
      <c r="AF142" s="189">
        <v>183.94</v>
      </c>
      <c r="AG142" s="201">
        <v>187.49</v>
      </c>
      <c r="AH142" s="190">
        <v>191.04</v>
      </c>
      <c r="AI142" s="184">
        <v>194.58</v>
      </c>
      <c r="AJ142" s="184">
        <v>198.13</v>
      </c>
      <c r="AK142" s="184">
        <v>201.68</v>
      </c>
      <c r="AL142" s="184">
        <v>205.22</v>
      </c>
      <c r="AM142" s="184">
        <v>208.77</v>
      </c>
      <c r="AN142" s="184">
        <v>212.32</v>
      </c>
      <c r="AO142" s="136">
        <v>201.47</v>
      </c>
      <c r="AP142" s="136">
        <v>205.02</v>
      </c>
      <c r="AQ142" s="136">
        <v>208.56</v>
      </c>
      <c r="AR142" s="136">
        <v>212.11</v>
      </c>
      <c r="AS142" s="136">
        <v>148.27000000000001</v>
      </c>
      <c r="AT142" s="136">
        <v>144.72999999999999</v>
      </c>
      <c r="AU142" s="136">
        <v>141.18</v>
      </c>
      <c r="AV142" s="136">
        <v>137.63</v>
      </c>
      <c r="AW142" s="136">
        <v>134.09</v>
      </c>
    </row>
    <row r="143" spans="1:49" x14ac:dyDescent="0.45">
      <c r="A143" s="2">
        <v>237.08</v>
      </c>
      <c r="B143" s="15">
        <v>242.14</v>
      </c>
      <c r="C143" s="3">
        <v>247.2</v>
      </c>
      <c r="D143" s="188">
        <v>273.64999999999998</v>
      </c>
      <c r="E143" s="189">
        <v>278.70999999999998</v>
      </c>
      <c r="F143" s="189">
        <v>283.77</v>
      </c>
      <c r="G143" s="189">
        <v>288.83</v>
      </c>
      <c r="H143" s="190">
        <v>293.89</v>
      </c>
      <c r="I143" s="184">
        <v>298.95</v>
      </c>
      <c r="J143" s="184">
        <v>304.01</v>
      </c>
      <c r="K143" s="184">
        <v>309.07</v>
      </c>
      <c r="L143" s="184">
        <v>314.13</v>
      </c>
      <c r="M143" s="184">
        <v>319.19</v>
      </c>
      <c r="N143" s="184">
        <v>324.25</v>
      </c>
      <c r="O143" s="136">
        <v>307.91000000000003</v>
      </c>
      <c r="P143" s="136">
        <v>312.97000000000003</v>
      </c>
      <c r="Q143" s="136">
        <v>318.02999999999997</v>
      </c>
      <c r="R143" s="136">
        <v>323.08999999999997</v>
      </c>
      <c r="S143" s="136">
        <v>232.02</v>
      </c>
      <c r="T143" s="136">
        <v>226.96</v>
      </c>
      <c r="U143" s="136">
        <v>221.9</v>
      </c>
      <c r="V143" s="136">
        <v>216.84</v>
      </c>
      <c r="W143" s="136">
        <v>211.78</v>
      </c>
      <c r="X143" s="7">
        <v>139</v>
      </c>
      <c r="Y143" s="136">
        <v>145.75</v>
      </c>
      <c r="Z143" s="136">
        <v>149.33000000000001</v>
      </c>
      <c r="AA143" s="2">
        <v>152.9</v>
      </c>
      <c r="AB143" s="15">
        <v>156.47</v>
      </c>
      <c r="AC143" s="3">
        <v>160.04</v>
      </c>
      <c r="AD143" s="188">
        <v>178.1</v>
      </c>
      <c r="AE143" s="189">
        <v>181.68</v>
      </c>
      <c r="AF143" s="189">
        <v>185.25</v>
      </c>
      <c r="AG143" s="201">
        <v>188.82</v>
      </c>
      <c r="AH143" s="190">
        <v>192.39</v>
      </c>
      <c r="AI143" s="184">
        <v>195.96</v>
      </c>
      <c r="AJ143" s="184">
        <v>199.54</v>
      </c>
      <c r="AK143" s="184">
        <v>203.11</v>
      </c>
      <c r="AL143" s="184">
        <v>206.68</v>
      </c>
      <c r="AM143" s="184">
        <v>210.25</v>
      </c>
      <c r="AN143" s="184">
        <v>213.83</v>
      </c>
      <c r="AO143" s="136">
        <v>202.91</v>
      </c>
      <c r="AP143" s="136">
        <v>206.48</v>
      </c>
      <c r="AQ143" s="136">
        <v>210.06</v>
      </c>
      <c r="AR143" s="136">
        <v>213.63</v>
      </c>
      <c r="AS143" s="136">
        <v>149.33000000000001</v>
      </c>
      <c r="AT143" s="136">
        <v>145.75</v>
      </c>
      <c r="AU143" s="136">
        <v>142.18</v>
      </c>
      <c r="AV143" s="136">
        <v>138.61000000000001</v>
      </c>
      <c r="AW143" s="136">
        <v>135.04</v>
      </c>
    </row>
    <row r="144" spans="1:49" x14ac:dyDescent="0.45">
      <c r="A144" s="2">
        <v>238.71</v>
      </c>
      <c r="B144" s="15">
        <v>243.81</v>
      </c>
      <c r="C144" s="3">
        <v>248.9</v>
      </c>
      <c r="D144" s="188">
        <v>275.52999999999997</v>
      </c>
      <c r="E144" s="189">
        <v>280.62</v>
      </c>
      <c r="F144" s="189">
        <v>285.72000000000003</v>
      </c>
      <c r="G144" s="189">
        <v>290.82</v>
      </c>
      <c r="H144" s="190">
        <v>295.91000000000003</v>
      </c>
      <c r="I144" s="184">
        <v>301.01</v>
      </c>
      <c r="J144" s="184">
        <v>306.10000000000002</v>
      </c>
      <c r="K144" s="184">
        <v>311.2</v>
      </c>
      <c r="L144" s="184">
        <v>316.3</v>
      </c>
      <c r="M144" s="184">
        <v>321.39</v>
      </c>
      <c r="N144" s="184">
        <v>326.49</v>
      </c>
      <c r="O144" s="136">
        <v>310.06</v>
      </c>
      <c r="P144" s="136">
        <v>315.14999999999998</v>
      </c>
      <c r="Q144" s="136">
        <v>320.25</v>
      </c>
      <c r="R144" s="136">
        <v>325.33999999999997</v>
      </c>
      <c r="S144" s="136">
        <v>233.62</v>
      </c>
      <c r="T144" s="136">
        <v>228.52</v>
      </c>
      <c r="U144" s="136">
        <v>223.42</v>
      </c>
      <c r="V144" s="136">
        <v>218.33</v>
      </c>
      <c r="W144" s="136">
        <v>213.23</v>
      </c>
      <c r="X144" s="7">
        <v>140</v>
      </c>
      <c r="Y144" s="136">
        <v>146.77799999999999</v>
      </c>
      <c r="Z144" s="136">
        <v>150.38</v>
      </c>
      <c r="AA144" s="2">
        <v>153.97999999999999</v>
      </c>
      <c r="AB144" s="15">
        <v>157.58000000000001</v>
      </c>
      <c r="AC144" s="3">
        <v>161.18</v>
      </c>
      <c r="AD144" s="188">
        <v>179.36</v>
      </c>
      <c r="AE144" s="189">
        <v>182.96</v>
      </c>
      <c r="AF144" s="189">
        <v>186.55</v>
      </c>
      <c r="AG144" s="201">
        <v>190.15</v>
      </c>
      <c r="AH144" s="190">
        <v>193.75</v>
      </c>
      <c r="AI144" s="184">
        <v>197.35</v>
      </c>
      <c r="AJ144" s="184">
        <v>200.95</v>
      </c>
      <c r="AK144" s="184">
        <v>204.54</v>
      </c>
      <c r="AL144" s="184">
        <v>208.14</v>
      </c>
      <c r="AM144" s="184">
        <v>211.74</v>
      </c>
      <c r="AN144" s="184">
        <v>215.34</v>
      </c>
      <c r="AO144" s="136">
        <v>204.35</v>
      </c>
      <c r="AP144" s="136">
        <v>207.95</v>
      </c>
      <c r="AQ144" s="136">
        <v>211.55</v>
      </c>
      <c r="AR144" s="136">
        <v>215.15</v>
      </c>
      <c r="AS144" s="136">
        <v>150.38</v>
      </c>
      <c r="AT144" s="136">
        <v>146.77799999999999</v>
      </c>
      <c r="AU144" s="136">
        <v>143.19</v>
      </c>
      <c r="AV144" s="136">
        <v>139.59</v>
      </c>
      <c r="AW144" s="136">
        <v>135.99</v>
      </c>
    </row>
    <row r="145" spans="1:49" x14ac:dyDescent="0.45">
      <c r="A145" s="2">
        <v>240.35</v>
      </c>
      <c r="B145" s="15">
        <v>245.48</v>
      </c>
      <c r="C145" s="3">
        <v>250.61</v>
      </c>
      <c r="D145" s="188">
        <v>277.41000000000003</v>
      </c>
      <c r="E145" s="189">
        <v>282.54000000000002</v>
      </c>
      <c r="F145" s="189">
        <v>287.67</v>
      </c>
      <c r="G145" s="189">
        <v>292.8</v>
      </c>
      <c r="H145" s="190">
        <v>297.93</v>
      </c>
      <c r="I145" s="184">
        <v>303.07</v>
      </c>
      <c r="J145" s="184">
        <v>308.2</v>
      </c>
      <c r="K145" s="184">
        <v>313.33</v>
      </c>
      <c r="L145" s="184">
        <v>318.45999999999998</v>
      </c>
      <c r="M145" s="184">
        <v>323.60000000000002</v>
      </c>
      <c r="N145" s="184">
        <v>328.73</v>
      </c>
      <c r="O145" s="136">
        <v>312.2</v>
      </c>
      <c r="P145" s="136">
        <v>317.33</v>
      </c>
      <c r="Q145" s="136">
        <v>322.47000000000003</v>
      </c>
      <c r="R145" s="136">
        <v>327.60000000000002</v>
      </c>
      <c r="S145" s="136">
        <v>235.21</v>
      </c>
      <c r="T145" s="136">
        <v>230.08</v>
      </c>
      <c r="U145" s="136">
        <v>224.95</v>
      </c>
      <c r="V145" s="136">
        <v>219.82</v>
      </c>
      <c r="W145" s="136">
        <v>214.69</v>
      </c>
      <c r="X145" s="7">
        <v>141</v>
      </c>
      <c r="Y145" s="136">
        <v>147.87</v>
      </c>
      <c r="Z145" s="136">
        <v>151.49</v>
      </c>
      <c r="AA145" s="2">
        <v>155.12</v>
      </c>
      <c r="AB145" s="15">
        <v>158.74</v>
      </c>
      <c r="AC145" s="3">
        <v>162.36000000000001</v>
      </c>
      <c r="AD145" s="188">
        <v>180.69</v>
      </c>
      <c r="AE145" s="189">
        <v>184.31</v>
      </c>
      <c r="AF145" s="189">
        <v>187.94</v>
      </c>
      <c r="AG145" s="201">
        <v>191.56</v>
      </c>
      <c r="AH145" s="190">
        <v>195.18</v>
      </c>
      <c r="AI145" s="184">
        <v>198.81</v>
      </c>
      <c r="AJ145" s="184">
        <v>202.43</v>
      </c>
      <c r="AK145" s="184">
        <v>206.06</v>
      </c>
      <c r="AL145" s="184">
        <v>209.68</v>
      </c>
      <c r="AM145" s="184">
        <v>213.3</v>
      </c>
      <c r="AN145" s="184">
        <v>216.93</v>
      </c>
      <c r="AO145" s="136">
        <v>205.85</v>
      </c>
      <c r="AP145" s="136">
        <v>209.47</v>
      </c>
      <c r="AQ145" s="136">
        <v>213.09</v>
      </c>
      <c r="AR145" s="136">
        <v>216.72</v>
      </c>
      <c r="AS145" s="136">
        <v>151.49</v>
      </c>
      <c r="AT145" s="136">
        <v>147.87</v>
      </c>
      <c r="AU145" s="136">
        <v>144.24</v>
      </c>
      <c r="AV145" s="136">
        <v>140.62</v>
      </c>
      <c r="AW145" s="136">
        <v>137</v>
      </c>
    </row>
    <row r="146" spans="1:49" x14ac:dyDescent="0.45">
      <c r="A146" s="2">
        <v>242.18</v>
      </c>
      <c r="B146" s="15">
        <v>247.35</v>
      </c>
      <c r="C146" s="3">
        <v>252.52</v>
      </c>
      <c r="D146" s="188">
        <v>279.54000000000002</v>
      </c>
      <c r="E146" s="189">
        <v>284.70999999999998</v>
      </c>
      <c r="F146" s="189">
        <v>289.88</v>
      </c>
      <c r="G146" s="189">
        <v>295.05</v>
      </c>
      <c r="H146" s="190">
        <v>300.20999999999998</v>
      </c>
      <c r="I146" s="184">
        <v>305.38</v>
      </c>
      <c r="J146" s="184">
        <v>310.55</v>
      </c>
      <c r="K146" s="184">
        <v>315.72000000000003</v>
      </c>
      <c r="L146" s="184">
        <v>320.89</v>
      </c>
      <c r="M146" s="184">
        <v>326.06</v>
      </c>
      <c r="N146" s="184">
        <v>331.23</v>
      </c>
      <c r="O146" s="136">
        <v>314.54000000000002</v>
      </c>
      <c r="P146" s="136">
        <v>319.70999999999998</v>
      </c>
      <c r="Q146" s="136">
        <v>324.88</v>
      </c>
      <c r="R146" s="136">
        <v>330.05</v>
      </c>
      <c r="S146" s="136">
        <v>237.01</v>
      </c>
      <c r="T146" s="136">
        <v>231.84</v>
      </c>
      <c r="U146" s="136">
        <v>226.67</v>
      </c>
      <c r="V146" s="136">
        <v>221.51</v>
      </c>
      <c r="W146" s="136">
        <v>216.34</v>
      </c>
      <c r="X146" s="7">
        <v>142</v>
      </c>
      <c r="Y146" s="136">
        <v>148.9</v>
      </c>
      <c r="Z146" s="136">
        <v>152.55000000000001</v>
      </c>
      <c r="AA146" s="2">
        <v>156.19999999999999</v>
      </c>
      <c r="AB146" s="15">
        <v>159.85</v>
      </c>
      <c r="AC146" s="3">
        <v>163.5</v>
      </c>
      <c r="AD146" s="188">
        <v>181.95</v>
      </c>
      <c r="AE146" s="189">
        <v>185.6</v>
      </c>
      <c r="AF146" s="189">
        <v>189.24</v>
      </c>
      <c r="AG146" s="201">
        <v>192.89</v>
      </c>
      <c r="AH146" s="190">
        <v>196.54</v>
      </c>
      <c r="AI146" s="184">
        <v>200.19</v>
      </c>
      <c r="AJ146" s="184">
        <v>203.84</v>
      </c>
      <c r="AK146" s="184">
        <v>207.49</v>
      </c>
      <c r="AL146" s="184">
        <v>211.14</v>
      </c>
      <c r="AM146" s="184">
        <v>214.79</v>
      </c>
      <c r="AN146" s="184">
        <v>218.44</v>
      </c>
      <c r="AO146" s="136">
        <v>207.29</v>
      </c>
      <c r="AP146" s="136">
        <v>210.94</v>
      </c>
      <c r="AQ146" s="136">
        <v>214.59</v>
      </c>
      <c r="AR146" s="136">
        <v>218.24</v>
      </c>
      <c r="AS146" s="136">
        <v>152.55000000000001</v>
      </c>
      <c r="AT146" s="136">
        <v>148.9</v>
      </c>
      <c r="AU146" s="136">
        <v>145.285</v>
      </c>
      <c r="AV146" s="136">
        <v>141.6</v>
      </c>
      <c r="AW146" s="136">
        <v>137.94999999999999</v>
      </c>
    </row>
    <row r="147" spans="1:49" x14ac:dyDescent="0.45">
      <c r="A147" s="2">
        <v>243.82</v>
      </c>
      <c r="B147" s="15">
        <v>249.03</v>
      </c>
      <c r="C147" s="3">
        <v>254.23</v>
      </c>
      <c r="D147" s="188">
        <v>281.42</v>
      </c>
      <c r="E147" s="189">
        <v>286.63</v>
      </c>
      <c r="F147" s="189">
        <v>291.83</v>
      </c>
      <c r="G147" s="189">
        <v>297.04000000000002</v>
      </c>
      <c r="H147" s="190">
        <v>302.25</v>
      </c>
      <c r="I147" s="184">
        <v>307.45</v>
      </c>
      <c r="J147" s="184">
        <v>312.66000000000003</v>
      </c>
      <c r="K147" s="184">
        <v>317.86</v>
      </c>
      <c r="L147" s="184">
        <v>323.07</v>
      </c>
      <c r="M147" s="184">
        <v>328.27</v>
      </c>
      <c r="N147" s="184">
        <v>333.48</v>
      </c>
      <c r="O147" s="136">
        <v>316.69</v>
      </c>
      <c r="P147" s="136">
        <v>321.89999999999998</v>
      </c>
      <c r="Q147" s="136">
        <v>327.11</v>
      </c>
      <c r="R147" s="136">
        <v>332.31</v>
      </c>
      <c r="S147" s="136">
        <v>238.62</v>
      </c>
      <c r="T147" s="136">
        <v>233.41</v>
      </c>
      <c r="U147" s="136">
        <v>228.21</v>
      </c>
      <c r="V147" s="136">
        <v>223</v>
      </c>
      <c r="W147" s="136">
        <v>217.8</v>
      </c>
      <c r="X147" s="7">
        <v>143</v>
      </c>
      <c r="Y147" s="136">
        <v>149.93</v>
      </c>
      <c r="Z147" s="136">
        <v>153.61000000000001</v>
      </c>
      <c r="AA147" s="2">
        <v>157.28</v>
      </c>
      <c r="AB147" s="15">
        <v>160.96</v>
      </c>
      <c r="AC147" s="3">
        <v>164.63</v>
      </c>
      <c r="AD147" s="188">
        <v>183.2</v>
      </c>
      <c r="AE147" s="189">
        <v>186.88</v>
      </c>
      <c r="AF147" s="189">
        <v>190.55</v>
      </c>
      <c r="AG147" s="201">
        <v>194.23</v>
      </c>
      <c r="AH147" s="190">
        <v>197.9</v>
      </c>
      <c r="AI147" s="184">
        <v>201.58</v>
      </c>
      <c r="AJ147" s="184">
        <v>205.25</v>
      </c>
      <c r="AK147" s="184">
        <v>208.93</v>
      </c>
      <c r="AL147" s="184">
        <v>212.6</v>
      </c>
      <c r="AM147" s="184">
        <v>216.28</v>
      </c>
      <c r="AN147" s="184">
        <v>219.95</v>
      </c>
      <c r="AO147" s="136">
        <v>208.73</v>
      </c>
      <c r="AP147" s="136">
        <v>212.41</v>
      </c>
      <c r="AQ147" s="136">
        <v>216.08</v>
      </c>
      <c r="AR147" s="136">
        <v>219.76</v>
      </c>
      <c r="AS147" s="136">
        <v>153.61000000000001</v>
      </c>
      <c r="AT147" s="136">
        <v>149.93</v>
      </c>
      <c r="AU147" s="136">
        <v>146.26</v>
      </c>
      <c r="AV147" s="136">
        <v>142.58000000000001</v>
      </c>
      <c r="AW147" s="136">
        <v>138.91</v>
      </c>
    </row>
    <row r="148" spans="1:49" x14ac:dyDescent="0.45">
      <c r="A148" s="2">
        <v>245.47</v>
      </c>
      <c r="B148" s="15">
        <v>250.71</v>
      </c>
      <c r="C148" s="3">
        <v>255.95</v>
      </c>
      <c r="D148" s="188">
        <v>283.31</v>
      </c>
      <c r="E148" s="189">
        <v>288.55</v>
      </c>
      <c r="F148" s="189">
        <v>293.8</v>
      </c>
      <c r="G148" s="189">
        <v>299.04000000000002</v>
      </c>
      <c r="H148" s="190">
        <v>304.27999999999997</v>
      </c>
      <c r="I148" s="184">
        <v>309.52</v>
      </c>
      <c r="J148" s="184">
        <v>314.76</v>
      </c>
      <c r="K148" s="184">
        <v>320</v>
      </c>
      <c r="L148" s="184">
        <v>325.25</v>
      </c>
      <c r="M148" s="184">
        <v>330.49</v>
      </c>
      <c r="N148" s="184">
        <v>335.73</v>
      </c>
      <c r="O148" s="136">
        <v>318.85000000000002</v>
      </c>
      <c r="P148" s="136">
        <v>324.08999999999997</v>
      </c>
      <c r="Q148" s="136">
        <v>329.33</v>
      </c>
      <c r="R148" s="136">
        <v>334.57</v>
      </c>
      <c r="S148" s="136">
        <v>240.22</v>
      </c>
      <c r="T148" s="136">
        <v>234.98</v>
      </c>
      <c r="U148" s="136">
        <v>229.74</v>
      </c>
      <c r="V148" s="136">
        <v>224.5</v>
      </c>
      <c r="W148" s="136">
        <v>219.26</v>
      </c>
      <c r="X148" s="7">
        <v>144</v>
      </c>
      <c r="Y148" s="136">
        <v>151.02000000000001</v>
      </c>
      <c r="Z148" s="136">
        <v>154.72</v>
      </c>
      <c r="AA148" s="2">
        <v>158.41999999999999</v>
      </c>
      <c r="AB148" s="15">
        <v>162.12</v>
      </c>
      <c r="AC148" s="3">
        <v>165.82</v>
      </c>
      <c r="AD148" s="188">
        <v>184.54</v>
      </c>
      <c r="AE148" s="189">
        <v>188.24</v>
      </c>
      <c r="AF148" s="189">
        <v>191.94</v>
      </c>
      <c r="AG148" s="201">
        <v>195.64</v>
      </c>
      <c r="AH148" s="190">
        <v>199.35</v>
      </c>
      <c r="AI148" s="184">
        <v>203.05</v>
      </c>
      <c r="AJ148" s="184">
        <v>206.75</v>
      </c>
      <c r="AK148" s="184">
        <v>210.45</v>
      </c>
      <c r="AL148" s="184">
        <v>214.15</v>
      </c>
      <c r="AM148" s="184">
        <v>217.85</v>
      </c>
      <c r="AN148" s="184">
        <v>221.55</v>
      </c>
      <c r="AO148" s="136">
        <v>210.23</v>
      </c>
      <c r="AP148" s="136">
        <v>213.93</v>
      </c>
      <c r="AQ148" s="136">
        <v>217.63</v>
      </c>
      <c r="AR148" s="136">
        <v>221.34</v>
      </c>
      <c r="AS148" s="136">
        <v>154.72</v>
      </c>
      <c r="AT148" s="136">
        <v>151.02000000000001</v>
      </c>
      <c r="AU148" s="136">
        <v>147.32</v>
      </c>
      <c r="AV148" s="136">
        <v>143.62</v>
      </c>
      <c r="AW148" s="136">
        <v>139.91999999999999</v>
      </c>
    </row>
    <row r="149" spans="1:49" x14ac:dyDescent="0.45">
      <c r="A149" s="2">
        <v>247.32</v>
      </c>
      <c r="B149" s="15">
        <v>252.59</v>
      </c>
      <c r="C149" s="3">
        <v>257.87</v>
      </c>
      <c r="D149" s="188">
        <v>285.47000000000003</v>
      </c>
      <c r="E149" s="189">
        <v>290.75</v>
      </c>
      <c r="F149" s="189">
        <v>296.02</v>
      </c>
      <c r="G149" s="189">
        <v>301.3</v>
      </c>
      <c r="H149" s="190">
        <v>306.58</v>
      </c>
      <c r="I149" s="184">
        <v>311.86</v>
      </c>
      <c r="J149" s="184">
        <v>317.14</v>
      </c>
      <c r="K149" s="184">
        <v>322.41000000000003</v>
      </c>
      <c r="L149" s="184">
        <v>327.69</v>
      </c>
      <c r="M149" s="184">
        <v>332.97</v>
      </c>
      <c r="N149" s="184">
        <v>338.25</v>
      </c>
      <c r="O149" s="136">
        <v>321.20999999999998</v>
      </c>
      <c r="P149" s="136">
        <v>326.49</v>
      </c>
      <c r="Q149" s="136">
        <v>331.76</v>
      </c>
      <c r="R149" s="136">
        <v>337.04</v>
      </c>
      <c r="S149" s="136">
        <v>242.04</v>
      </c>
      <c r="T149" s="136">
        <v>236.76</v>
      </c>
      <c r="U149" s="136">
        <v>231.48</v>
      </c>
      <c r="V149" s="136">
        <v>226.2</v>
      </c>
      <c r="W149" s="136">
        <v>220.93</v>
      </c>
      <c r="X149" s="7">
        <v>145</v>
      </c>
      <c r="Y149" s="136">
        <v>152.05000000000001</v>
      </c>
      <c r="Z149" s="136">
        <v>155.78</v>
      </c>
      <c r="AA149" s="2">
        <v>159.51</v>
      </c>
      <c r="AB149" s="15">
        <v>163.22999999999999</v>
      </c>
      <c r="AC149" s="3">
        <v>166.96</v>
      </c>
      <c r="AD149" s="188">
        <v>185.8</v>
      </c>
      <c r="AE149" s="189">
        <v>189.53</v>
      </c>
      <c r="AF149" s="189">
        <v>193.26</v>
      </c>
      <c r="AG149" s="201">
        <v>196.98</v>
      </c>
      <c r="AH149" s="190">
        <v>200.71</v>
      </c>
      <c r="AI149" s="184">
        <v>204.43</v>
      </c>
      <c r="AJ149" s="184">
        <v>208.16</v>
      </c>
      <c r="AK149" s="184">
        <v>211.89</v>
      </c>
      <c r="AL149" s="184">
        <v>215.61</v>
      </c>
      <c r="AM149" s="184">
        <v>219.34</v>
      </c>
      <c r="AN149" s="184">
        <v>223.07</v>
      </c>
      <c r="AO149" s="136">
        <v>210.68</v>
      </c>
      <c r="AP149" s="136">
        <v>215.4</v>
      </c>
      <c r="AQ149" s="136">
        <v>219.13</v>
      </c>
      <c r="AR149" s="136">
        <v>222.86</v>
      </c>
      <c r="AS149" s="136">
        <v>155.78</v>
      </c>
      <c r="AT149" s="136">
        <v>152.05000000000001</v>
      </c>
      <c r="AU149" s="136">
        <v>148.33000000000001</v>
      </c>
      <c r="AV149" s="136">
        <v>144.6</v>
      </c>
      <c r="AW149" s="136">
        <v>140.87</v>
      </c>
    </row>
    <row r="150" spans="1:49" x14ac:dyDescent="0.45">
      <c r="A150" s="2">
        <v>248.97</v>
      </c>
      <c r="B150" s="15">
        <v>254.28</v>
      </c>
      <c r="C150" s="3">
        <v>259.58999999999997</v>
      </c>
      <c r="D150" s="188">
        <v>287.37</v>
      </c>
      <c r="E150" s="189">
        <v>292.68</v>
      </c>
      <c r="F150" s="189">
        <v>297.99</v>
      </c>
      <c r="G150" s="189">
        <v>303.31</v>
      </c>
      <c r="H150" s="190">
        <v>308.62</v>
      </c>
      <c r="I150" s="184">
        <v>313.94</v>
      </c>
      <c r="J150" s="184">
        <v>319.25</v>
      </c>
      <c r="K150" s="184">
        <v>324.57</v>
      </c>
      <c r="L150" s="184">
        <v>329.88</v>
      </c>
      <c r="M150" s="184">
        <v>335.19</v>
      </c>
      <c r="N150" s="184">
        <v>340.51</v>
      </c>
      <c r="O150" s="136">
        <v>323.37</v>
      </c>
      <c r="P150" s="136">
        <v>328.68</v>
      </c>
      <c r="Q150" s="136">
        <v>334</v>
      </c>
      <c r="R150" s="136">
        <v>339.31</v>
      </c>
      <c r="S150" s="136">
        <v>243.65</v>
      </c>
      <c r="T150" s="136">
        <v>238.34</v>
      </c>
      <c r="U150" s="136">
        <v>233.02</v>
      </c>
      <c r="V150" s="136">
        <v>227.71</v>
      </c>
      <c r="W150" s="136">
        <v>222.39</v>
      </c>
      <c r="X150" s="7">
        <v>146</v>
      </c>
      <c r="Y150" s="136">
        <v>153.09</v>
      </c>
      <c r="Z150" s="136">
        <v>156.84</v>
      </c>
      <c r="AA150" s="2">
        <v>160.59</v>
      </c>
      <c r="AB150" s="15">
        <v>164.34</v>
      </c>
      <c r="AC150" s="3">
        <v>168.1</v>
      </c>
      <c r="AD150" s="188">
        <v>187.06</v>
      </c>
      <c r="AE150" s="189">
        <v>190.82</v>
      </c>
      <c r="AF150" s="189">
        <v>194.57</v>
      </c>
      <c r="AG150" s="201">
        <v>198.32</v>
      </c>
      <c r="AH150" s="190">
        <v>202.07</v>
      </c>
      <c r="AI150" s="184">
        <v>205.82</v>
      </c>
      <c r="AJ150" s="184">
        <v>209.58</v>
      </c>
      <c r="AK150" s="184">
        <v>213.33</v>
      </c>
      <c r="AL150" s="184">
        <v>217.08</v>
      </c>
      <c r="AM150" s="184">
        <v>220.83</v>
      </c>
      <c r="AN150" s="184">
        <v>224.59</v>
      </c>
      <c r="AO150" s="136">
        <v>213.12</v>
      </c>
      <c r="AP150" s="136">
        <v>216.88</v>
      </c>
      <c r="AQ150" s="136">
        <v>220.63</v>
      </c>
      <c r="AR150" s="136">
        <v>224.38</v>
      </c>
      <c r="AS150" s="136">
        <v>156.84</v>
      </c>
      <c r="AT150" s="136">
        <v>153.09</v>
      </c>
      <c r="AU150" s="136">
        <v>149.34</v>
      </c>
      <c r="AV150" s="136">
        <v>145.58000000000001</v>
      </c>
      <c r="AW150" s="136">
        <v>141.83000000000001</v>
      </c>
    </row>
    <row r="151" spans="1:49" x14ac:dyDescent="0.45">
      <c r="A151" s="2">
        <v>250.62</v>
      </c>
      <c r="B151" s="15">
        <v>255.97</v>
      </c>
      <c r="C151" s="3">
        <v>261.32</v>
      </c>
      <c r="D151" s="188">
        <v>289.27</v>
      </c>
      <c r="E151" s="189">
        <v>294.62</v>
      </c>
      <c r="F151" s="189">
        <v>299.97000000000003</v>
      </c>
      <c r="G151" s="189">
        <v>305.32</v>
      </c>
      <c r="H151" s="190">
        <v>310.67</v>
      </c>
      <c r="I151" s="184">
        <v>316.02</v>
      </c>
      <c r="J151" s="184">
        <v>321.37</v>
      </c>
      <c r="K151" s="184">
        <v>326.72000000000003</v>
      </c>
      <c r="L151" s="184">
        <v>332.07</v>
      </c>
      <c r="M151" s="184">
        <v>337.42</v>
      </c>
      <c r="N151" s="184">
        <v>342.77</v>
      </c>
      <c r="O151" s="136">
        <v>325.52999999999997</v>
      </c>
      <c r="P151" s="136">
        <v>330.88</v>
      </c>
      <c r="Q151" s="136">
        <v>336.23</v>
      </c>
      <c r="R151" s="136">
        <v>341.58</v>
      </c>
      <c r="S151" s="136">
        <v>245.27</v>
      </c>
      <c r="T151" s="136">
        <v>239.92</v>
      </c>
      <c r="U151" s="136">
        <v>234.57</v>
      </c>
      <c r="V151" s="136">
        <v>229.21</v>
      </c>
      <c r="W151" s="136">
        <v>223.86</v>
      </c>
      <c r="X151" s="7">
        <v>147</v>
      </c>
      <c r="Y151" s="136">
        <v>154.12</v>
      </c>
      <c r="Z151" s="136">
        <v>157.9</v>
      </c>
      <c r="AA151" s="2">
        <v>161.68</v>
      </c>
      <c r="AB151" s="15">
        <v>165.46</v>
      </c>
      <c r="AC151" s="3">
        <v>169.23</v>
      </c>
      <c r="AD151" s="188">
        <v>188.33</v>
      </c>
      <c r="AE151" s="189">
        <v>192.1</v>
      </c>
      <c r="AF151" s="189">
        <v>195.88</v>
      </c>
      <c r="AG151" s="201">
        <v>199.66</v>
      </c>
      <c r="AH151" s="190">
        <v>203.44</v>
      </c>
      <c r="AI151" s="184">
        <v>207.21</v>
      </c>
      <c r="AJ151" s="184">
        <v>210.99</v>
      </c>
      <c r="AK151" s="184">
        <v>214.77</v>
      </c>
      <c r="AL151" s="184">
        <v>218.55</v>
      </c>
      <c r="AM151" s="184">
        <v>222.33</v>
      </c>
      <c r="AN151" s="184">
        <v>226.1</v>
      </c>
      <c r="AO151" s="136">
        <v>214.57</v>
      </c>
      <c r="AP151" s="136">
        <v>218.35</v>
      </c>
      <c r="AQ151" s="136">
        <v>222.12</v>
      </c>
      <c r="AR151" s="136">
        <v>225.9</v>
      </c>
      <c r="AS151" s="136">
        <v>157.9</v>
      </c>
      <c r="AT151" s="136">
        <v>154.12</v>
      </c>
      <c r="AU151" s="136">
        <v>150.34</v>
      </c>
      <c r="AV151" s="136">
        <v>146.57</v>
      </c>
      <c r="AW151" s="136">
        <v>142.79</v>
      </c>
    </row>
    <row r="152" spans="1:49" x14ac:dyDescent="0.45">
      <c r="A152" s="2">
        <v>252.27</v>
      </c>
      <c r="B152" s="15">
        <v>257.66000000000003</v>
      </c>
      <c r="C152" s="3">
        <v>263.05</v>
      </c>
      <c r="D152" s="188">
        <v>291.17</v>
      </c>
      <c r="E152" s="189">
        <v>296.56</v>
      </c>
      <c r="F152" s="189">
        <v>301.94</v>
      </c>
      <c r="G152" s="189">
        <v>307.33</v>
      </c>
      <c r="H152" s="190">
        <v>312.72000000000003</v>
      </c>
      <c r="I152" s="184">
        <v>318.10000000000002</v>
      </c>
      <c r="J152" s="184">
        <v>323.49</v>
      </c>
      <c r="K152" s="184">
        <v>328.88</v>
      </c>
      <c r="L152" s="184">
        <v>334.27</v>
      </c>
      <c r="M152" s="184">
        <v>339.65</v>
      </c>
      <c r="N152" s="184">
        <v>345.04</v>
      </c>
      <c r="O152" s="136">
        <v>327.69</v>
      </c>
      <c r="P152" s="136">
        <v>333.08</v>
      </c>
      <c r="Q152" s="136">
        <v>338.47</v>
      </c>
      <c r="R152" s="136">
        <v>343.85</v>
      </c>
      <c r="S152" s="136">
        <v>246.88</v>
      </c>
      <c r="T152" s="136">
        <v>241.5</v>
      </c>
      <c r="U152" s="136">
        <v>236.11</v>
      </c>
      <c r="V152" s="136">
        <v>230.72</v>
      </c>
      <c r="W152" s="136">
        <v>225.34</v>
      </c>
      <c r="X152" s="7">
        <v>148</v>
      </c>
      <c r="Y152" s="136">
        <v>155.16</v>
      </c>
      <c r="Z152" s="136">
        <v>158.96</v>
      </c>
      <c r="AA152" s="2">
        <v>162.76</v>
      </c>
      <c r="AB152" s="15">
        <v>166.57</v>
      </c>
      <c r="AC152" s="3">
        <v>170.37</v>
      </c>
      <c r="AD152" s="188">
        <v>189.59</v>
      </c>
      <c r="AE152" s="189">
        <v>193.39</v>
      </c>
      <c r="AF152" s="189">
        <v>197.2</v>
      </c>
      <c r="AG152" s="201">
        <v>201</v>
      </c>
      <c r="AH152" s="190">
        <v>204.8</v>
      </c>
      <c r="AI152" s="184">
        <v>208.61</v>
      </c>
      <c r="AJ152" s="184">
        <v>212.41</v>
      </c>
      <c r="AK152" s="184">
        <v>216.21</v>
      </c>
      <c r="AL152" s="184">
        <v>220.02</v>
      </c>
      <c r="AM152" s="184">
        <v>223.82</v>
      </c>
      <c r="AN152" s="184">
        <v>227.62</v>
      </c>
      <c r="AO152" s="136">
        <v>216.02</v>
      </c>
      <c r="AP152" s="136">
        <v>219.82</v>
      </c>
      <c r="AQ152" s="136">
        <v>223.62</v>
      </c>
      <c r="AR152" s="136">
        <v>227.43</v>
      </c>
      <c r="AS152" s="136">
        <v>158.96</v>
      </c>
      <c r="AT152" s="136">
        <v>155.16</v>
      </c>
      <c r="AU152" s="136">
        <v>151.35</v>
      </c>
      <c r="AV152" s="136">
        <v>147.55000000000001</v>
      </c>
      <c r="AW152" s="136">
        <v>143.75</v>
      </c>
    </row>
    <row r="153" spans="1:49" x14ac:dyDescent="0.45">
      <c r="A153" s="2">
        <v>253.93</v>
      </c>
      <c r="B153" s="15">
        <v>259.35000000000002</v>
      </c>
      <c r="C153" s="3">
        <v>264.77999999999997</v>
      </c>
      <c r="D153" s="188">
        <v>293.07</v>
      </c>
      <c r="E153" s="189">
        <v>298.5</v>
      </c>
      <c r="F153" s="189">
        <v>303.92</v>
      </c>
      <c r="G153" s="189">
        <v>309.33999999999997</v>
      </c>
      <c r="H153" s="190">
        <v>314.77</v>
      </c>
      <c r="I153" s="184">
        <v>320.19</v>
      </c>
      <c r="J153" s="184">
        <v>325.62</v>
      </c>
      <c r="K153" s="184">
        <v>331.04</v>
      </c>
      <c r="L153" s="184">
        <v>336.46</v>
      </c>
      <c r="M153" s="184">
        <v>341.89</v>
      </c>
      <c r="N153" s="184">
        <v>347.31</v>
      </c>
      <c r="O153" s="136">
        <v>329.86</v>
      </c>
      <c r="P153" s="136">
        <v>335.28</v>
      </c>
      <c r="Q153" s="136">
        <v>340.71</v>
      </c>
      <c r="R153" s="136">
        <v>346.13</v>
      </c>
      <c r="S153" s="136">
        <v>248.51</v>
      </c>
      <c r="T153" s="136">
        <v>243.08</v>
      </c>
      <c r="U153" s="136">
        <v>237.66</v>
      </c>
      <c r="V153" s="136">
        <v>232.23</v>
      </c>
      <c r="W153" s="136">
        <v>226.81</v>
      </c>
      <c r="X153" s="7">
        <v>149</v>
      </c>
      <c r="Y153" s="136">
        <v>156.26</v>
      </c>
      <c r="Z153" s="136">
        <v>160.08000000000001</v>
      </c>
      <c r="AA153" s="2">
        <v>163.91</v>
      </c>
      <c r="AB153" s="15">
        <v>167.74</v>
      </c>
      <c r="AC153" s="3">
        <v>171.57</v>
      </c>
      <c r="AD153" s="188">
        <v>190.94</v>
      </c>
      <c r="AE153" s="189">
        <v>194.77</v>
      </c>
      <c r="AF153" s="189">
        <v>198.6</v>
      </c>
      <c r="AG153" s="201">
        <v>202.43</v>
      </c>
      <c r="AH153" s="190">
        <v>206.25</v>
      </c>
      <c r="AI153" s="184">
        <v>210.08</v>
      </c>
      <c r="AJ153" s="184">
        <v>213.91</v>
      </c>
      <c r="AK153" s="184">
        <v>217.74</v>
      </c>
      <c r="AL153" s="184">
        <v>221.57</v>
      </c>
      <c r="AM153" s="184">
        <v>225.4</v>
      </c>
      <c r="AN153" s="184">
        <v>229.23</v>
      </c>
      <c r="AO153" s="136">
        <v>217.52</v>
      </c>
      <c r="AP153" s="136">
        <v>221.35</v>
      </c>
      <c r="AQ153" s="136">
        <v>225.18</v>
      </c>
      <c r="AR153" s="136">
        <v>229.01</v>
      </c>
      <c r="AS153" s="136">
        <v>160.08000000000001</v>
      </c>
      <c r="AT153" s="136">
        <v>156.26</v>
      </c>
      <c r="AU153" s="136">
        <v>152.43</v>
      </c>
      <c r="AV153" s="136">
        <v>148.6</v>
      </c>
      <c r="AW153" s="136">
        <v>144.77000000000001</v>
      </c>
    </row>
    <row r="154" spans="1:49" x14ac:dyDescent="0.45">
      <c r="A154" s="2">
        <v>255.81</v>
      </c>
      <c r="B154" s="15">
        <v>261.27</v>
      </c>
      <c r="C154" s="3">
        <v>266.73</v>
      </c>
      <c r="D154" s="188">
        <v>295.26</v>
      </c>
      <c r="E154" s="189">
        <v>300.72000000000003</v>
      </c>
      <c r="F154" s="189">
        <v>306.18</v>
      </c>
      <c r="G154" s="189">
        <v>311.64</v>
      </c>
      <c r="H154" s="190">
        <v>317.10000000000002</v>
      </c>
      <c r="I154" s="184">
        <v>322.56</v>
      </c>
      <c r="J154" s="184">
        <v>328.02</v>
      </c>
      <c r="K154" s="184">
        <v>333.48</v>
      </c>
      <c r="L154" s="184">
        <v>338.94</v>
      </c>
      <c r="M154" s="184">
        <v>344.4</v>
      </c>
      <c r="N154" s="184">
        <v>349.86</v>
      </c>
      <c r="O154" s="136">
        <v>332.25</v>
      </c>
      <c r="P154" s="136">
        <v>337.71</v>
      </c>
      <c r="Q154" s="136">
        <v>343.17</v>
      </c>
      <c r="R154" s="136">
        <v>348.63</v>
      </c>
      <c r="S154" s="136">
        <v>250.35</v>
      </c>
      <c r="T154" s="136">
        <v>244.89</v>
      </c>
      <c r="U154" s="136">
        <v>239.43</v>
      </c>
      <c r="V154" s="136">
        <v>233.97</v>
      </c>
      <c r="W154" s="136">
        <v>228.51</v>
      </c>
      <c r="X154" s="7">
        <v>150</v>
      </c>
      <c r="Y154" s="136">
        <v>157.29</v>
      </c>
      <c r="Z154" s="136">
        <v>161.15</v>
      </c>
      <c r="AA154" s="2">
        <v>165</v>
      </c>
      <c r="AB154" s="15">
        <v>168.86</v>
      </c>
      <c r="AC154" s="3">
        <v>172.71</v>
      </c>
      <c r="AD154" s="188">
        <v>192.2</v>
      </c>
      <c r="AE154" s="189">
        <v>196.06</v>
      </c>
      <c r="AF154" s="189">
        <v>199.91</v>
      </c>
      <c r="AG154" s="201">
        <v>203.77</v>
      </c>
      <c r="AH154" s="190">
        <v>207.62</v>
      </c>
      <c r="AI154" s="184">
        <v>211.48</v>
      </c>
      <c r="AJ154" s="184">
        <v>215.33</v>
      </c>
      <c r="AK154" s="184">
        <v>219.19</v>
      </c>
      <c r="AL154" s="184">
        <v>223.04</v>
      </c>
      <c r="AM154" s="184">
        <v>226.9</v>
      </c>
      <c r="AN154" s="184">
        <v>230.75</v>
      </c>
      <c r="AO154" s="136">
        <v>218.97</v>
      </c>
      <c r="AP154" s="136">
        <v>222.83</v>
      </c>
      <c r="AQ154" s="136">
        <v>226.68</v>
      </c>
      <c r="AR154" s="136">
        <v>230.54</v>
      </c>
      <c r="AS154" s="136">
        <v>161.15</v>
      </c>
      <c r="AT154" s="136">
        <v>157.29</v>
      </c>
      <c r="AU154" s="136">
        <v>153.44</v>
      </c>
      <c r="AV154" s="136">
        <v>149.58000000000001</v>
      </c>
      <c r="AW154" s="136">
        <v>145.72999999999999</v>
      </c>
    </row>
    <row r="155" spans="1:49" x14ac:dyDescent="0.45">
      <c r="A155" s="2">
        <v>257.47000000000003</v>
      </c>
      <c r="B155" s="15">
        <v>262.97000000000003</v>
      </c>
      <c r="C155" s="3">
        <v>268.45999999999998</v>
      </c>
      <c r="D155" s="188">
        <v>297.18</v>
      </c>
      <c r="E155" s="189">
        <v>302.68</v>
      </c>
      <c r="F155" s="189">
        <v>308.17</v>
      </c>
      <c r="G155" s="189">
        <v>313.67</v>
      </c>
      <c r="H155" s="190">
        <v>319.17</v>
      </c>
      <c r="I155" s="184">
        <v>324.66000000000003</v>
      </c>
      <c r="J155" s="184">
        <v>330.16</v>
      </c>
      <c r="K155" s="184">
        <v>335.65</v>
      </c>
      <c r="L155" s="184">
        <v>341.15</v>
      </c>
      <c r="M155" s="184">
        <v>346.65</v>
      </c>
      <c r="N155" s="184">
        <v>352.14</v>
      </c>
      <c r="O155" s="136">
        <v>334.42</v>
      </c>
      <c r="P155" s="136">
        <v>339.92</v>
      </c>
      <c r="Q155" s="136">
        <v>345.41</v>
      </c>
      <c r="R155" s="136">
        <v>350.91</v>
      </c>
      <c r="S155" s="136">
        <v>251.97</v>
      </c>
      <c r="T155" s="136">
        <v>246.48</v>
      </c>
      <c r="U155" s="136">
        <v>240.98</v>
      </c>
      <c r="V155" s="136">
        <v>235.49</v>
      </c>
      <c r="W155" s="136">
        <v>229.99</v>
      </c>
      <c r="X155" s="7">
        <v>151</v>
      </c>
      <c r="Y155" s="136">
        <v>158.33000000000001</v>
      </c>
      <c r="Z155" s="136">
        <v>162.21</v>
      </c>
      <c r="AA155" s="2">
        <v>166.09</v>
      </c>
      <c r="AB155" s="15">
        <v>169.97</v>
      </c>
      <c r="AC155" s="3">
        <v>173.85</v>
      </c>
      <c r="AD155" s="188">
        <v>193.47</v>
      </c>
      <c r="AE155" s="189">
        <v>197.35</v>
      </c>
      <c r="AF155" s="189">
        <v>201.23</v>
      </c>
      <c r="AG155" s="201">
        <v>205.11</v>
      </c>
      <c r="AH155" s="190">
        <v>208.99</v>
      </c>
      <c r="AI155" s="184">
        <v>212.87</v>
      </c>
      <c r="AJ155" s="184">
        <v>216.75</v>
      </c>
      <c r="AK155" s="184">
        <v>220.63</v>
      </c>
      <c r="AL155" s="184">
        <v>224.52</v>
      </c>
      <c r="AM155" s="184">
        <v>228.4</v>
      </c>
      <c r="AN155" s="184">
        <v>232.28</v>
      </c>
      <c r="AO155" s="136">
        <v>220.42</v>
      </c>
      <c r="AP155" s="136">
        <v>224.3</v>
      </c>
      <c r="AQ155" s="136">
        <v>228.18</v>
      </c>
      <c r="AR155" s="136">
        <v>232.06</v>
      </c>
      <c r="AS155" s="136">
        <v>162.21</v>
      </c>
      <c r="AT155" s="136">
        <v>158.33000000000001</v>
      </c>
      <c r="AU155" s="136">
        <v>154.44999999999999</v>
      </c>
      <c r="AV155" s="136">
        <v>150.57</v>
      </c>
      <c r="AW155" s="136">
        <v>146.69</v>
      </c>
    </row>
    <row r="156" spans="1:49" x14ac:dyDescent="0.45">
      <c r="A156" s="2">
        <v>259.14</v>
      </c>
      <c r="B156" s="15">
        <v>264.67</v>
      </c>
      <c r="C156" s="3">
        <v>270.2</v>
      </c>
      <c r="D156" s="188">
        <v>299.10000000000002</v>
      </c>
      <c r="E156" s="189">
        <v>304.63</v>
      </c>
      <c r="F156" s="189">
        <v>310.16000000000003</v>
      </c>
      <c r="G156" s="189">
        <v>315.7</v>
      </c>
      <c r="H156" s="190">
        <v>321.23</v>
      </c>
      <c r="I156" s="184">
        <v>326.76</v>
      </c>
      <c r="J156" s="184">
        <v>332.3</v>
      </c>
      <c r="K156" s="184">
        <v>337.83</v>
      </c>
      <c r="L156" s="184">
        <v>343.36</v>
      </c>
      <c r="M156" s="184">
        <v>348.89</v>
      </c>
      <c r="N156" s="184">
        <v>354.43</v>
      </c>
      <c r="O156" s="136">
        <v>336.6</v>
      </c>
      <c r="P156" s="136">
        <v>342.13</v>
      </c>
      <c r="Q156" s="136">
        <v>347.66</v>
      </c>
      <c r="R156" s="136">
        <v>353.2</v>
      </c>
      <c r="S156" s="136">
        <v>253.6</v>
      </c>
      <c r="T156" s="136">
        <v>248.07</v>
      </c>
      <c r="U156" s="136">
        <v>242.54</v>
      </c>
      <c r="V156" s="136">
        <v>237.01</v>
      </c>
      <c r="W156" s="136">
        <v>231.47</v>
      </c>
      <c r="X156" s="7">
        <v>152</v>
      </c>
      <c r="Y156" s="136">
        <v>159.37</v>
      </c>
      <c r="Z156" s="136">
        <v>163.28</v>
      </c>
      <c r="AA156" s="2">
        <v>167.18</v>
      </c>
      <c r="AB156" s="15">
        <v>171.09</v>
      </c>
      <c r="AC156" s="3">
        <v>175</v>
      </c>
      <c r="AD156" s="188">
        <v>194.74</v>
      </c>
      <c r="AE156" s="189">
        <v>198.64</v>
      </c>
      <c r="AF156" s="189">
        <v>202.55</v>
      </c>
      <c r="AG156" s="201">
        <v>206.46</v>
      </c>
      <c r="AH156" s="190">
        <v>210.36</v>
      </c>
      <c r="AI156" s="184">
        <v>214.27</v>
      </c>
      <c r="AJ156" s="184">
        <v>218.18</v>
      </c>
      <c r="AK156" s="184">
        <v>222.08</v>
      </c>
      <c r="AL156" s="184">
        <v>225.99</v>
      </c>
      <c r="AM156" s="184">
        <v>229.9</v>
      </c>
      <c r="AN156" s="184">
        <v>233.8</v>
      </c>
      <c r="AO156" s="136">
        <v>221.87</v>
      </c>
      <c r="AP156" s="136">
        <v>225.78</v>
      </c>
      <c r="AQ156" s="136">
        <v>229.68</v>
      </c>
      <c r="AR156" s="136">
        <v>233.59</v>
      </c>
      <c r="AS156" s="136">
        <v>163.28</v>
      </c>
      <c r="AT156" s="136">
        <v>159.37</v>
      </c>
      <c r="AU156" s="136">
        <v>155.46</v>
      </c>
      <c r="AV156" s="136">
        <v>151.56</v>
      </c>
      <c r="AW156" s="136">
        <v>147.65</v>
      </c>
    </row>
    <row r="157" spans="1:49" x14ac:dyDescent="0.45">
      <c r="A157" s="2">
        <v>260.81</v>
      </c>
      <c r="B157" s="15">
        <v>266.38</v>
      </c>
      <c r="C157" s="3">
        <v>271.94</v>
      </c>
      <c r="D157" s="188">
        <v>301.02</v>
      </c>
      <c r="E157" s="189">
        <v>306.58999999999997</v>
      </c>
      <c r="F157" s="189">
        <v>312.16000000000003</v>
      </c>
      <c r="G157" s="189">
        <v>317.73</v>
      </c>
      <c r="H157" s="190">
        <v>323.3</v>
      </c>
      <c r="I157" s="184">
        <v>328.87</v>
      </c>
      <c r="J157" s="184">
        <v>334.44</v>
      </c>
      <c r="K157" s="184">
        <v>340</v>
      </c>
      <c r="L157" s="184">
        <v>345.57</v>
      </c>
      <c r="M157" s="184">
        <v>351.14</v>
      </c>
      <c r="N157" s="184">
        <v>356.71</v>
      </c>
      <c r="O157" s="136">
        <v>338.78</v>
      </c>
      <c r="P157" s="136">
        <v>344.34</v>
      </c>
      <c r="Q157" s="136">
        <v>349.91</v>
      </c>
      <c r="R157" s="136">
        <v>355.48</v>
      </c>
      <c r="S157" s="136">
        <v>255.24</v>
      </c>
      <c r="T157" s="136">
        <v>249.67</v>
      </c>
      <c r="U157" s="136">
        <v>244.1</v>
      </c>
      <c r="V157" s="136">
        <v>238.53</v>
      </c>
      <c r="W157" s="136">
        <v>232.96</v>
      </c>
      <c r="X157" s="7">
        <v>153</v>
      </c>
      <c r="Y157" s="136">
        <v>160.41</v>
      </c>
      <c r="Z157" s="136">
        <v>164.34</v>
      </c>
      <c r="AA157" s="2">
        <v>168.27</v>
      </c>
      <c r="AB157" s="15">
        <v>172.21</v>
      </c>
      <c r="AC157" s="3">
        <v>176.14</v>
      </c>
      <c r="AD157" s="188">
        <v>196.01</v>
      </c>
      <c r="AE157" s="189">
        <v>199.94</v>
      </c>
      <c r="AF157" s="189">
        <v>203.87</v>
      </c>
      <c r="AG157" s="201">
        <v>207.8</v>
      </c>
      <c r="AH157" s="190">
        <v>211.73</v>
      </c>
      <c r="AI157" s="184">
        <v>215.67</v>
      </c>
      <c r="AJ157" s="184">
        <v>219.6</v>
      </c>
      <c r="AK157" s="184">
        <v>223.53</v>
      </c>
      <c r="AL157" s="184">
        <v>227.46</v>
      </c>
      <c r="AM157" s="184">
        <v>231.4</v>
      </c>
      <c r="AN157" s="184">
        <v>235.33</v>
      </c>
      <c r="AO157" s="136">
        <v>223.32</v>
      </c>
      <c r="AP157" s="136">
        <v>227.25</v>
      </c>
      <c r="AQ157" s="136">
        <v>231.19</v>
      </c>
      <c r="AR157" s="136">
        <v>235.12</v>
      </c>
      <c r="AS157" s="136">
        <v>164.34</v>
      </c>
      <c r="AT157" s="136">
        <v>160.41</v>
      </c>
      <c r="AU157" s="136">
        <v>156.47999999999999</v>
      </c>
      <c r="AV157" s="136">
        <v>152.55000000000001</v>
      </c>
      <c r="AW157" s="136">
        <v>148.61000000000001</v>
      </c>
    </row>
    <row r="158" spans="1:49" x14ac:dyDescent="0.45">
      <c r="A158" s="2">
        <v>262.48</v>
      </c>
      <c r="B158" s="15">
        <v>268.08</v>
      </c>
      <c r="C158" s="3">
        <v>273.69</v>
      </c>
      <c r="D158" s="188">
        <v>302.95</v>
      </c>
      <c r="E158" s="189">
        <v>308.55</v>
      </c>
      <c r="F158" s="189">
        <v>314.16000000000003</v>
      </c>
      <c r="G158" s="189">
        <v>319.76</v>
      </c>
      <c r="H158" s="190">
        <v>325.37</v>
      </c>
      <c r="I158" s="184">
        <v>330.97</v>
      </c>
      <c r="J158" s="184">
        <v>336.58</v>
      </c>
      <c r="K158" s="184">
        <v>342.18</v>
      </c>
      <c r="L158" s="184">
        <v>347.79</v>
      </c>
      <c r="M158" s="184">
        <v>353.4</v>
      </c>
      <c r="N158" s="184">
        <v>359</v>
      </c>
      <c r="O158" s="136">
        <v>340.96</v>
      </c>
      <c r="P158" s="136">
        <v>346.56</v>
      </c>
      <c r="Q158" s="136">
        <v>352.17</v>
      </c>
      <c r="R158" s="136">
        <v>357.77</v>
      </c>
      <c r="S158" s="136">
        <v>256.87</v>
      </c>
      <c r="T158" s="136">
        <v>251.27</v>
      </c>
      <c r="U158" s="136">
        <v>245.66</v>
      </c>
      <c r="V158" s="136">
        <v>240.06</v>
      </c>
      <c r="W158" s="136">
        <v>234.45</v>
      </c>
      <c r="X158" s="7">
        <v>154</v>
      </c>
      <c r="Y158" s="136">
        <v>161.44999999999999</v>
      </c>
      <c r="Z158" s="136">
        <v>165.41</v>
      </c>
      <c r="AA158" s="2">
        <v>169.37</v>
      </c>
      <c r="AB158" s="15">
        <v>173.32</v>
      </c>
      <c r="AC158" s="3">
        <v>177.28</v>
      </c>
      <c r="AD158" s="188">
        <v>197.28</v>
      </c>
      <c r="AE158" s="189">
        <v>201.23</v>
      </c>
      <c r="AF158" s="189">
        <v>205.19</v>
      </c>
      <c r="AG158" s="201">
        <v>209.15</v>
      </c>
      <c r="AH158" s="190">
        <v>213.11</v>
      </c>
      <c r="AI158" s="184">
        <v>217.07</v>
      </c>
      <c r="AJ158" s="184">
        <v>221.02</v>
      </c>
      <c r="AK158" s="184">
        <v>224.98</v>
      </c>
      <c r="AL158" s="184">
        <v>228.94</v>
      </c>
      <c r="AM158" s="184">
        <v>232.9</v>
      </c>
      <c r="AN158" s="184">
        <v>236.85</v>
      </c>
      <c r="AO158" s="136">
        <v>224.77</v>
      </c>
      <c r="AP158" s="136">
        <v>228.73</v>
      </c>
      <c r="AQ158" s="136">
        <v>232.69</v>
      </c>
      <c r="AR158" s="136">
        <v>236.65</v>
      </c>
      <c r="AS158" s="136">
        <v>165.41</v>
      </c>
      <c r="AT158" s="136">
        <v>161.44999999999999</v>
      </c>
      <c r="AU158" s="136">
        <v>157.49</v>
      </c>
      <c r="AV158" s="136">
        <v>153.53</v>
      </c>
      <c r="AW158" s="136">
        <v>149.58000000000001</v>
      </c>
    </row>
    <row r="159" spans="1:49" x14ac:dyDescent="0.45">
      <c r="A159" s="2">
        <v>264.14999999999998</v>
      </c>
      <c r="B159" s="15">
        <v>269.79000000000002</v>
      </c>
      <c r="C159" s="3">
        <v>275.44</v>
      </c>
      <c r="D159" s="188">
        <v>304.87</v>
      </c>
      <c r="E159" s="189">
        <v>310.52</v>
      </c>
      <c r="F159" s="189">
        <v>316.16000000000003</v>
      </c>
      <c r="G159" s="189">
        <v>321.8</v>
      </c>
      <c r="H159" s="190">
        <v>327.44</v>
      </c>
      <c r="I159" s="184">
        <v>333.08</v>
      </c>
      <c r="J159" s="184">
        <v>338.73</v>
      </c>
      <c r="K159" s="184">
        <v>344.37</v>
      </c>
      <c r="L159" s="184">
        <v>350.01</v>
      </c>
      <c r="M159" s="184">
        <v>355.65</v>
      </c>
      <c r="N159" s="184">
        <v>361.29</v>
      </c>
      <c r="O159" s="136">
        <v>343.14</v>
      </c>
      <c r="P159" s="136">
        <v>348.78</v>
      </c>
      <c r="Q159" s="136">
        <v>354.42</v>
      </c>
      <c r="R159" s="136">
        <v>360.07</v>
      </c>
      <c r="S159" s="136">
        <v>258.51</v>
      </c>
      <c r="T159" s="136">
        <v>252.87</v>
      </c>
      <c r="U159" s="136">
        <v>247.23</v>
      </c>
      <c r="V159" s="136">
        <v>241.58</v>
      </c>
      <c r="W159" s="136">
        <v>235.94</v>
      </c>
      <c r="X159" s="7">
        <v>155</v>
      </c>
      <c r="Y159" s="136">
        <v>162.49</v>
      </c>
      <c r="Z159" s="136">
        <v>166.47</v>
      </c>
      <c r="AA159" s="2">
        <v>170.46</v>
      </c>
      <c r="AB159" s="15">
        <v>174.44</v>
      </c>
      <c r="AC159" s="3">
        <v>178.42</v>
      </c>
      <c r="AD159" s="188">
        <v>198.55</v>
      </c>
      <c r="AE159" s="189">
        <v>202.53</v>
      </c>
      <c r="AF159" s="189">
        <v>206.51</v>
      </c>
      <c r="AG159" s="201">
        <v>210.5</v>
      </c>
      <c r="AH159" s="190">
        <v>214.48</v>
      </c>
      <c r="AI159" s="184">
        <v>218.46</v>
      </c>
      <c r="AJ159" s="184">
        <v>222.45</v>
      </c>
      <c r="AK159" s="184">
        <v>226.43</v>
      </c>
      <c r="AL159" s="184">
        <v>230.42</v>
      </c>
      <c r="AM159" s="184">
        <v>234.4</v>
      </c>
      <c r="AN159" s="184">
        <v>238.38</v>
      </c>
      <c r="AO159" s="136">
        <v>226.23</v>
      </c>
      <c r="AP159" s="136">
        <v>230.21</v>
      </c>
      <c r="AQ159" s="136">
        <v>234.19</v>
      </c>
      <c r="AR159" s="136">
        <v>238.18</v>
      </c>
      <c r="AS159" s="136">
        <v>166.47</v>
      </c>
      <c r="AT159" s="136">
        <v>162.49</v>
      </c>
      <c r="AU159" s="136">
        <v>158.51</v>
      </c>
      <c r="AV159" s="136">
        <v>154.52000000000001</v>
      </c>
      <c r="AW159" s="136">
        <v>150.54</v>
      </c>
    </row>
    <row r="160" spans="1:49" x14ac:dyDescent="0.45">
      <c r="A160" s="2">
        <v>265.83</v>
      </c>
      <c r="B160" s="15">
        <v>271.51</v>
      </c>
      <c r="C160" s="3">
        <v>277.19</v>
      </c>
      <c r="D160" s="188">
        <v>306.81</v>
      </c>
      <c r="E160" s="189">
        <v>312.48</v>
      </c>
      <c r="F160" s="189">
        <v>318.16000000000003</v>
      </c>
      <c r="G160" s="189">
        <v>323.83999999999997</v>
      </c>
      <c r="H160" s="190">
        <v>329.52</v>
      </c>
      <c r="I160" s="184">
        <v>335.2</v>
      </c>
      <c r="J160" s="184">
        <v>340.88</v>
      </c>
      <c r="K160" s="184">
        <v>346.55</v>
      </c>
      <c r="L160" s="184">
        <v>352.23</v>
      </c>
      <c r="M160" s="184">
        <v>357.91</v>
      </c>
      <c r="N160" s="184">
        <v>363.59</v>
      </c>
      <c r="O160" s="136">
        <v>345.33</v>
      </c>
      <c r="P160" s="136">
        <v>351.01</v>
      </c>
      <c r="Q160" s="136">
        <v>356.68</v>
      </c>
      <c r="R160" s="136">
        <v>362.36</v>
      </c>
      <c r="S160" s="136">
        <v>260.14999999999998</v>
      </c>
      <c r="T160" s="136">
        <v>254.47</v>
      </c>
      <c r="U160" s="136">
        <v>248.79</v>
      </c>
      <c r="V160" s="136">
        <v>243.12</v>
      </c>
      <c r="W160" s="136">
        <v>237.44</v>
      </c>
      <c r="X160" s="7">
        <v>156</v>
      </c>
      <c r="Y160" s="136">
        <v>163.53</v>
      </c>
      <c r="Z160" s="136">
        <v>167.54</v>
      </c>
      <c r="AA160" s="2">
        <v>171.55</v>
      </c>
      <c r="AB160" s="15">
        <v>175.56</v>
      </c>
      <c r="AC160" s="3">
        <v>179.57</v>
      </c>
      <c r="AD160" s="188">
        <v>199.82</v>
      </c>
      <c r="AE160" s="189">
        <v>203.83</v>
      </c>
      <c r="AF160" s="189">
        <v>207.84</v>
      </c>
      <c r="AG160" s="201">
        <v>211.85</v>
      </c>
      <c r="AH160" s="190">
        <v>215.86</v>
      </c>
      <c r="AI160" s="184">
        <v>219.86</v>
      </c>
      <c r="AJ160" s="184">
        <v>223.87</v>
      </c>
      <c r="AK160" s="184">
        <v>227.88</v>
      </c>
      <c r="AL160" s="184">
        <v>231.89</v>
      </c>
      <c r="AM160" s="184">
        <v>235.9</v>
      </c>
      <c r="AN160" s="184">
        <v>239.91</v>
      </c>
      <c r="AO160" s="136">
        <v>227.68</v>
      </c>
      <c r="AP160" s="136">
        <v>231.69</v>
      </c>
      <c r="AQ160" s="136">
        <v>235.7</v>
      </c>
      <c r="AR160" s="136">
        <v>239.71</v>
      </c>
      <c r="AS160" s="136">
        <v>167.54</v>
      </c>
      <c r="AT160" s="136">
        <v>163.53</v>
      </c>
      <c r="AU160" s="136">
        <v>159.52000000000001</v>
      </c>
      <c r="AV160" s="136">
        <v>155.51</v>
      </c>
      <c r="AW160" s="136">
        <v>151.5</v>
      </c>
    </row>
    <row r="161" spans="1:49" x14ac:dyDescent="0.45">
      <c r="A161" s="2">
        <v>267.51</v>
      </c>
      <c r="B161" s="15">
        <v>273.22000000000003</v>
      </c>
      <c r="C161" s="3">
        <v>278.94</v>
      </c>
      <c r="D161" s="188">
        <v>308.74</v>
      </c>
      <c r="E161" s="189">
        <v>314.45999999999998</v>
      </c>
      <c r="F161" s="189">
        <v>320.17</v>
      </c>
      <c r="G161" s="189">
        <v>325.89</v>
      </c>
      <c r="H161" s="190">
        <v>331.6</v>
      </c>
      <c r="I161" s="184">
        <v>337.31</v>
      </c>
      <c r="J161" s="184">
        <v>343.03</v>
      </c>
      <c r="K161" s="184">
        <v>348.74</v>
      </c>
      <c r="L161" s="184">
        <v>354.46</v>
      </c>
      <c r="M161" s="184">
        <v>360.17</v>
      </c>
      <c r="N161" s="184">
        <v>365.89</v>
      </c>
      <c r="O161" s="136">
        <v>347.52</v>
      </c>
      <c r="P161" s="136">
        <v>353.23</v>
      </c>
      <c r="Q161" s="136">
        <v>358.95</v>
      </c>
      <c r="R161" s="136">
        <v>364.66</v>
      </c>
      <c r="S161" s="136">
        <v>261.79000000000002</v>
      </c>
      <c r="T161" s="136">
        <v>256.08</v>
      </c>
      <c r="U161" s="136">
        <v>250.36</v>
      </c>
      <c r="V161" s="136">
        <v>244.65</v>
      </c>
      <c r="W161" s="136">
        <v>238.94</v>
      </c>
      <c r="X161" s="7">
        <v>157</v>
      </c>
      <c r="Y161" s="136">
        <v>164.58</v>
      </c>
      <c r="Z161" s="136">
        <v>168.61</v>
      </c>
      <c r="AA161" s="2">
        <v>172.64</v>
      </c>
      <c r="AB161" s="15">
        <v>176.68</v>
      </c>
      <c r="AC161" s="3">
        <v>180.71</v>
      </c>
      <c r="AD161" s="188">
        <v>201.09</v>
      </c>
      <c r="AE161" s="189">
        <v>205.13</v>
      </c>
      <c r="AF161" s="189">
        <v>209.16</v>
      </c>
      <c r="AG161" s="201">
        <v>213.2</v>
      </c>
      <c r="AH161" s="190">
        <v>217.23</v>
      </c>
      <c r="AI161" s="184">
        <v>221.27</v>
      </c>
      <c r="AJ161" s="184">
        <v>225.3</v>
      </c>
      <c r="AK161" s="184">
        <v>229.34</v>
      </c>
      <c r="AL161" s="184">
        <v>233.37</v>
      </c>
      <c r="AM161" s="184">
        <v>237.41</v>
      </c>
      <c r="AN161" s="184">
        <v>241.44</v>
      </c>
      <c r="AO161" s="136">
        <v>229.13</v>
      </c>
      <c r="AP161" s="136">
        <v>233.17</v>
      </c>
      <c r="AQ161" s="136">
        <v>237.2</v>
      </c>
      <c r="AR161" s="136">
        <v>241.24</v>
      </c>
      <c r="AS161" s="136">
        <v>168.61</v>
      </c>
      <c r="AT161" s="136">
        <v>164.58</v>
      </c>
      <c r="AU161" s="136">
        <v>160.54</v>
      </c>
      <c r="AV161" s="136">
        <v>156.51</v>
      </c>
      <c r="AW161" s="136">
        <v>152.47</v>
      </c>
    </row>
    <row r="162" spans="1:49" x14ac:dyDescent="0.45">
      <c r="A162" s="2">
        <v>269.43</v>
      </c>
      <c r="B162" s="15">
        <v>275.19</v>
      </c>
      <c r="C162" s="3">
        <v>280.94</v>
      </c>
      <c r="D162" s="188">
        <v>310.99</v>
      </c>
      <c r="E162" s="189">
        <v>316.74</v>
      </c>
      <c r="F162" s="189">
        <v>322.49</v>
      </c>
      <c r="G162" s="189">
        <v>328.25</v>
      </c>
      <c r="H162" s="190">
        <v>334</v>
      </c>
      <c r="I162" s="184">
        <v>339.75</v>
      </c>
      <c r="J162" s="184">
        <v>345.5</v>
      </c>
      <c r="K162" s="184">
        <v>351.25</v>
      </c>
      <c r="L162" s="184">
        <v>357</v>
      </c>
      <c r="M162" s="184">
        <v>362.75</v>
      </c>
      <c r="N162" s="184">
        <v>368.5</v>
      </c>
      <c r="O162" s="136">
        <v>349.95</v>
      </c>
      <c r="P162" s="136">
        <v>355.7</v>
      </c>
      <c r="Q162" s="136">
        <v>361.45</v>
      </c>
      <c r="R162" s="136">
        <v>367.21</v>
      </c>
      <c r="S162" s="136">
        <v>263.68</v>
      </c>
      <c r="T162" s="136">
        <v>257.93</v>
      </c>
      <c r="U162" s="136">
        <v>252.18</v>
      </c>
      <c r="V162" s="136">
        <v>246.43</v>
      </c>
      <c r="W162" s="136">
        <v>240.68</v>
      </c>
      <c r="X162" s="7">
        <v>158</v>
      </c>
      <c r="Y162" s="136">
        <v>165.62</v>
      </c>
      <c r="Z162" s="136">
        <v>169.68</v>
      </c>
      <c r="AA162" s="2">
        <v>173.74</v>
      </c>
      <c r="AB162" s="15">
        <v>177.8</v>
      </c>
      <c r="AC162" s="3">
        <v>181.86</v>
      </c>
      <c r="AD162" s="188">
        <v>202.37</v>
      </c>
      <c r="AE162" s="189">
        <v>206.43</v>
      </c>
      <c r="AF162" s="189">
        <v>210.49</v>
      </c>
      <c r="AG162" s="201">
        <v>214.55</v>
      </c>
      <c r="AH162" s="190">
        <v>218.61</v>
      </c>
      <c r="AI162" s="184">
        <v>222.67</v>
      </c>
      <c r="AJ162" s="184">
        <v>226.73</v>
      </c>
      <c r="AK162" s="184">
        <v>230.79</v>
      </c>
      <c r="AL162" s="184">
        <v>234.85</v>
      </c>
      <c r="AM162" s="184">
        <v>238.91</v>
      </c>
      <c r="AN162" s="184">
        <v>242.97</v>
      </c>
      <c r="AO162" s="136">
        <v>230.59</v>
      </c>
      <c r="AP162" s="136">
        <v>234.65</v>
      </c>
      <c r="AQ162" s="136">
        <v>238.71</v>
      </c>
      <c r="AR162" s="136">
        <v>242.77</v>
      </c>
      <c r="AS162" s="136">
        <v>169.68</v>
      </c>
      <c r="AT162" s="136">
        <v>165.62</v>
      </c>
      <c r="AU162" s="136">
        <v>161.56</v>
      </c>
      <c r="AV162" s="136">
        <v>157.5</v>
      </c>
      <c r="AW162" s="136">
        <v>153.44</v>
      </c>
    </row>
    <row r="163" spans="1:49" x14ac:dyDescent="0.45">
      <c r="A163" s="2">
        <v>271.12</v>
      </c>
      <c r="B163" s="15">
        <v>276.91000000000003</v>
      </c>
      <c r="C163" s="3">
        <v>282.7</v>
      </c>
      <c r="D163" s="188">
        <v>312.94</v>
      </c>
      <c r="E163" s="189">
        <v>318.73</v>
      </c>
      <c r="F163" s="189">
        <v>324.51</v>
      </c>
      <c r="G163" s="189">
        <v>330.3</v>
      </c>
      <c r="H163" s="190">
        <v>336.09</v>
      </c>
      <c r="I163" s="184">
        <v>341.88</v>
      </c>
      <c r="J163" s="184">
        <v>347.66</v>
      </c>
      <c r="K163" s="184">
        <v>353.45</v>
      </c>
      <c r="L163" s="184">
        <v>359.24</v>
      </c>
      <c r="M163" s="184">
        <v>365.03</v>
      </c>
      <c r="N163" s="184">
        <v>370.81</v>
      </c>
      <c r="O163" s="136">
        <v>352.15</v>
      </c>
      <c r="P163" s="136">
        <v>357.94</v>
      </c>
      <c r="Q163" s="136">
        <v>363.72</v>
      </c>
      <c r="R163" s="136">
        <v>369.51</v>
      </c>
      <c r="S163" s="136">
        <v>265.33999999999997</v>
      </c>
      <c r="T163" s="136">
        <v>259.55</v>
      </c>
      <c r="U163" s="136">
        <v>253.76</v>
      </c>
      <c r="V163" s="136">
        <v>247.97</v>
      </c>
      <c r="W163" s="136">
        <v>242.18</v>
      </c>
      <c r="X163" s="7">
        <v>159</v>
      </c>
      <c r="Y163" s="136">
        <v>166.66</v>
      </c>
      <c r="Z163" s="136">
        <v>170.75</v>
      </c>
      <c r="AA163" s="2">
        <v>174.84</v>
      </c>
      <c r="AB163" s="15">
        <v>178.92</v>
      </c>
      <c r="AC163" s="3">
        <v>183.01</v>
      </c>
      <c r="AD163" s="188">
        <v>203.64</v>
      </c>
      <c r="AE163" s="189">
        <v>207.73</v>
      </c>
      <c r="AF163" s="189">
        <v>211.81</v>
      </c>
      <c r="AG163" s="201">
        <v>215.9</v>
      </c>
      <c r="AH163" s="190">
        <v>219.99</v>
      </c>
      <c r="AI163" s="184">
        <v>224.07</v>
      </c>
      <c r="AJ163" s="184">
        <v>228.16</v>
      </c>
      <c r="AK163" s="184">
        <v>232.25</v>
      </c>
      <c r="AL163" s="184">
        <v>236.33</v>
      </c>
      <c r="AM163" s="184">
        <v>240.42</v>
      </c>
      <c r="AN163" s="184">
        <v>244.5</v>
      </c>
      <c r="AO163" s="136">
        <v>232.04</v>
      </c>
      <c r="AP163" s="136">
        <v>236.13</v>
      </c>
      <c r="AQ163" s="136">
        <v>240.22</v>
      </c>
      <c r="AR163" s="136">
        <v>244.3</v>
      </c>
      <c r="AS163" s="136">
        <v>170.75</v>
      </c>
      <c r="AT163" s="136">
        <v>166.66</v>
      </c>
      <c r="AU163" s="136">
        <v>162.58000000000001</v>
      </c>
      <c r="AV163" s="136">
        <v>158.49</v>
      </c>
      <c r="AW163" s="136">
        <v>154.4</v>
      </c>
    </row>
    <row r="164" spans="1:49" x14ac:dyDescent="0.45">
      <c r="A164" s="2">
        <v>272.81</v>
      </c>
      <c r="B164" s="15">
        <v>278.64</v>
      </c>
      <c r="C164" s="3">
        <v>284.45999999999998</v>
      </c>
      <c r="D164" s="188">
        <v>314.89</v>
      </c>
      <c r="E164" s="189">
        <v>320.70999999999998</v>
      </c>
      <c r="F164" s="189">
        <v>326.54000000000002</v>
      </c>
      <c r="G164" s="189">
        <v>332.36</v>
      </c>
      <c r="H164" s="190">
        <v>338.18</v>
      </c>
      <c r="I164" s="184">
        <v>344.01</v>
      </c>
      <c r="J164" s="184">
        <v>349.83</v>
      </c>
      <c r="K164" s="184">
        <v>355.66</v>
      </c>
      <c r="L164" s="184">
        <v>361.48</v>
      </c>
      <c r="M164" s="184">
        <v>367.3</v>
      </c>
      <c r="N164" s="184">
        <v>373.13</v>
      </c>
      <c r="O164" s="136">
        <v>354.35</v>
      </c>
      <c r="P164" s="136">
        <v>360.17</v>
      </c>
      <c r="Q164" s="136">
        <v>366</v>
      </c>
      <c r="R164" s="136">
        <v>371.82</v>
      </c>
      <c r="S164" s="136">
        <v>266.99</v>
      </c>
      <c r="T164" s="136">
        <v>261.17</v>
      </c>
      <c r="U164" s="136">
        <v>255.34</v>
      </c>
      <c r="V164" s="136">
        <v>249.52</v>
      </c>
      <c r="W164" s="136">
        <v>243.69</v>
      </c>
      <c r="X164" s="7">
        <v>160</v>
      </c>
      <c r="Y164" s="136">
        <v>167.71</v>
      </c>
      <c r="Z164" s="136">
        <v>171.82</v>
      </c>
      <c r="AA164" s="2">
        <v>175.93</v>
      </c>
      <c r="AB164" s="15">
        <v>180.04</v>
      </c>
      <c r="AC164" s="3">
        <v>184.16</v>
      </c>
      <c r="AD164" s="188">
        <v>204.92</v>
      </c>
      <c r="AE164" s="189">
        <v>209.03</v>
      </c>
      <c r="AF164" s="189">
        <v>213.14</v>
      </c>
      <c r="AG164" s="201">
        <v>217.25</v>
      </c>
      <c r="AH164" s="190">
        <v>221.37</v>
      </c>
      <c r="AI164" s="184">
        <v>225.48</v>
      </c>
      <c r="AJ164" s="184">
        <v>229.59</v>
      </c>
      <c r="AK164" s="184">
        <v>233.7</v>
      </c>
      <c r="AL164" s="184">
        <v>237.81</v>
      </c>
      <c r="AM164" s="184">
        <v>241.93</v>
      </c>
      <c r="AN164" s="184">
        <v>246.04</v>
      </c>
      <c r="AO164" s="136">
        <v>233.5</v>
      </c>
      <c r="AP164" s="136">
        <v>237.61</v>
      </c>
      <c r="AQ164" s="136">
        <v>241.72</v>
      </c>
      <c r="AR164" s="136">
        <v>245.84</v>
      </c>
      <c r="AS164" s="136">
        <v>171.82</v>
      </c>
      <c r="AT164" s="136">
        <v>167.71</v>
      </c>
      <c r="AU164" s="136">
        <v>163.6</v>
      </c>
      <c r="AV164" s="136">
        <v>159.47999999999999</v>
      </c>
      <c r="AW164" s="136">
        <v>155.37</v>
      </c>
    </row>
    <row r="165" spans="1:49" x14ac:dyDescent="0.45">
      <c r="A165" s="2">
        <v>274.51</v>
      </c>
      <c r="B165" s="15">
        <v>280.37</v>
      </c>
      <c r="C165" s="3">
        <v>286.23</v>
      </c>
      <c r="D165" s="188">
        <v>316.83999999999997</v>
      </c>
      <c r="E165" s="189">
        <v>322.7</v>
      </c>
      <c r="F165" s="189">
        <v>328.56</v>
      </c>
      <c r="G165" s="189">
        <v>334.42</v>
      </c>
      <c r="H165" s="190">
        <v>340.28</v>
      </c>
      <c r="I165" s="184">
        <v>346.14</v>
      </c>
      <c r="J165" s="184">
        <v>352</v>
      </c>
      <c r="K165" s="184">
        <v>357.87</v>
      </c>
      <c r="L165" s="184">
        <v>363.73</v>
      </c>
      <c r="M165" s="184">
        <v>369.59</v>
      </c>
      <c r="N165" s="184">
        <v>375.45</v>
      </c>
      <c r="O165" s="136">
        <v>356.55</v>
      </c>
      <c r="P165" s="136">
        <v>362.41</v>
      </c>
      <c r="Q165" s="136">
        <v>368.27</v>
      </c>
      <c r="R165" s="136">
        <v>374.13</v>
      </c>
      <c r="S165" s="136">
        <v>268.64999999999998</v>
      </c>
      <c r="T165" s="136">
        <v>262.79000000000002</v>
      </c>
      <c r="U165" s="136">
        <v>256.93</v>
      </c>
      <c r="V165" s="136">
        <v>251.07</v>
      </c>
      <c r="W165" s="136">
        <v>245.21</v>
      </c>
      <c r="X165" s="7">
        <v>161</v>
      </c>
      <c r="Y165" s="136">
        <v>168.75</v>
      </c>
      <c r="Z165" s="136">
        <v>172.89</v>
      </c>
      <c r="AA165" s="2">
        <v>177.03</v>
      </c>
      <c r="AB165" s="15">
        <v>181.17</v>
      </c>
      <c r="AC165" s="3">
        <v>185.3</v>
      </c>
      <c r="AD165" s="188">
        <v>206.2</v>
      </c>
      <c r="AE165" s="189">
        <v>210.33</v>
      </c>
      <c r="AF165" s="189">
        <v>214.47</v>
      </c>
      <c r="AG165" s="201">
        <v>218.61</v>
      </c>
      <c r="AH165" s="190">
        <v>222.75</v>
      </c>
      <c r="AI165" s="184">
        <v>226.88</v>
      </c>
      <c r="AJ165" s="184">
        <v>231.02</v>
      </c>
      <c r="AK165" s="184">
        <v>235.16</v>
      </c>
      <c r="AL165" s="184">
        <v>239.3</v>
      </c>
      <c r="AM165" s="184">
        <v>243.43</v>
      </c>
      <c r="AN165" s="184">
        <v>247.57</v>
      </c>
      <c r="AO165" s="136">
        <v>234.96</v>
      </c>
      <c r="AP165" s="136">
        <v>239.09</v>
      </c>
      <c r="AQ165" s="136">
        <v>243.23</v>
      </c>
      <c r="AR165" s="136">
        <v>247.37</v>
      </c>
      <c r="AS165" s="136">
        <v>172.89</v>
      </c>
      <c r="AT165" s="136">
        <v>168.75</v>
      </c>
      <c r="AU165" s="136">
        <v>164.62</v>
      </c>
      <c r="AV165" s="136">
        <v>160.47999999999999</v>
      </c>
      <c r="AW165" s="136">
        <v>156.34</v>
      </c>
    </row>
    <row r="166" spans="1:49" x14ac:dyDescent="0.45">
      <c r="A166" s="2">
        <v>276.20999999999998</v>
      </c>
      <c r="B166" s="15">
        <v>282.10000000000002</v>
      </c>
      <c r="C166" s="3">
        <v>288</v>
      </c>
      <c r="D166" s="188">
        <v>318.8</v>
      </c>
      <c r="E166" s="189">
        <v>324.7</v>
      </c>
      <c r="F166" s="189">
        <v>330.59</v>
      </c>
      <c r="G166" s="189">
        <v>336.49</v>
      </c>
      <c r="H166" s="190">
        <v>342.39</v>
      </c>
      <c r="I166" s="184">
        <v>348.28</v>
      </c>
      <c r="J166" s="184">
        <v>354.18</v>
      </c>
      <c r="K166" s="184">
        <v>360.08</v>
      </c>
      <c r="L166" s="184">
        <v>365.97</v>
      </c>
      <c r="M166" s="184">
        <v>371.87</v>
      </c>
      <c r="N166" s="184">
        <v>377.77</v>
      </c>
      <c r="O166" s="136">
        <v>358.76</v>
      </c>
      <c r="P166" s="136">
        <v>364.66</v>
      </c>
      <c r="Q166" s="136">
        <v>370.55</v>
      </c>
      <c r="R166" s="136">
        <v>376.45</v>
      </c>
      <c r="S166" s="136">
        <v>270.31</v>
      </c>
      <c r="T166" s="136">
        <v>264.41000000000003</v>
      </c>
      <c r="U166" s="136">
        <v>258.51</v>
      </c>
      <c r="V166" s="136">
        <v>252.62</v>
      </c>
      <c r="W166" s="136">
        <v>246.72</v>
      </c>
      <c r="X166" s="7">
        <v>162</v>
      </c>
      <c r="Y166" s="136">
        <v>169.8</v>
      </c>
      <c r="Z166" s="136">
        <v>173.96</v>
      </c>
      <c r="AA166" s="2">
        <v>178.13</v>
      </c>
      <c r="AB166" s="15">
        <v>182.29</v>
      </c>
      <c r="AC166" s="3">
        <v>186.45</v>
      </c>
      <c r="AD166" s="188">
        <v>207.47</v>
      </c>
      <c r="AE166" s="189">
        <v>211.64</v>
      </c>
      <c r="AF166" s="189">
        <v>215.8</v>
      </c>
      <c r="AG166" s="201">
        <v>219.96</v>
      </c>
      <c r="AH166" s="190">
        <v>224.13</v>
      </c>
      <c r="AI166" s="184">
        <v>228.29</v>
      </c>
      <c r="AJ166" s="184">
        <v>232.45</v>
      </c>
      <c r="AK166" s="184">
        <v>236.62</v>
      </c>
      <c r="AL166" s="184">
        <v>240.78</v>
      </c>
      <c r="AM166" s="184">
        <v>244.94</v>
      </c>
      <c r="AN166" s="184">
        <v>249.11</v>
      </c>
      <c r="AO166" s="136">
        <v>236.42</v>
      </c>
      <c r="AP166" s="136">
        <v>240.58</v>
      </c>
      <c r="AQ166" s="136">
        <v>244.74</v>
      </c>
      <c r="AR166" s="136">
        <v>248.91</v>
      </c>
      <c r="AS166" s="136">
        <v>173.96</v>
      </c>
      <c r="AT166" s="136">
        <v>169.8</v>
      </c>
      <c r="AU166" s="136">
        <v>165.64</v>
      </c>
      <c r="AV166" s="136">
        <v>161.47</v>
      </c>
      <c r="AW166" s="136">
        <v>157.31</v>
      </c>
    </row>
    <row r="167" spans="1:49" x14ac:dyDescent="0.45">
      <c r="A167" s="2">
        <v>277.91000000000003</v>
      </c>
      <c r="B167" s="15">
        <v>283.83999999999997</v>
      </c>
      <c r="C167" s="3">
        <v>289.77</v>
      </c>
      <c r="D167" s="188">
        <v>320.76</v>
      </c>
      <c r="E167" s="189">
        <v>326.7</v>
      </c>
      <c r="F167" s="189">
        <v>332.63</v>
      </c>
      <c r="G167" s="189">
        <v>338.56</v>
      </c>
      <c r="H167" s="190">
        <v>344.49</v>
      </c>
      <c r="I167" s="184">
        <v>350.43</v>
      </c>
      <c r="J167" s="184">
        <v>356.36</v>
      </c>
      <c r="K167" s="184">
        <v>362.29</v>
      </c>
      <c r="L167" s="184">
        <v>368.23</v>
      </c>
      <c r="M167" s="184">
        <v>374.16</v>
      </c>
      <c r="N167" s="184">
        <v>380.09</v>
      </c>
      <c r="O167" s="136">
        <v>360.97</v>
      </c>
      <c r="P167" s="136">
        <v>366.9</v>
      </c>
      <c r="Q167" s="136">
        <v>372.84</v>
      </c>
      <c r="R167" s="136">
        <v>378.77</v>
      </c>
      <c r="S167" s="136">
        <v>271.97000000000003</v>
      </c>
      <c r="T167" s="136">
        <v>266.04000000000002</v>
      </c>
      <c r="U167" s="136">
        <v>260.11</v>
      </c>
      <c r="V167" s="136">
        <v>254.17</v>
      </c>
      <c r="W167" s="136">
        <v>248.24</v>
      </c>
      <c r="X167" s="7">
        <v>163</v>
      </c>
      <c r="Y167" s="136">
        <v>170.85</v>
      </c>
      <c r="Z167" s="136">
        <v>175.04</v>
      </c>
      <c r="AA167" s="2">
        <v>179.23</v>
      </c>
      <c r="AB167" s="15">
        <v>183.42</v>
      </c>
      <c r="AC167" s="3">
        <v>187.6</v>
      </c>
      <c r="AD167" s="188">
        <v>208.75</v>
      </c>
      <c r="AE167" s="189">
        <v>212.94</v>
      </c>
      <c r="AF167" s="189">
        <v>217.13</v>
      </c>
      <c r="AG167" s="201">
        <v>221.32</v>
      </c>
      <c r="AH167" s="190">
        <v>225.51</v>
      </c>
      <c r="AI167" s="184">
        <v>229.7</v>
      </c>
      <c r="AJ167" s="184">
        <v>233.89</v>
      </c>
      <c r="AK167" s="184">
        <v>238.08</v>
      </c>
      <c r="AL167" s="184">
        <v>242.27</v>
      </c>
      <c r="AM167" s="184">
        <v>246.46</v>
      </c>
      <c r="AN167" s="184">
        <v>250.65</v>
      </c>
      <c r="AO167" s="136">
        <v>237.87</v>
      </c>
      <c r="AP167" s="136">
        <v>242.06</v>
      </c>
      <c r="AQ167" s="136">
        <v>246.25</v>
      </c>
      <c r="AR167" s="136">
        <v>250.44</v>
      </c>
      <c r="AS167" s="136">
        <v>175.04</v>
      </c>
      <c r="AT167" s="136">
        <v>170.85</v>
      </c>
      <c r="AU167" s="136">
        <v>166.66</v>
      </c>
      <c r="AV167" s="136">
        <v>162.47</v>
      </c>
      <c r="AW167" s="136">
        <v>158.28</v>
      </c>
    </row>
    <row r="168" spans="1:49" x14ac:dyDescent="0.45">
      <c r="A168" s="2">
        <v>279.61</v>
      </c>
      <c r="B168" s="15">
        <v>285.58</v>
      </c>
      <c r="C168" s="3">
        <v>291.55</v>
      </c>
      <c r="D168" s="188">
        <v>322.73</v>
      </c>
      <c r="E168" s="189">
        <v>328.7</v>
      </c>
      <c r="F168" s="189">
        <v>334.67</v>
      </c>
      <c r="G168" s="189">
        <v>340.64</v>
      </c>
      <c r="H168" s="190">
        <v>346.61</v>
      </c>
      <c r="I168" s="184">
        <v>352.58</v>
      </c>
      <c r="J168" s="184">
        <v>358.55</v>
      </c>
      <c r="K168" s="184">
        <v>364.52</v>
      </c>
      <c r="L168" s="184">
        <v>370.48</v>
      </c>
      <c r="M168" s="184">
        <v>376.45</v>
      </c>
      <c r="N168" s="184">
        <v>382.42</v>
      </c>
      <c r="O168" s="136">
        <v>363.18</v>
      </c>
      <c r="P168" s="136">
        <v>369.15</v>
      </c>
      <c r="Q168" s="136">
        <v>375.12</v>
      </c>
      <c r="R168" s="136">
        <v>381.09</v>
      </c>
      <c r="S168" s="136">
        <v>273.64</v>
      </c>
      <c r="T168" s="136">
        <v>267.67</v>
      </c>
      <c r="U168" s="136">
        <v>261.7</v>
      </c>
      <c r="V168" s="136">
        <v>255.73</v>
      </c>
      <c r="W168" s="136">
        <v>249.76</v>
      </c>
      <c r="X168" s="7">
        <v>164</v>
      </c>
      <c r="Y168" s="136">
        <v>171.9</v>
      </c>
      <c r="Z168" s="136">
        <v>176.11</v>
      </c>
      <c r="AA168" s="2">
        <v>180.33</v>
      </c>
      <c r="AB168" s="15">
        <v>184.54</v>
      </c>
      <c r="AC168" s="3">
        <v>188.76</v>
      </c>
      <c r="AD168" s="188">
        <v>210.04</v>
      </c>
      <c r="AE168" s="189">
        <v>214.25</v>
      </c>
      <c r="AF168" s="189">
        <v>218.47</v>
      </c>
      <c r="AG168" s="201">
        <v>222.68</v>
      </c>
      <c r="AH168" s="190">
        <v>226.89</v>
      </c>
      <c r="AI168" s="184">
        <v>231.11</v>
      </c>
      <c r="AJ168" s="184">
        <v>235.32</v>
      </c>
      <c r="AK168" s="184">
        <v>239.54</v>
      </c>
      <c r="AL168" s="184">
        <v>243.75</v>
      </c>
      <c r="AM168" s="184">
        <v>247.97</v>
      </c>
      <c r="AN168" s="184">
        <v>252.18</v>
      </c>
      <c r="AO168" s="136">
        <v>239.83</v>
      </c>
      <c r="AP168" s="136">
        <v>243.55</v>
      </c>
      <c r="AQ168" s="136">
        <v>247.76</v>
      </c>
      <c r="AR168" s="136">
        <v>251.98</v>
      </c>
      <c r="AS168" s="136">
        <v>176.11</v>
      </c>
      <c r="AT168" s="136">
        <v>171.9</v>
      </c>
      <c r="AU168" s="136">
        <v>167.68</v>
      </c>
      <c r="AV168" s="136">
        <v>163.47</v>
      </c>
      <c r="AW168" s="136">
        <v>159.25</v>
      </c>
    </row>
    <row r="169" spans="1:49" x14ac:dyDescent="0.45">
      <c r="A169" s="2">
        <v>281.32</v>
      </c>
      <c r="B169" s="15">
        <v>287.32</v>
      </c>
      <c r="C169" s="3">
        <v>293.33</v>
      </c>
      <c r="D169" s="188">
        <v>324.7</v>
      </c>
      <c r="E169" s="189">
        <v>330.7</v>
      </c>
      <c r="F169" s="189">
        <v>336.71</v>
      </c>
      <c r="G169" s="189">
        <v>342.72</v>
      </c>
      <c r="H169" s="190">
        <v>348.72</v>
      </c>
      <c r="I169" s="184">
        <v>354.73</v>
      </c>
      <c r="J169" s="184">
        <v>360.73</v>
      </c>
      <c r="K169" s="184">
        <v>366.74</v>
      </c>
      <c r="L169" s="184">
        <v>372.75</v>
      </c>
      <c r="M169" s="184">
        <v>378.75</v>
      </c>
      <c r="N169" s="184">
        <v>384.76</v>
      </c>
      <c r="O169" s="136">
        <v>365.4</v>
      </c>
      <c r="P169" s="136">
        <v>371.41</v>
      </c>
      <c r="Q169" s="136">
        <v>377.41</v>
      </c>
      <c r="R169" s="136">
        <v>383.42</v>
      </c>
      <c r="S169" s="136">
        <v>275.31</v>
      </c>
      <c r="T169" s="136">
        <v>269.3</v>
      </c>
      <c r="U169" s="136">
        <v>263.3</v>
      </c>
      <c r="V169" s="136">
        <v>257.29000000000002</v>
      </c>
      <c r="W169" s="136">
        <v>251.29</v>
      </c>
      <c r="X169" s="7">
        <v>165</v>
      </c>
      <c r="Y169" s="136">
        <v>172.95</v>
      </c>
      <c r="Z169" s="136">
        <v>177.19</v>
      </c>
      <c r="AA169" s="2">
        <v>181.43</v>
      </c>
      <c r="AB169" s="15">
        <v>185.67</v>
      </c>
      <c r="AC169" s="3">
        <v>189.91</v>
      </c>
      <c r="AD169" s="188">
        <v>211.32</v>
      </c>
      <c r="AE169" s="189">
        <v>215.56</v>
      </c>
      <c r="AF169" s="189">
        <v>219.8</v>
      </c>
      <c r="AG169" s="201">
        <v>224.04</v>
      </c>
      <c r="AH169" s="190">
        <v>228.28</v>
      </c>
      <c r="AI169" s="184">
        <v>232.52</v>
      </c>
      <c r="AJ169" s="184">
        <v>236.76</v>
      </c>
      <c r="AK169" s="184">
        <v>241</v>
      </c>
      <c r="AL169" s="184">
        <v>245.24</v>
      </c>
      <c r="AM169" s="184">
        <v>249.48</v>
      </c>
      <c r="AN169" s="184">
        <v>253.72</v>
      </c>
      <c r="AO169" s="136">
        <v>240.79</v>
      </c>
      <c r="AP169" s="136">
        <v>245.04</v>
      </c>
      <c r="AQ169" s="136">
        <v>249.28</v>
      </c>
      <c r="AR169" s="136">
        <v>253.52</v>
      </c>
      <c r="AS169" s="136">
        <v>177.19</v>
      </c>
      <c r="AT169" s="136">
        <v>172.95</v>
      </c>
      <c r="AU169" s="136">
        <v>168.71</v>
      </c>
      <c r="AV169" s="136">
        <v>164.47</v>
      </c>
      <c r="AW169" s="136">
        <v>160.22999999999999</v>
      </c>
    </row>
    <row r="170" spans="1:49" x14ac:dyDescent="0.45">
      <c r="A170" s="2">
        <v>283.02</v>
      </c>
      <c r="B170" s="15">
        <v>289.07</v>
      </c>
      <c r="C170" s="3">
        <v>295.11</v>
      </c>
      <c r="D170" s="188">
        <v>326.67</v>
      </c>
      <c r="E170" s="189">
        <v>332.71</v>
      </c>
      <c r="F170" s="189">
        <v>338.76</v>
      </c>
      <c r="G170" s="189">
        <v>344.8</v>
      </c>
      <c r="H170" s="190">
        <v>350.84</v>
      </c>
      <c r="I170" s="184">
        <v>356.88</v>
      </c>
      <c r="J170" s="184">
        <v>362.93</v>
      </c>
      <c r="K170" s="184">
        <v>368.97</v>
      </c>
      <c r="L170" s="184">
        <v>375.01</v>
      </c>
      <c r="M170" s="184">
        <v>381.05</v>
      </c>
      <c r="N170" s="184">
        <v>387.1</v>
      </c>
      <c r="O170" s="136">
        <v>367.62</v>
      </c>
      <c r="P170" s="136">
        <v>373.66</v>
      </c>
      <c r="Q170" s="136">
        <v>379.7</v>
      </c>
      <c r="R170" s="136">
        <v>385.75</v>
      </c>
      <c r="S170" s="136">
        <v>276.98</v>
      </c>
      <c r="T170" s="136">
        <v>270.94</v>
      </c>
      <c r="U170" s="136">
        <v>264.89999999999998</v>
      </c>
      <c r="V170" s="136">
        <v>258.86</v>
      </c>
      <c r="W170" s="136">
        <v>252.81</v>
      </c>
      <c r="X170" s="7">
        <v>166</v>
      </c>
      <c r="Y170" s="136">
        <v>174</v>
      </c>
      <c r="Z170" s="136">
        <v>178.26</v>
      </c>
      <c r="AA170" s="2">
        <v>182.53</v>
      </c>
      <c r="AB170" s="15">
        <v>186.8</v>
      </c>
      <c r="AC170" s="3">
        <v>191.06</v>
      </c>
      <c r="AD170" s="188">
        <v>212.6</v>
      </c>
      <c r="AE170" s="189">
        <v>216.87</v>
      </c>
      <c r="AF170" s="189">
        <v>221.13</v>
      </c>
      <c r="AG170" s="201">
        <v>225.4</v>
      </c>
      <c r="AH170" s="190">
        <v>229.67</v>
      </c>
      <c r="AI170" s="184">
        <v>233.93</v>
      </c>
      <c r="AJ170" s="184">
        <v>238.2</v>
      </c>
      <c r="AK170" s="184">
        <v>242.47</v>
      </c>
      <c r="AL170" s="184">
        <v>246.73</v>
      </c>
      <c r="AM170" s="184">
        <v>251</v>
      </c>
      <c r="AN170" s="184">
        <v>255.26</v>
      </c>
      <c r="AO170" s="136">
        <v>242.26</v>
      </c>
      <c r="AP170" s="136">
        <v>246.52</v>
      </c>
      <c r="AQ170" s="136">
        <v>250.79</v>
      </c>
      <c r="AR170" s="136">
        <v>255.05</v>
      </c>
      <c r="AS170" s="136">
        <v>178.26</v>
      </c>
      <c r="AT170" s="136">
        <v>174</v>
      </c>
      <c r="AU170" s="136">
        <v>169.73</v>
      </c>
      <c r="AV170" s="136">
        <v>165.46</v>
      </c>
      <c r="AW170" s="136">
        <v>161.19999999999999</v>
      </c>
    </row>
    <row r="171" spans="1:49" x14ac:dyDescent="0.45">
      <c r="A171" s="2">
        <v>284.74</v>
      </c>
      <c r="B171" s="15">
        <v>290.82</v>
      </c>
      <c r="C171" s="3">
        <v>296.89999999999998</v>
      </c>
      <c r="D171" s="188">
        <v>328.65</v>
      </c>
      <c r="E171" s="189">
        <v>334.73</v>
      </c>
      <c r="F171" s="189">
        <v>340.81</v>
      </c>
      <c r="G171" s="189">
        <v>346.89</v>
      </c>
      <c r="H171" s="190">
        <v>352.97</v>
      </c>
      <c r="I171" s="184">
        <v>359.04</v>
      </c>
      <c r="J171" s="184">
        <v>365.12</v>
      </c>
      <c r="K171" s="184">
        <v>371.2</v>
      </c>
      <c r="L171" s="184">
        <v>377.28</v>
      </c>
      <c r="M171" s="184">
        <v>383.36</v>
      </c>
      <c r="N171" s="184">
        <v>389.44</v>
      </c>
      <c r="O171" s="136">
        <v>369.84</v>
      </c>
      <c r="P171" s="136">
        <v>375.92</v>
      </c>
      <c r="Q171" s="136">
        <v>382</v>
      </c>
      <c r="R171" s="136">
        <v>388.08</v>
      </c>
      <c r="S171" s="136">
        <v>278.66000000000003</v>
      </c>
      <c r="T171" s="136">
        <v>272.58</v>
      </c>
      <c r="U171" s="136">
        <v>266.5</v>
      </c>
      <c r="V171" s="136">
        <v>260.42</v>
      </c>
      <c r="W171" s="136">
        <v>254.34</v>
      </c>
      <c r="X171" s="7">
        <v>167</v>
      </c>
      <c r="Y171" s="136">
        <v>175.05</v>
      </c>
      <c r="Z171" s="136">
        <v>179.34</v>
      </c>
      <c r="AA171" s="2">
        <v>183.63</v>
      </c>
      <c r="AB171" s="15">
        <v>187.92</v>
      </c>
      <c r="AC171" s="3">
        <v>192.22</v>
      </c>
      <c r="AD171" s="188">
        <v>213.89</v>
      </c>
      <c r="AE171" s="189">
        <v>218.18</v>
      </c>
      <c r="AF171" s="189">
        <v>222.47</v>
      </c>
      <c r="AG171" s="201">
        <v>226.76</v>
      </c>
      <c r="AH171" s="190">
        <v>231.06</v>
      </c>
      <c r="AI171" s="184">
        <v>235.35</v>
      </c>
      <c r="AJ171" s="184">
        <v>241.08</v>
      </c>
      <c r="AK171" s="184">
        <v>243.93</v>
      </c>
      <c r="AL171" s="184">
        <v>248.22</v>
      </c>
      <c r="AM171" s="184">
        <v>252.51</v>
      </c>
      <c r="AN171" s="184">
        <v>256.81</v>
      </c>
      <c r="AO171" s="136">
        <v>243.72</v>
      </c>
      <c r="AP171" s="136">
        <v>248.01</v>
      </c>
      <c r="AQ171" s="136">
        <v>252.3</v>
      </c>
      <c r="AR171" s="136">
        <v>256.58999999999997</v>
      </c>
      <c r="AS171" s="136">
        <v>179.34</v>
      </c>
      <c r="AT171" s="136">
        <v>175.05</v>
      </c>
      <c r="AU171" s="136">
        <v>170.76</v>
      </c>
      <c r="AV171" s="136">
        <v>166.46</v>
      </c>
      <c r="AW171" s="136">
        <v>162.16999999999999</v>
      </c>
    </row>
    <row r="172" spans="1:49" x14ac:dyDescent="0.45">
      <c r="A172" s="2">
        <v>286.45</v>
      </c>
      <c r="B172" s="15">
        <v>292.57</v>
      </c>
      <c r="C172" s="3">
        <v>298.68</v>
      </c>
      <c r="D172" s="188">
        <v>330.63</v>
      </c>
      <c r="E172" s="189">
        <v>336.75</v>
      </c>
      <c r="F172" s="189">
        <v>342.86</v>
      </c>
      <c r="G172" s="189">
        <v>348.98</v>
      </c>
      <c r="H172" s="190">
        <v>355.09</v>
      </c>
      <c r="I172" s="184">
        <v>361.21</v>
      </c>
      <c r="J172" s="184">
        <v>367.32</v>
      </c>
      <c r="K172" s="184">
        <v>373.44</v>
      </c>
      <c r="L172" s="184">
        <v>379.55</v>
      </c>
      <c r="M172" s="184">
        <v>385.67</v>
      </c>
      <c r="N172" s="184">
        <v>391.79</v>
      </c>
      <c r="O172" s="136">
        <v>372.07</v>
      </c>
      <c r="P172" s="136">
        <v>378.18</v>
      </c>
      <c r="Q172" s="136">
        <v>384.3</v>
      </c>
      <c r="R172" s="136">
        <v>390.41</v>
      </c>
      <c r="S172" s="136">
        <v>280.33999999999997</v>
      </c>
      <c r="T172" s="136">
        <v>274.22000000000003</v>
      </c>
      <c r="U172" s="136">
        <v>268.11</v>
      </c>
      <c r="V172" s="136">
        <v>261.99</v>
      </c>
      <c r="W172" s="136">
        <v>255.88</v>
      </c>
      <c r="X172" s="7">
        <v>168</v>
      </c>
      <c r="Y172" s="136">
        <v>176.1</v>
      </c>
      <c r="Z172" s="136">
        <v>180.42</v>
      </c>
      <c r="AA172" s="2">
        <v>184.74</v>
      </c>
      <c r="AB172" s="15">
        <v>189.05</v>
      </c>
      <c r="AC172" s="3">
        <v>193.37</v>
      </c>
      <c r="AD172" s="188">
        <v>215.17</v>
      </c>
      <c r="AE172" s="189">
        <v>219.49</v>
      </c>
      <c r="AF172" s="189">
        <v>223.81</v>
      </c>
      <c r="AG172" s="201">
        <v>228.13</v>
      </c>
      <c r="AH172" s="190">
        <v>232.44</v>
      </c>
      <c r="AI172" s="184">
        <v>236.76</v>
      </c>
      <c r="AJ172" s="184">
        <v>242.52</v>
      </c>
      <c r="AK172" s="184">
        <v>245.4</v>
      </c>
      <c r="AL172" s="184">
        <v>249.71</v>
      </c>
      <c r="AM172" s="184">
        <v>254.03</v>
      </c>
      <c r="AN172" s="184">
        <v>258.35000000000002</v>
      </c>
      <c r="AO172" s="136">
        <v>245.18</v>
      </c>
      <c r="AP172" s="136">
        <v>249.5</v>
      </c>
      <c r="AQ172" s="136">
        <v>253.82</v>
      </c>
      <c r="AR172" s="136">
        <v>258.14</v>
      </c>
      <c r="AS172" s="136">
        <v>180.42</v>
      </c>
      <c r="AT172" s="136">
        <v>176.1</v>
      </c>
      <c r="AU172" s="136">
        <v>171.78</v>
      </c>
      <c r="AV172" s="136">
        <v>167.47</v>
      </c>
      <c r="AW172" s="136">
        <v>163.15</v>
      </c>
    </row>
    <row r="173" spans="1:49" x14ac:dyDescent="0.45">
      <c r="A173" s="2">
        <v>287.89999999999998</v>
      </c>
      <c r="B173" s="15">
        <v>294.05</v>
      </c>
      <c r="C173" s="3">
        <v>300.2</v>
      </c>
      <c r="D173" s="188">
        <v>332.26</v>
      </c>
      <c r="E173" s="189">
        <v>338.41</v>
      </c>
      <c r="F173" s="189">
        <v>344.57</v>
      </c>
      <c r="G173" s="189">
        <v>350.72</v>
      </c>
      <c r="H173" s="190">
        <v>356.87</v>
      </c>
      <c r="I173" s="184">
        <v>363.02</v>
      </c>
      <c r="J173" s="184">
        <v>369.17</v>
      </c>
      <c r="K173" s="184">
        <v>375.32</v>
      </c>
      <c r="L173" s="184">
        <v>381.48</v>
      </c>
      <c r="M173" s="184">
        <v>387.63</v>
      </c>
      <c r="N173" s="184">
        <v>393.78</v>
      </c>
      <c r="O173" s="136">
        <v>374.02</v>
      </c>
      <c r="P173" s="136">
        <v>380.17</v>
      </c>
      <c r="Q173" s="136">
        <v>386.32</v>
      </c>
      <c r="R173" s="136">
        <v>392.47</v>
      </c>
      <c r="S173" s="136">
        <v>281.75</v>
      </c>
      <c r="T173" s="136">
        <v>275.58999999999997</v>
      </c>
      <c r="U173" s="136">
        <v>269.44</v>
      </c>
      <c r="V173" s="136">
        <v>263.29000000000002</v>
      </c>
      <c r="W173" s="136">
        <v>257.14</v>
      </c>
      <c r="X173" s="7">
        <v>169</v>
      </c>
      <c r="Y173" s="136">
        <v>177.15</v>
      </c>
      <c r="Z173" s="136">
        <v>181.5</v>
      </c>
      <c r="AA173" s="2">
        <v>185.84</v>
      </c>
      <c r="AB173" s="15">
        <v>190.18</v>
      </c>
      <c r="AC173" s="3">
        <v>194.53</v>
      </c>
      <c r="AD173" s="188">
        <v>216.46</v>
      </c>
      <c r="AE173" s="189">
        <v>220.81</v>
      </c>
      <c r="AF173" s="189">
        <v>225.15</v>
      </c>
      <c r="AG173" s="201">
        <v>229.49</v>
      </c>
      <c r="AH173" s="190">
        <v>233.84</v>
      </c>
      <c r="AI173" s="184">
        <v>238.18</v>
      </c>
      <c r="AJ173" s="184">
        <v>243.97</v>
      </c>
      <c r="AK173" s="184">
        <v>246.87</v>
      </c>
      <c r="AL173" s="184">
        <v>251.21</v>
      </c>
      <c r="AM173" s="184">
        <v>255.55</v>
      </c>
      <c r="AN173" s="184">
        <v>259.89999999999998</v>
      </c>
      <c r="AO173" s="136">
        <v>246.65</v>
      </c>
      <c r="AP173" s="136">
        <v>250.99</v>
      </c>
      <c r="AQ173" s="136">
        <v>255.33</v>
      </c>
      <c r="AR173" s="136">
        <v>259.68</v>
      </c>
      <c r="AS173" s="136">
        <v>181.5</v>
      </c>
      <c r="AT173" s="136">
        <v>177.15</v>
      </c>
      <c r="AU173" s="136">
        <v>172.81</v>
      </c>
      <c r="AV173" s="136">
        <v>168.47</v>
      </c>
      <c r="AW173" s="136">
        <v>164.12</v>
      </c>
    </row>
    <row r="174" spans="1:49" x14ac:dyDescent="0.45">
      <c r="A174" s="2">
        <v>289.62</v>
      </c>
      <c r="B174" s="15">
        <v>295.8</v>
      </c>
      <c r="C174" s="3">
        <v>301.99</v>
      </c>
      <c r="D174" s="188">
        <v>334.25</v>
      </c>
      <c r="E174" s="189">
        <v>340.44</v>
      </c>
      <c r="F174" s="189">
        <v>346.63</v>
      </c>
      <c r="G174" s="189">
        <v>352.81</v>
      </c>
      <c r="H174" s="190">
        <v>359</v>
      </c>
      <c r="I174" s="184">
        <v>365.19</v>
      </c>
      <c r="J174" s="184">
        <v>371.38</v>
      </c>
      <c r="K174" s="184">
        <v>377.57</v>
      </c>
      <c r="L174" s="184">
        <v>383.75</v>
      </c>
      <c r="M174" s="184">
        <v>389.94</v>
      </c>
      <c r="N174" s="184">
        <v>396.13</v>
      </c>
      <c r="O174" s="136">
        <v>376.25</v>
      </c>
      <c r="P174" s="136">
        <v>382.44</v>
      </c>
      <c r="Q174" s="136">
        <v>388.62</v>
      </c>
      <c r="R174" s="136">
        <v>394.81</v>
      </c>
      <c r="S174" s="136">
        <v>283.75</v>
      </c>
      <c r="T174" s="136">
        <v>277.24</v>
      </c>
      <c r="U174" s="136">
        <v>271.05</v>
      </c>
      <c r="V174" s="136">
        <v>264.86</v>
      </c>
      <c r="W174" s="136">
        <v>258.68</v>
      </c>
      <c r="X174" s="7">
        <v>170</v>
      </c>
      <c r="Y174" s="136">
        <v>178.21</v>
      </c>
      <c r="Z174" s="136">
        <v>182.58</v>
      </c>
      <c r="AA174" s="2">
        <v>186.95</v>
      </c>
      <c r="AB174" s="15">
        <v>191.32</v>
      </c>
      <c r="AC174" s="3">
        <v>195.68</v>
      </c>
      <c r="AD174" s="188">
        <v>217.75</v>
      </c>
      <c r="AE174" s="189">
        <v>222.12</v>
      </c>
      <c r="AF174" s="189">
        <v>226.49</v>
      </c>
      <c r="AG174" s="201">
        <v>230.86</v>
      </c>
      <c r="AH174" s="190">
        <v>235.23</v>
      </c>
      <c r="AI174" s="184">
        <v>239.6</v>
      </c>
      <c r="AJ174" s="184">
        <v>245.41</v>
      </c>
      <c r="AK174" s="184">
        <v>248.33</v>
      </c>
      <c r="AL174" s="184">
        <v>252.7</v>
      </c>
      <c r="AM174" s="184">
        <v>257.07</v>
      </c>
      <c r="AN174" s="184">
        <v>261.44</v>
      </c>
      <c r="AO174" s="136">
        <v>248.11</v>
      </c>
      <c r="AP174" s="136">
        <v>252.48</v>
      </c>
      <c r="AQ174" s="136">
        <v>256.85000000000002</v>
      </c>
      <c r="AR174" s="136">
        <v>261.22000000000003</v>
      </c>
      <c r="AS174" s="136">
        <v>182.58</v>
      </c>
      <c r="AT174" s="136">
        <v>178.21</v>
      </c>
      <c r="AU174" s="136">
        <v>173.84</v>
      </c>
      <c r="AV174" s="136">
        <v>169.47</v>
      </c>
      <c r="AW174" s="136">
        <v>165.1</v>
      </c>
    </row>
    <row r="175" spans="1:49" x14ac:dyDescent="0.45">
      <c r="A175" s="2">
        <v>291.33999999999997</v>
      </c>
      <c r="B175" s="15">
        <v>297.56</v>
      </c>
      <c r="C175" s="3">
        <v>303.79000000000002</v>
      </c>
      <c r="D175" s="188">
        <v>336.24</v>
      </c>
      <c r="E175" s="189">
        <v>342.47</v>
      </c>
      <c r="F175" s="189">
        <v>348.69</v>
      </c>
      <c r="G175" s="189">
        <v>354.92</v>
      </c>
      <c r="H175" s="190">
        <v>361.14</v>
      </c>
      <c r="I175" s="184">
        <v>367.36</v>
      </c>
      <c r="J175" s="184">
        <v>373.59</v>
      </c>
      <c r="K175" s="184">
        <v>379.81</v>
      </c>
      <c r="L175" s="184">
        <v>386.04</v>
      </c>
      <c r="M175" s="184">
        <v>392.26</v>
      </c>
      <c r="N175" s="184">
        <v>398.49</v>
      </c>
      <c r="O175" s="136">
        <v>378.48</v>
      </c>
      <c r="P175" s="136">
        <v>384.71</v>
      </c>
      <c r="Q175" s="136">
        <v>390.93</v>
      </c>
      <c r="R175" s="136">
        <v>397.16</v>
      </c>
      <c r="S175" s="136">
        <v>285.12</v>
      </c>
      <c r="T175" s="136">
        <v>278.89</v>
      </c>
      <c r="U175" s="136">
        <v>272.67</v>
      </c>
      <c r="V175" s="136">
        <v>266.44</v>
      </c>
      <c r="W175" s="136">
        <v>260.22000000000003</v>
      </c>
      <c r="X175" s="7">
        <v>171</v>
      </c>
      <c r="Y175" s="136">
        <v>179.26</v>
      </c>
      <c r="Z175" s="136">
        <v>183.66</v>
      </c>
      <c r="AA175" s="2">
        <v>188.05</v>
      </c>
      <c r="AB175" s="15">
        <v>192.45</v>
      </c>
      <c r="AC175" s="3">
        <v>196.84</v>
      </c>
      <c r="AD175" s="188">
        <v>219.04</v>
      </c>
      <c r="AE175" s="189">
        <v>223.44</v>
      </c>
      <c r="AF175" s="189">
        <v>227.83</v>
      </c>
      <c r="AG175" s="201">
        <v>232.23</v>
      </c>
      <c r="AH175" s="190">
        <v>236.62</v>
      </c>
      <c r="AI175" s="184">
        <v>241.02</v>
      </c>
      <c r="AJ175" s="184">
        <v>246.86</v>
      </c>
      <c r="AK175" s="184">
        <v>249.81</v>
      </c>
      <c r="AL175" s="184">
        <v>254.2</v>
      </c>
      <c r="AM175" s="184">
        <v>258.58999999999997</v>
      </c>
      <c r="AN175" s="184">
        <v>262.99</v>
      </c>
      <c r="AO175" s="136">
        <v>249.58</v>
      </c>
      <c r="AP175" s="136">
        <v>253.97</v>
      </c>
      <c r="AQ175" s="136">
        <v>258.37</v>
      </c>
      <c r="AR175" s="136">
        <v>262.76</v>
      </c>
      <c r="AS175" s="136">
        <v>183.66</v>
      </c>
      <c r="AT175" s="136">
        <v>179.26</v>
      </c>
      <c r="AU175" s="136">
        <v>174.87</v>
      </c>
      <c r="AV175" s="136">
        <v>170.47</v>
      </c>
      <c r="AW175" s="136">
        <v>166.08</v>
      </c>
    </row>
    <row r="176" spans="1:49" x14ac:dyDescent="0.45">
      <c r="A176" s="2">
        <v>293.07</v>
      </c>
      <c r="B176" s="15">
        <v>299.33</v>
      </c>
      <c r="C176" s="3">
        <v>305.58999999999997</v>
      </c>
      <c r="D176" s="188">
        <v>338.24</v>
      </c>
      <c r="E176" s="189">
        <v>344.5</v>
      </c>
      <c r="F176" s="189">
        <v>350.76</v>
      </c>
      <c r="G176" s="189">
        <v>357.02</v>
      </c>
      <c r="H176" s="190">
        <v>363.28</v>
      </c>
      <c r="I176" s="184">
        <v>369.54</v>
      </c>
      <c r="J176" s="184">
        <v>375.8</v>
      </c>
      <c r="K176" s="184">
        <v>382.06</v>
      </c>
      <c r="L176" s="184">
        <v>388.32</v>
      </c>
      <c r="M176" s="184">
        <v>394.59</v>
      </c>
      <c r="N176" s="184">
        <v>400.85</v>
      </c>
      <c r="O176" s="136">
        <v>380.72</v>
      </c>
      <c r="P176" s="136">
        <v>386.98</v>
      </c>
      <c r="Q176" s="136">
        <v>393.24</v>
      </c>
      <c r="R176" s="136">
        <v>399.5</v>
      </c>
      <c r="S176" s="136">
        <v>286.81</v>
      </c>
      <c r="T176" s="136">
        <v>280.55</v>
      </c>
      <c r="U176" s="136">
        <v>274.27999999999997</v>
      </c>
      <c r="V176" s="136">
        <v>268.02</v>
      </c>
      <c r="W176" s="136">
        <v>261.76</v>
      </c>
      <c r="X176" s="7">
        <v>172</v>
      </c>
      <c r="Y176" s="136">
        <v>180.32</v>
      </c>
      <c r="Z176" s="136">
        <v>184.74</v>
      </c>
      <c r="AA176" s="2">
        <v>189.16</v>
      </c>
      <c r="AB176" s="15">
        <v>193.58</v>
      </c>
      <c r="AC176" s="3">
        <v>198</v>
      </c>
      <c r="AD176" s="188">
        <v>220.33</v>
      </c>
      <c r="AE176" s="189">
        <v>224.75</v>
      </c>
      <c r="AF176" s="189">
        <v>229.18</v>
      </c>
      <c r="AG176" s="201">
        <v>233.6</v>
      </c>
      <c r="AH176" s="190">
        <v>238.02</v>
      </c>
      <c r="AI176" s="184">
        <v>242.44</v>
      </c>
      <c r="AJ176" s="184">
        <v>248.19</v>
      </c>
      <c r="AK176" s="184">
        <v>251.79</v>
      </c>
      <c r="AL176" s="184">
        <v>255.7</v>
      </c>
      <c r="AM176" s="184">
        <v>260.12</v>
      </c>
      <c r="AN176" s="184">
        <v>264.54000000000002</v>
      </c>
      <c r="AO176" s="136">
        <v>251.05</v>
      </c>
      <c r="AP176" s="136">
        <v>255.47</v>
      </c>
      <c r="AQ176" s="136">
        <v>259.89</v>
      </c>
      <c r="AR176" s="136">
        <v>264.31</v>
      </c>
      <c r="AS176" s="136">
        <v>184.74</v>
      </c>
      <c r="AT176" s="136">
        <v>180.32</v>
      </c>
      <c r="AU176" s="136">
        <v>175.9</v>
      </c>
      <c r="AV176" s="136">
        <v>171.48</v>
      </c>
      <c r="AW176" s="136">
        <v>167.06</v>
      </c>
    </row>
    <row r="177" spans="1:49" x14ac:dyDescent="0.45">
      <c r="A177" s="2">
        <v>294.8</v>
      </c>
      <c r="B177" s="15">
        <v>301.10000000000002</v>
      </c>
      <c r="C177" s="3">
        <v>307.39</v>
      </c>
      <c r="D177" s="188">
        <v>340.24</v>
      </c>
      <c r="E177" s="189">
        <v>346.54</v>
      </c>
      <c r="F177" s="189">
        <v>352.83</v>
      </c>
      <c r="G177" s="189">
        <v>359.13</v>
      </c>
      <c r="H177" s="190">
        <v>365.43</v>
      </c>
      <c r="I177" s="184">
        <v>371.73</v>
      </c>
      <c r="J177" s="184">
        <v>378.02</v>
      </c>
      <c r="K177" s="184">
        <v>384.32</v>
      </c>
      <c r="L177" s="184">
        <v>390.62</v>
      </c>
      <c r="M177" s="184">
        <v>396.91</v>
      </c>
      <c r="N177" s="184">
        <v>403.21</v>
      </c>
      <c r="O177" s="136">
        <v>382.96</v>
      </c>
      <c r="P177" s="136">
        <v>389.26</v>
      </c>
      <c r="Q177" s="136">
        <v>395.55</v>
      </c>
      <c r="R177" s="136">
        <v>401.85</v>
      </c>
      <c r="S177" s="136">
        <v>288.5</v>
      </c>
      <c r="T177" s="136">
        <v>282.2</v>
      </c>
      <c r="U177" s="136">
        <v>275.91000000000003</v>
      </c>
      <c r="V177" s="136">
        <v>269.61</v>
      </c>
      <c r="W177" s="136">
        <v>263.31</v>
      </c>
      <c r="X177" s="7">
        <v>173</v>
      </c>
      <c r="Y177" s="136">
        <v>181.3</v>
      </c>
      <c r="Z177" s="136">
        <v>185.74</v>
      </c>
      <c r="AA177" s="2">
        <v>190.19</v>
      </c>
      <c r="AB177" s="15">
        <v>194.63</v>
      </c>
      <c r="AC177" s="3">
        <v>199.08</v>
      </c>
      <c r="AD177" s="188">
        <v>221.51</v>
      </c>
      <c r="AE177" s="189">
        <v>225.96</v>
      </c>
      <c r="AF177" s="189">
        <v>230.41</v>
      </c>
      <c r="AG177" s="201">
        <v>234.85</v>
      </c>
      <c r="AH177" s="190">
        <v>239.3</v>
      </c>
      <c r="AI177" s="184">
        <v>243.74</v>
      </c>
      <c r="AJ177" s="184">
        <v>249.64</v>
      </c>
      <c r="AK177" s="184">
        <v>252.64</v>
      </c>
      <c r="AL177" s="184">
        <v>257.08</v>
      </c>
      <c r="AM177" s="184">
        <v>261.52999999999997</v>
      </c>
      <c r="AN177" s="184">
        <v>265.97000000000003</v>
      </c>
      <c r="AO177" s="136">
        <v>252.43</v>
      </c>
      <c r="AP177" s="136">
        <v>256.88</v>
      </c>
      <c r="AQ177" s="136">
        <v>261.33</v>
      </c>
      <c r="AR177" s="136">
        <v>265.77</v>
      </c>
      <c r="AS177" s="136">
        <v>185.74</v>
      </c>
      <c r="AT177" s="136">
        <v>181.3</v>
      </c>
      <c r="AU177" s="136">
        <v>176.85</v>
      </c>
      <c r="AV177" s="136">
        <v>172.4</v>
      </c>
      <c r="AW177" s="136">
        <v>167.96</v>
      </c>
    </row>
    <row r="178" spans="1:49" x14ac:dyDescent="0.45">
      <c r="A178" s="2">
        <v>296.52999999999997</v>
      </c>
      <c r="B178" s="15">
        <v>302.87</v>
      </c>
      <c r="C178" s="3">
        <v>309.2</v>
      </c>
      <c r="D178" s="188">
        <v>342.25</v>
      </c>
      <c r="E178" s="189">
        <v>348.58</v>
      </c>
      <c r="F178" s="189">
        <v>354.91</v>
      </c>
      <c r="G178" s="189">
        <v>361.25</v>
      </c>
      <c r="H178" s="190">
        <v>367.58</v>
      </c>
      <c r="I178" s="184">
        <v>373.91</v>
      </c>
      <c r="J178" s="184">
        <v>380.25</v>
      </c>
      <c r="K178" s="184">
        <v>386.58</v>
      </c>
      <c r="L178" s="184">
        <v>392.91</v>
      </c>
      <c r="M178" s="184">
        <v>399.25</v>
      </c>
      <c r="N178" s="184">
        <v>405.58</v>
      </c>
      <c r="O178" s="136">
        <v>385.2</v>
      </c>
      <c r="P178" s="136">
        <v>391.54</v>
      </c>
      <c r="Q178" s="136">
        <v>397.87</v>
      </c>
      <c r="R178" s="136">
        <v>404.2</v>
      </c>
      <c r="S178" s="136">
        <v>290.2</v>
      </c>
      <c r="T178" s="136">
        <v>283.87</v>
      </c>
      <c r="U178" s="136">
        <v>277.52999999999997</v>
      </c>
      <c r="V178" s="136">
        <v>271.2</v>
      </c>
      <c r="W178" s="136">
        <v>264.86</v>
      </c>
      <c r="X178" s="7">
        <v>174</v>
      </c>
      <c r="Y178" s="136">
        <v>182.35</v>
      </c>
      <c r="Z178" s="136">
        <v>186.82</v>
      </c>
      <c r="AA178" s="2">
        <v>191.3</v>
      </c>
      <c r="AB178" s="15">
        <v>195.77</v>
      </c>
      <c r="AC178" s="3">
        <v>200.24</v>
      </c>
      <c r="AD178" s="188">
        <v>222.81</v>
      </c>
      <c r="AE178" s="189">
        <v>227.28</v>
      </c>
      <c r="AF178" s="189">
        <v>231.75</v>
      </c>
      <c r="AG178" s="201">
        <v>236.22</v>
      </c>
      <c r="AH178" s="190">
        <v>240.69</v>
      </c>
      <c r="AI178" s="184">
        <v>245.17</v>
      </c>
      <c r="AJ178" s="184">
        <v>251.09</v>
      </c>
      <c r="AK178" s="184">
        <v>254.11</v>
      </c>
      <c r="AL178" s="184">
        <v>258.58</v>
      </c>
      <c r="AM178" s="184">
        <v>263.05</v>
      </c>
      <c r="AN178" s="184">
        <v>267.52</v>
      </c>
      <c r="AO178" s="136">
        <v>253.9</v>
      </c>
      <c r="AP178" s="136">
        <v>258.37</v>
      </c>
      <c r="AQ178" s="136">
        <v>262.85000000000002</v>
      </c>
      <c r="AR178" s="136">
        <v>267.32</v>
      </c>
      <c r="AS178" s="136">
        <v>186.82</v>
      </c>
      <c r="AT178" s="136">
        <v>182.35</v>
      </c>
      <c r="AU178" s="136">
        <v>177.88</v>
      </c>
      <c r="AV178" s="136">
        <v>173.41</v>
      </c>
      <c r="AW178" s="136">
        <v>168.94</v>
      </c>
    </row>
    <row r="179" spans="1:49" x14ac:dyDescent="0.45">
      <c r="A179" s="2">
        <v>298.27</v>
      </c>
      <c r="B179" s="15">
        <v>304.64</v>
      </c>
      <c r="C179" s="3">
        <v>311.01</v>
      </c>
      <c r="D179" s="188">
        <v>344.26</v>
      </c>
      <c r="E179" s="189">
        <v>350.63</v>
      </c>
      <c r="F179" s="189">
        <v>357</v>
      </c>
      <c r="G179" s="189">
        <v>363.37</v>
      </c>
      <c r="H179" s="190">
        <v>369.74</v>
      </c>
      <c r="I179" s="184">
        <v>376.11</v>
      </c>
      <c r="J179" s="184">
        <v>382.48</v>
      </c>
      <c r="K179" s="184">
        <v>388.85</v>
      </c>
      <c r="L179" s="184">
        <v>395.22</v>
      </c>
      <c r="M179" s="184">
        <v>401.59</v>
      </c>
      <c r="N179" s="184">
        <v>407.96</v>
      </c>
      <c r="O179" s="136">
        <v>387.45</v>
      </c>
      <c r="P179" s="136">
        <v>393.82</v>
      </c>
      <c r="Q179" s="136">
        <v>400.19</v>
      </c>
      <c r="R179" s="136">
        <v>406.56</v>
      </c>
      <c r="S179" s="136">
        <v>291.89999999999998</v>
      </c>
      <c r="T179" s="136">
        <v>285.52999999999997</v>
      </c>
      <c r="U179" s="136">
        <v>279.16000000000003</v>
      </c>
      <c r="V179" s="136">
        <v>272.79000000000002</v>
      </c>
      <c r="W179" s="136">
        <v>266.42</v>
      </c>
      <c r="X179" s="7">
        <v>175</v>
      </c>
      <c r="Y179" s="136">
        <v>183.41</v>
      </c>
      <c r="Z179" s="136">
        <v>187.91</v>
      </c>
      <c r="AA179" s="2">
        <v>192.41</v>
      </c>
      <c r="AB179" s="15">
        <v>196.9</v>
      </c>
      <c r="AC179" s="3">
        <v>201.4</v>
      </c>
      <c r="AD179" s="188">
        <v>224.1</v>
      </c>
      <c r="AE179" s="189">
        <v>228.6</v>
      </c>
      <c r="AF179" s="189">
        <v>233.1</v>
      </c>
      <c r="AG179" s="201">
        <v>237.59</v>
      </c>
      <c r="AH179" s="190">
        <v>242.09</v>
      </c>
      <c r="AI179" s="184">
        <v>246.59</v>
      </c>
      <c r="AJ179" s="184">
        <v>252.54</v>
      </c>
      <c r="AK179" s="184">
        <v>255.58</v>
      </c>
      <c r="AL179" s="184">
        <v>260.08</v>
      </c>
      <c r="AM179" s="184">
        <v>264.58</v>
      </c>
      <c r="AN179" s="184">
        <v>269.08</v>
      </c>
      <c r="AO179" s="136">
        <v>255.37</v>
      </c>
      <c r="AP179" s="136">
        <v>259.87</v>
      </c>
      <c r="AQ179" s="136">
        <v>264.37</v>
      </c>
      <c r="AR179" s="136">
        <v>268.86</v>
      </c>
      <c r="AS179" s="136">
        <v>187.91</v>
      </c>
      <c r="AT179" s="136">
        <v>183.41</v>
      </c>
      <c r="AU179" s="136">
        <v>178.91</v>
      </c>
      <c r="AV179" s="136">
        <v>174.42</v>
      </c>
      <c r="AW179" s="136">
        <v>169.92</v>
      </c>
    </row>
    <row r="180" spans="1:49" x14ac:dyDescent="0.45">
      <c r="A180" s="2">
        <v>300.01</v>
      </c>
      <c r="B180" s="15">
        <v>306.42</v>
      </c>
      <c r="C180" s="3">
        <v>312.83</v>
      </c>
      <c r="D180" s="188">
        <v>346.27</v>
      </c>
      <c r="E180" s="189">
        <v>352.68</v>
      </c>
      <c r="F180" s="189">
        <v>359.08</v>
      </c>
      <c r="G180" s="189">
        <v>365.49</v>
      </c>
      <c r="H180" s="190">
        <v>371.9</v>
      </c>
      <c r="I180" s="184">
        <v>378.3</v>
      </c>
      <c r="J180" s="184">
        <v>384.71</v>
      </c>
      <c r="K180" s="184">
        <v>391.12</v>
      </c>
      <c r="L180" s="184">
        <v>397.52</v>
      </c>
      <c r="M180" s="184">
        <v>403.93</v>
      </c>
      <c r="N180" s="184">
        <v>410.34</v>
      </c>
      <c r="O180" s="136">
        <v>389.7</v>
      </c>
      <c r="P180" s="136">
        <v>396.11</v>
      </c>
      <c r="Q180" s="136">
        <v>402.52</v>
      </c>
      <c r="R180" s="136">
        <v>408.92</v>
      </c>
      <c r="S180" s="136">
        <v>293.61</v>
      </c>
      <c r="T180" s="136">
        <v>287.2</v>
      </c>
      <c r="U180" s="136">
        <v>280.79000000000002</v>
      </c>
      <c r="V180" s="136">
        <v>274.39</v>
      </c>
      <c r="W180" s="136">
        <v>267.98</v>
      </c>
      <c r="X180" s="7">
        <v>176</v>
      </c>
      <c r="Y180" s="136">
        <v>184.47</v>
      </c>
      <c r="Z180" s="136">
        <v>188.99</v>
      </c>
      <c r="AA180" s="2">
        <v>193.52</v>
      </c>
      <c r="AB180" s="15">
        <v>198.04</v>
      </c>
      <c r="AC180" s="3">
        <v>202.56</v>
      </c>
      <c r="AD180" s="188">
        <v>225.4</v>
      </c>
      <c r="AE180" s="189">
        <v>229.92</v>
      </c>
      <c r="AF180" s="189">
        <v>234.45</v>
      </c>
      <c r="AG180" s="201">
        <v>238.97</v>
      </c>
      <c r="AH180" s="190">
        <v>243.49</v>
      </c>
      <c r="AI180" s="184">
        <v>248.01</v>
      </c>
      <c r="AJ180" s="184">
        <v>253.99</v>
      </c>
      <c r="AK180" s="184">
        <v>257.06</v>
      </c>
      <c r="AL180" s="184">
        <v>261.58</v>
      </c>
      <c r="AM180" s="184">
        <v>266.11</v>
      </c>
      <c r="AN180" s="184">
        <v>270.63</v>
      </c>
      <c r="AO180" s="136">
        <v>256.83999999999997</v>
      </c>
      <c r="AP180" s="136">
        <v>261.37</v>
      </c>
      <c r="AQ180" s="136">
        <v>265.89</v>
      </c>
      <c r="AR180" s="136">
        <v>270.41000000000003</v>
      </c>
      <c r="AS180" s="136">
        <v>188.99</v>
      </c>
      <c r="AT180" s="136">
        <v>184.47</v>
      </c>
      <c r="AU180" s="136">
        <v>179.95</v>
      </c>
      <c r="AV180" s="136">
        <v>175.42</v>
      </c>
      <c r="AW180" s="136">
        <v>170.9</v>
      </c>
    </row>
    <row r="181" spans="1:49" x14ac:dyDescent="0.45">
      <c r="A181" s="2">
        <v>301.76</v>
      </c>
      <c r="B181" s="15">
        <v>308.2</v>
      </c>
      <c r="C181" s="3">
        <v>314.64</v>
      </c>
      <c r="D181" s="188">
        <v>348.29</v>
      </c>
      <c r="E181" s="189">
        <v>354.73</v>
      </c>
      <c r="F181" s="189">
        <v>361.18</v>
      </c>
      <c r="G181" s="189">
        <v>367.62</v>
      </c>
      <c r="H181" s="190">
        <v>374.06</v>
      </c>
      <c r="I181" s="184">
        <v>380.51</v>
      </c>
      <c r="J181" s="184">
        <v>386.95</v>
      </c>
      <c r="K181" s="184">
        <v>393.39</v>
      </c>
      <c r="L181" s="184">
        <v>399.83</v>
      </c>
      <c r="M181" s="184">
        <v>406.28</v>
      </c>
      <c r="N181" s="184">
        <v>412.72</v>
      </c>
      <c r="O181" s="136">
        <v>391.96</v>
      </c>
      <c r="P181" s="136">
        <v>398.4</v>
      </c>
      <c r="Q181" s="136">
        <v>404.84</v>
      </c>
      <c r="R181" s="136">
        <v>411.29</v>
      </c>
      <c r="S181" s="136">
        <v>295.32</v>
      </c>
      <c r="T181" s="136">
        <v>288.87</v>
      </c>
      <c r="U181" s="136">
        <v>282.43</v>
      </c>
      <c r="V181" s="136">
        <v>275.99</v>
      </c>
      <c r="W181" s="136">
        <v>269.54000000000002</v>
      </c>
      <c r="X181" s="7">
        <v>177</v>
      </c>
      <c r="Y181" s="136">
        <v>185.53</v>
      </c>
      <c r="Z181" s="136">
        <v>190.08</v>
      </c>
      <c r="AA181" s="2">
        <v>194.63</v>
      </c>
      <c r="AB181" s="15">
        <v>199.18</v>
      </c>
      <c r="AC181" s="3">
        <v>203.73</v>
      </c>
      <c r="AD181" s="188">
        <v>226.7</v>
      </c>
      <c r="AE181" s="189">
        <v>231.25</v>
      </c>
      <c r="AF181" s="189">
        <v>235.79</v>
      </c>
      <c r="AG181" s="201">
        <v>240.34</v>
      </c>
      <c r="AH181" s="190">
        <v>244.89</v>
      </c>
      <c r="AI181" s="184">
        <v>249.44</v>
      </c>
      <c r="AJ181" s="184">
        <v>251.09</v>
      </c>
      <c r="AK181" s="184">
        <v>258.54000000000002</v>
      </c>
      <c r="AL181" s="184">
        <v>263.08999999999997</v>
      </c>
      <c r="AM181" s="184">
        <v>267.64</v>
      </c>
      <c r="AN181" s="184">
        <v>272.19</v>
      </c>
      <c r="AO181" s="136">
        <v>258.31</v>
      </c>
      <c r="AP181" s="136">
        <v>262.86</v>
      </c>
      <c r="AQ181" s="136">
        <v>267.41000000000003</v>
      </c>
      <c r="AR181" s="136">
        <v>271.95999999999998</v>
      </c>
      <c r="AS181" s="136">
        <v>190.08</v>
      </c>
      <c r="AT181" s="136">
        <v>185.53</v>
      </c>
      <c r="AU181" s="136">
        <v>180.98</v>
      </c>
      <c r="AV181" s="136">
        <v>176.43</v>
      </c>
      <c r="AW181" s="136">
        <v>171.89</v>
      </c>
    </row>
    <row r="182" spans="1:49" x14ac:dyDescent="0.45">
      <c r="A182" s="2">
        <v>303.2</v>
      </c>
      <c r="B182" s="15">
        <v>309.68</v>
      </c>
      <c r="C182" s="3">
        <v>316.16000000000003</v>
      </c>
      <c r="D182" s="188">
        <v>349.92</v>
      </c>
      <c r="E182" s="189">
        <v>356.4</v>
      </c>
      <c r="F182" s="189">
        <v>362.88</v>
      </c>
      <c r="G182" s="189">
        <v>369.36</v>
      </c>
      <c r="H182" s="190">
        <v>375.84</v>
      </c>
      <c r="I182" s="184">
        <v>382.32</v>
      </c>
      <c r="J182" s="184">
        <v>388.8</v>
      </c>
      <c r="K182" s="184">
        <v>395.28</v>
      </c>
      <c r="L182" s="184">
        <v>401.76</v>
      </c>
      <c r="M182" s="184">
        <v>408.24</v>
      </c>
      <c r="N182" s="184">
        <v>414.71</v>
      </c>
      <c r="O182" s="136">
        <v>393.91</v>
      </c>
      <c r="P182" s="136">
        <v>400.39</v>
      </c>
      <c r="Q182" s="136">
        <v>406.87</v>
      </c>
      <c r="R182" s="136">
        <v>413.35</v>
      </c>
      <c r="S182" s="136">
        <v>296.72000000000003</v>
      </c>
      <c r="T182" s="136">
        <v>290.24</v>
      </c>
      <c r="U182" s="136">
        <v>283.76</v>
      </c>
      <c r="V182" s="136">
        <v>277.27999999999997</v>
      </c>
      <c r="W182" s="136">
        <v>270.81</v>
      </c>
      <c r="X182" s="7">
        <v>178</v>
      </c>
      <c r="Y182" s="136">
        <v>186.59</v>
      </c>
      <c r="Z182" s="136">
        <v>191.17</v>
      </c>
      <c r="AA182" s="2">
        <v>195.74</v>
      </c>
      <c r="AB182" s="15">
        <v>200.32</v>
      </c>
      <c r="AC182" s="3">
        <v>204.89</v>
      </c>
      <c r="AD182" s="188">
        <v>228</v>
      </c>
      <c r="AE182" s="189">
        <v>232.57</v>
      </c>
      <c r="AF182" s="189">
        <v>237.15</v>
      </c>
      <c r="AG182" s="201">
        <v>241.72</v>
      </c>
      <c r="AH182" s="190">
        <v>246.3</v>
      </c>
      <c r="AI182" s="184">
        <v>250.87</v>
      </c>
      <c r="AJ182" s="184">
        <v>252.54</v>
      </c>
      <c r="AK182" s="184">
        <v>260.02</v>
      </c>
      <c r="AL182" s="184">
        <v>264.58999999999997</v>
      </c>
      <c r="AM182" s="184">
        <v>269.17</v>
      </c>
      <c r="AN182" s="184">
        <v>273.74</v>
      </c>
      <c r="AO182" s="136">
        <v>259.79000000000002</v>
      </c>
      <c r="AP182" s="136">
        <v>264.36</v>
      </c>
      <c r="AQ182" s="136">
        <v>268.94</v>
      </c>
      <c r="AR182" s="136">
        <v>273.51</v>
      </c>
      <c r="AS182" s="136">
        <v>191.17</v>
      </c>
      <c r="AT182" s="136">
        <v>186.59</v>
      </c>
      <c r="AU182" s="136">
        <v>182.02</v>
      </c>
      <c r="AV182" s="136">
        <v>177.44</v>
      </c>
      <c r="AW182" s="136">
        <v>172.87</v>
      </c>
    </row>
    <row r="183" spans="1:49" x14ac:dyDescent="0.45">
      <c r="A183" s="2">
        <v>304.95</v>
      </c>
      <c r="B183" s="15">
        <v>311.47000000000003</v>
      </c>
      <c r="C183" s="3">
        <v>317.98</v>
      </c>
      <c r="D183" s="188">
        <v>351.95</v>
      </c>
      <c r="E183" s="189">
        <v>358.46</v>
      </c>
      <c r="F183" s="189">
        <v>364.98</v>
      </c>
      <c r="G183" s="189">
        <v>371.49</v>
      </c>
      <c r="H183" s="190">
        <v>378.01</v>
      </c>
      <c r="I183" s="184">
        <v>384.53</v>
      </c>
      <c r="J183" s="184">
        <v>391.04</v>
      </c>
      <c r="K183" s="184">
        <v>397.56</v>
      </c>
      <c r="L183" s="184">
        <v>404.07</v>
      </c>
      <c r="M183" s="184">
        <v>410.59</v>
      </c>
      <c r="N183" s="184">
        <v>417.1</v>
      </c>
      <c r="O183" s="136">
        <v>396.17</v>
      </c>
      <c r="P183" s="136">
        <v>402.69</v>
      </c>
      <c r="Q183" s="136">
        <v>409.2</v>
      </c>
      <c r="R183" s="136">
        <v>415.72</v>
      </c>
      <c r="S183" s="136">
        <v>298.44</v>
      </c>
      <c r="T183" s="136">
        <v>291.92</v>
      </c>
      <c r="U183" s="136">
        <v>285.39999999999998</v>
      </c>
      <c r="V183" s="136">
        <v>278.89</v>
      </c>
      <c r="W183" s="136">
        <v>272.37</v>
      </c>
      <c r="X183" s="7">
        <v>179</v>
      </c>
      <c r="Y183" s="136">
        <v>187.57</v>
      </c>
      <c r="Z183" s="136">
        <v>192.17</v>
      </c>
      <c r="AA183" s="2">
        <v>196.77</v>
      </c>
      <c r="AB183" s="15">
        <v>201.37</v>
      </c>
      <c r="AC183" s="3">
        <v>205.97</v>
      </c>
      <c r="AD183" s="188">
        <v>229.18</v>
      </c>
      <c r="AE183" s="189">
        <v>233.78</v>
      </c>
      <c r="AF183" s="189">
        <v>238.38</v>
      </c>
      <c r="AG183" s="201">
        <v>242.98</v>
      </c>
      <c r="AH183" s="190">
        <v>247.58</v>
      </c>
      <c r="AI183" s="184">
        <v>252.18</v>
      </c>
      <c r="AJ183" s="184">
        <v>253.99</v>
      </c>
      <c r="AK183" s="184">
        <v>261.38</v>
      </c>
      <c r="AL183" s="184">
        <v>265.98</v>
      </c>
      <c r="AM183" s="184">
        <v>270.58</v>
      </c>
      <c r="AN183" s="184">
        <v>275.18</v>
      </c>
      <c r="AO183" s="136">
        <v>261.17</v>
      </c>
      <c r="AP183" s="136">
        <v>265.77</v>
      </c>
      <c r="AQ183" s="136">
        <v>270.37</v>
      </c>
      <c r="AR183" s="136">
        <v>274.97000000000003</v>
      </c>
      <c r="AS183" s="136">
        <v>192.17</v>
      </c>
      <c r="AT183" s="136">
        <v>187.57</v>
      </c>
      <c r="AU183" s="136">
        <v>182.97</v>
      </c>
      <c r="AV183" s="136">
        <v>178.37</v>
      </c>
      <c r="AW183" s="136">
        <v>173.77</v>
      </c>
    </row>
    <row r="184" spans="1:49" x14ac:dyDescent="0.45">
      <c r="A184" s="2">
        <v>306.70999999999998</v>
      </c>
      <c r="B184" s="15">
        <v>313.26</v>
      </c>
      <c r="C184" s="3">
        <v>319.81</v>
      </c>
      <c r="D184" s="188">
        <v>353.98</v>
      </c>
      <c r="E184" s="189">
        <v>360.53</v>
      </c>
      <c r="F184" s="189">
        <v>367.08</v>
      </c>
      <c r="G184" s="189">
        <v>373.64</v>
      </c>
      <c r="H184" s="190">
        <v>380.19</v>
      </c>
      <c r="I184" s="184">
        <v>386.74</v>
      </c>
      <c r="J184" s="184">
        <v>393.29</v>
      </c>
      <c r="K184" s="184">
        <v>399.84</v>
      </c>
      <c r="L184" s="184">
        <v>406.4</v>
      </c>
      <c r="M184" s="184">
        <v>412.95</v>
      </c>
      <c r="N184" s="184">
        <v>419.5</v>
      </c>
      <c r="O184" s="136">
        <v>398.43</v>
      </c>
      <c r="P184" s="136">
        <v>404.99</v>
      </c>
      <c r="Q184" s="136">
        <v>411.54</v>
      </c>
      <c r="R184" s="136">
        <v>418.09</v>
      </c>
      <c r="S184" s="136">
        <v>300.14999999999998</v>
      </c>
      <c r="T184" s="136">
        <v>293.60000000000002</v>
      </c>
      <c r="U184" s="136">
        <v>287.05</v>
      </c>
      <c r="V184" s="136">
        <v>280.5</v>
      </c>
      <c r="W184" s="136">
        <v>273.95</v>
      </c>
      <c r="X184" s="7">
        <v>180</v>
      </c>
      <c r="Y184" s="136">
        <v>188.63</v>
      </c>
      <c r="Z184" s="136">
        <v>193.26</v>
      </c>
      <c r="AA184" s="2">
        <v>197.88</v>
      </c>
      <c r="AB184" s="15">
        <v>202.51</v>
      </c>
      <c r="AC184" s="3">
        <v>207.14</v>
      </c>
      <c r="AD184" s="188">
        <v>230.48</v>
      </c>
      <c r="AE184" s="189">
        <v>235.1</v>
      </c>
      <c r="AF184" s="189">
        <v>239.73</v>
      </c>
      <c r="AG184" s="201">
        <v>244.36</v>
      </c>
      <c r="AH184" s="190">
        <v>248.98</v>
      </c>
      <c r="AI184" s="184">
        <v>253.61</v>
      </c>
      <c r="AJ184" s="184">
        <v>255.44</v>
      </c>
      <c r="AK184" s="184">
        <v>262.86</v>
      </c>
      <c r="AL184" s="184">
        <v>267.49</v>
      </c>
      <c r="AM184" s="184">
        <v>272.11</v>
      </c>
      <c r="AN184" s="184">
        <v>276.74</v>
      </c>
      <c r="AO184" s="136">
        <v>262.64999999999998</v>
      </c>
      <c r="AP184" s="136">
        <v>267.27</v>
      </c>
      <c r="AQ184" s="136">
        <v>271.89999999999998</v>
      </c>
      <c r="AR184" s="136">
        <v>276.52999999999997</v>
      </c>
      <c r="AS184" s="136">
        <v>193.26</v>
      </c>
      <c r="AT184" s="136">
        <v>188.63</v>
      </c>
      <c r="AU184" s="136">
        <v>184.01</v>
      </c>
      <c r="AV184" s="136">
        <v>179.38</v>
      </c>
      <c r="AW184" s="136">
        <v>174.75</v>
      </c>
    </row>
    <row r="185" spans="1:49" x14ac:dyDescent="0.45">
      <c r="A185" s="2">
        <v>308.45999999999998</v>
      </c>
      <c r="B185" s="15">
        <v>315.05</v>
      </c>
      <c r="C185" s="3">
        <v>321.64</v>
      </c>
      <c r="D185" s="188">
        <v>356.02</v>
      </c>
      <c r="E185" s="189">
        <v>362.6</v>
      </c>
      <c r="F185" s="189">
        <v>369.19</v>
      </c>
      <c r="G185" s="189">
        <v>375.78</v>
      </c>
      <c r="H185" s="190">
        <v>382.37</v>
      </c>
      <c r="I185" s="184">
        <v>388.96</v>
      </c>
      <c r="J185" s="184">
        <v>395.55</v>
      </c>
      <c r="K185" s="184">
        <v>402.13</v>
      </c>
      <c r="L185" s="184">
        <v>408.72</v>
      </c>
      <c r="M185" s="184">
        <v>415.31</v>
      </c>
      <c r="N185" s="184">
        <v>421.9</v>
      </c>
      <c r="O185" s="136">
        <v>400.7</v>
      </c>
      <c r="P185" s="136">
        <v>407.29</v>
      </c>
      <c r="Q185" s="136">
        <v>413.88</v>
      </c>
      <c r="R185" s="136">
        <v>420.47</v>
      </c>
      <c r="S185" s="136">
        <v>301.88</v>
      </c>
      <c r="T185" s="136">
        <v>295.29000000000002</v>
      </c>
      <c r="U185" s="136">
        <v>288.7</v>
      </c>
      <c r="V185" s="136">
        <v>282.11</v>
      </c>
      <c r="W185" s="136">
        <v>275.52</v>
      </c>
      <c r="X185" s="7">
        <v>181</v>
      </c>
      <c r="Y185" s="136">
        <v>189.7</v>
      </c>
      <c r="Z185" s="136">
        <v>194.35</v>
      </c>
      <c r="AA185" s="2">
        <v>199</v>
      </c>
      <c r="AB185" s="15">
        <v>203.65</v>
      </c>
      <c r="AC185" s="3">
        <v>208.3</v>
      </c>
      <c r="AD185" s="188">
        <v>231.78</v>
      </c>
      <c r="AE185" s="189">
        <v>236.43</v>
      </c>
      <c r="AF185" s="189">
        <v>241.08</v>
      </c>
      <c r="AG185" s="201">
        <v>245.74</v>
      </c>
      <c r="AH185" s="190">
        <v>250.39</v>
      </c>
      <c r="AI185" s="184">
        <v>255.04</v>
      </c>
      <c r="AJ185" s="184">
        <v>256.77999999999997</v>
      </c>
      <c r="AK185" s="184">
        <v>264.33999999999997</v>
      </c>
      <c r="AL185" s="184">
        <v>268.99</v>
      </c>
      <c r="AM185" s="184">
        <v>273.64999999999998</v>
      </c>
      <c r="AN185" s="184">
        <v>278.3</v>
      </c>
      <c r="AO185" s="136">
        <v>264.12</v>
      </c>
      <c r="AP185" s="136">
        <v>268.77999999999997</v>
      </c>
      <c r="AQ185" s="136">
        <v>273.43</v>
      </c>
      <c r="AR185" s="136">
        <v>278.08</v>
      </c>
      <c r="AS185" s="136">
        <v>194.35</v>
      </c>
      <c r="AT185" s="136">
        <v>189.7</v>
      </c>
      <c r="AU185" s="136">
        <v>185.04</v>
      </c>
      <c r="AV185" s="136">
        <v>180.39</v>
      </c>
      <c r="AW185" s="136">
        <v>175.74</v>
      </c>
    </row>
    <row r="186" spans="1:49" x14ac:dyDescent="0.45">
      <c r="A186" s="2">
        <v>310.23</v>
      </c>
      <c r="B186" s="15">
        <v>316.85000000000002</v>
      </c>
      <c r="C186" s="3">
        <v>323.48</v>
      </c>
      <c r="D186" s="188">
        <v>358.06</v>
      </c>
      <c r="E186" s="189">
        <v>364.68</v>
      </c>
      <c r="F186" s="189">
        <v>371.31</v>
      </c>
      <c r="G186" s="189">
        <v>377.93</v>
      </c>
      <c r="H186" s="190">
        <v>384.56</v>
      </c>
      <c r="I186" s="184">
        <v>391.18</v>
      </c>
      <c r="J186" s="184">
        <v>397.81</v>
      </c>
      <c r="K186" s="184">
        <v>404.43</v>
      </c>
      <c r="L186" s="184">
        <v>411.06</v>
      </c>
      <c r="M186" s="184">
        <v>417.68</v>
      </c>
      <c r="N186" s="184">
        <v>424.31</v>
      </c>
      <c r="O186" s="136">
        <v>402.97</v>
      </c>
      <c r="P186" s="136">
        <v>409.5</v>
      </c>
      <c r="Q186" s="136">
        <v>416.22</v>
      </c>
      <c r="R186" s="136">
        <v>422.85</v>
      </c>
      <c r="S186" s="136">
        <v>303.60000000000002</v>
      </c>
      <c r="T186" s="136">
        <v>296.98</v>
      </c>
      <c r="U186" s="136">
        <v>290.35000000000002</v>
      </c>
      <c r="V186" s="136">
        <v>283.73</v>
      </c>
      <c r="W186" s="136">
        <v>277.10000000000002</v>
      </c>
      <c r="X186" s="7">
        <v>182</v>
      </c>
      <c r="Y186" s="136">
        <v>190.76</v>
      </c>
      <c r="Z186" s="136">
        <v>195.44</v>
      </c>
      <c r="AA186" s="2">
        <v>200.12</v>
      </c>
      <c r="AB186" s="15">
        <v>204.79</v>
      </c>
      <c r="AC186" s="3">
        <v>209.47</v>
      </c>
      <c r="AD186" s="188">
        <v>233.09</v>
      </c>
      <c r="AE186" s="189">
        <v>237.76</v>
      </c>
      <c r="AF186" s="189">
        <v>242.44</v>
      </c>
      <c r="AG186" s="201">
        <v>247.12</v>
      </c>
      <c r="AH186" s="190">
        <v>251.8</v>
      </c>
      <c r="AI186" s="184">
        <v>256.47000000000003</v>
      </c>
      <c r="AJ186" s="184">
        <v>261.14999999999998</v>
      </c>
      <c r="AK186" s="184">
        <v>265.83</v>
      </c>
      <c r="AL186" s="184">
        <v>270.5</v>
      </c>
      <c r="AM186" s="184">
        <v>275.18</v>
      </c>
      <c r="AN186" s="184">
        <v>279.86</v>
      </c>
      <c r="AO186" s="136">
        <v>265.60000000000002</v>
      </c>
      <c r="AP186" s="136">
        <v>270.27999999999997</v>
      </c>
      <c r="AQ186" s="136">
        <v>274.95999999999998</v>
      </c>
      <c r="AR186" s="136">
        <v>279.63</v>
      </c>
      <c r="AS186" s="136">
        <v>195.44</v>
      </c>
      <c r="AT186" s="136">
        <v>190.76</v>
      </c>
      <c r="AU186" s="136">
        <v>186.08</v>
      </c>
      <c r="AV186" s="136">
        <v>181.41</v>
      </c>
      <c r="AW186" s="136">
        <v>176.73</v>
      </c>
    </row>
    <row r="187" spans="1:49" x14ac:dyDescent="0.45">
      <c r="A187" s="2">
        <v>311.99</v>
      </c>
      <c r="B187" s="15">
        <v>318.64999999999998</v>
      </c>
      <c r="C187" s="3">
        <v>325.32</v>
      </c>
      <c r="D187" s="188">
        <v>360.11</v>
      </c>
      <c r="E187" s="189">
        <v>366.77</v>
      </c>
      <c r="F187" s="189">
        <v>373.43</v>
      </c>
      <c r="G187" s="189">
        <v>380.09</v>
      </c>
      <c r="H187" s="190">
        <v>386.75</v>
      </c>
      <c r="I187" s="184">
        <v>393.41</v>
      </c>
      <c r="J187" s="184">
        <v>400.07</v>
      </c>
      <c r="K187" s="184">
        <v>406.73</v>
      </c>
      <c r="L187" s="184">
        <v>413.4</v>
      </c>
      <c r="M187" s="184">
        <v>420.06</v>
      </c>
      <c r="N187" s="184">
        <v>426.72</v>
      </c>
      <c r="O187" s="136">
        <v>405.25</v>
      </c>
      <c r="P187" s="136">
        <v>411.91</v>
      </c>
      <c r="Q187" s="136">
        <v>418.57</v>
      </c>
      <c r="R187" s="136">
        <v>425.23</v>
      </c>
      <c r="S187" s="136">
        <v>305.33</v>
      </c>
      <c r="T187" s="136">
        <v>298.67</v>
      </c>
      <c r="U187" s="136">
        <v>292.01</v>
      </c>
      <c r="V187" s="136">
        <v>285.35000000000002</v>
      </c>
      <c r="W187" s="136">
        <v>278.69</v>
      </c>
      <c r="X187" s="7">
        <v>183</v>
      </c>
      <c r="Y187" s="136">
        <v>191.83</v>
      </c>
      <c r="Z187" s="136">
        <v>196.53</v>
      </c>
      <c r="AA187" s="2">
        <v>201.23</v>
      </c>
      <c r="AB187" s="15">
        <v>205.94</v>
      </c>
      <c r="AC187" s="3">
        <v>210.64</v>
      </c>
      <c r="AD187" s="188">
        <v>234.39</v>
      </c>
      <c r="AE187" s="189">
        <v>239.1</v>
      </c>
      <c r="AF187" s="189">
        <v>243.8</v>
      </c>
      <c r="AG187" s="201">
        <v>248.5</v>
      </c>
      <c r="AH187" s="190">
        <v>253.2</v>
      </c>
      <c r="AI187" s="184">
        <v>257.91000000000003</v>
      </c>
      <c r="AJ187" s="184">
        <v>262.61</v>
      </c>
      <c r="AK187" s="184">
        <v>267.31</v>
      </c>
      <c r="AL187" s="184">
        <v>272.02</v>
      </c>
      <c r="AM187" s="184">
        <v>276.72000000000003</v>
      </c>
      <c r="AN187" s="184">
        <v>281.42</v>
      </c>
      <c r="AO187" s="136">
        <v>267.08</v>
      </c>
      <c r="AP187" s="136">
        <v>271.77999999999997</v>
      </c>
      <c r="AQ187" s="136">
        <v>276.48</v>
      </c>
      <c r="AR187" s="136">
        <v>281.19</v>
      </c>
      <c r="AS187" s="136">
        <v>196.53</v>
      </c>
      <c r="AT187" s="136">
        <v>191.83</v>
      </c>
      <c r="AU187" s="136">
        <v>187.13</v>
      </c>
      <c r="AV187" s="136">
        <v>182.42</v>
      </c>
      <c r="AW187" s="136">
        <v>177.72</v>
      </c>
    </row>
    <row r="188" spans="1:49" x14ac:dyDescent="0.45">
      <c r="A188" s="2">
        <v>313.44</v>
      </c>
      <c r="B188" s="15">
        <v>320.13</v>
      </c>
      <c r="C188" s="3">
        <v>326.83</v>
      </c>
      <c r="D188" s="188">
        <v>361.74</v>
      </c>
      <c r="E188" s="189">
        <v>368.43</v>
      </c>
      <c r="F188" s="189">
        <v>375.13</v>
      </c>
      <c r="G188" s="189">
        <v>381.83</v>
      </c>
      <c r="H188" s="190">
        <v>388.53</v>
      </c>
      <c r="I188" s="184">
        <v>395.22</v>
      </c>
      <c r="J188" s="184">
        <v>401.92</v>
      </c>
      <c r="K188" s="184">
        <v>408.62</v>
      </c>
      <c r="L188" s="184">
        <v>415.32</v>
      </c>
      <c r="M188" s="184">
        <v>422.01</v>
      </c>
      <c r="N188" s="184">
        <v>428.71</v>
      </c>
      <c r="O188" s="136">
        <v>407.2</v>
      </c>
      <c r="P188" s="136">
        <v>413.9</v>
      </c>
      <c r="Q188" s="136">
        <v>420.6</v>
      </c>
      <c r="R188" s="136">
        <v>427.29</v>
      </c>
      <c r="S188" s="136">
        <v>306.74</v>
      </c>
      <c r="T188" s="136">
        <v>300.04000000000002</v>
      </c>
      <c r="U188" s="136">
        <v>293.33999999999997</v>
      </c>
      <c r="V188" s="136">
        <v>286.64999999999998</v>
      </c>
      <c r="W188" s="136">
        <v>279.95</v>
      </c>
      <c r="X188" s="7">
        <v>184</v>
      </c>
      <c r="Y188" s="136">
        <v>192.8</v>
      </c>
      <c r="Z188" s="136">
        <v>197.53</v>
      </c>
      <c r="AA188" s="2">
        <v>202.26</v>
      </c>
      <c r="AB188" s="15">
        <v>206.99</v>
      </c>
      <c r="AC188" s="3">
        <v>211.72</v>
      </c>
      <c r="AD188" s="188">
        <v>235.57</v>
      </c>
      <c r="AE188" s="189">
        <v>240.3</v>
      </c>
      <c r="AF188" s="189">
        <v>245.03</v>
      </c>
      <c r="AG188" s="201">
        <v>249.76</v>
      </c>
      <c r="AH188" s="190">
        <v>254.49</v>
      </c>
      <c r="AI188" s="184">
        <v>259.20999999999998</v>
      </c>
      <c r="AJ188" s="184">
        <v>263.94</v>
      </c>
      <c r="AK188" s="184">
        <v>268.67</v>
      </c>
      <c r="AL188" s="184">
        <v>273.39999999999998</v>
      </c>
      <c r="AM188" s="184">
        <v>278.13</v>
      </c>
      <c r="AN188" s="184">
        <v>282.86</v>
      </c>
      <c r="AO188" s="136">
        <v>268.45999999999998</v>
      </c>
      <c r="AP188" s="136">
        <v>273.19</v>
      </c>
      <c r="AQ188" s="136">
        <v>277.92</v>
      </c>
      <c r="AR188" s="136">
        <v>282.64999999999998</v>
      </c>
      <c r="AS188" s="136">
        <v>197.53</v>
      </c>
      <c r="AT188" s="136">
        <v>192.8</v>
      </c>
      <c r="AU188" s="136">
        <v>188.07</v>
      </c>
      <c r="AV188" s="136">
        <v>183.35</v>
      </c>
      <c r="AW188" s="136">
        <v>178.62</v>
      </c>
    </row>
    <row r="189" spans="1:49" x14ac:dyDescent="0.45">
      <c r="A189" s="2">
        <v>315.20999999999998</v>
      </c>
      <c r="B189" s="15">
        <v>321.94</v>
      </c>
      <c r="C189" s="3">
        <v>328.68</v>
      </c>
      <c r="D189" s="188">
        <v>363.79</v>
      </c>
      <c r="E189" s="189">
        <v>370.52</v>
      </c>
      <c r="F189" s="189">
        <v>377.26</v>
      </c>
      <c r="G189" s="189">
        <v>383.99</v>
      </c>
      <c r="H189" s="190">
        <v>390.73</v>
      </c>
      <c r="I189" s="184">
        <v>397.46</v>
      </c>
      <c r="J189" s="184">
        <v>404.19</v>
      </c>
      <c r="K189" s="184">
        <v>410.93</v>
      </c>
      <c r="L189" s="184">
        <v>417.66</v>
      </c>
      <c r="M189" s="184">
        <v>424.4</v>
      </c>
      <c r="N189" s="184">
        <v>431.13</v>
      </c>
      <c r="O189" s="136">
        <v>409.48</v>
      </c>
      <c r="P189" s="136">
        <v>416.22</v>
      </c>
      <c r="Q189" s="136">
        <v>422.95</v>
      </c>
      <c r="R189" s="136">
        <v>429.69</v>
      </c>
      <c r="S189" s="136">
        <v>308.47000000000003</v>
      </c>
      <c r="T189" s="136">
        <v>301.74</v>
      </c>
      <c r="U189" s="136">
        <v>295.01</v>
      </c>
      <c r="V189" s="136">
        <v>288.27</v>
      </c>
      <c r="W189" s="136">
        <v>281.54000000000002</v>
      </c>
      <c r="X189" s="7">
        <v>185</v>
      </c>
      <c r="Y189" s="136">
        <v>193.87</v>
      </c>
      <c r="Z189" s="136">
        <v>198.63</v>
      </c>
      <c r="AA189" s="2">
        <v>203.38</v>
      </c>
      <c r="AB189" s="15">
        <v>208.14</v>
      </c>
      <c r="AC189" s="3">
        <v>212.89</v>
      </c>
      <c r="AD189" s="188">
        <v>236.88</v>
      </c>
      <c r="AE189" s="189">
        <v>241.63</v>
      </c>
      <c r="AF189" s="189">
        <v>246.39</v>
      </c>
      <c r="AG189" s="201">
        <v>251.14</v>
      </c>
      <c r="AH189" s="190">
        <v>255.9</v>
      </c>
      <c r="AI189" s="184">
        <v>260.64999999999998</v>
      </c>
      <c r="AJ189" s="184">
        <v>265.41000000000003</v>
      </c>
      <c r="AK189" s="184">
        <v>270.16000000000003</v>
      </c>
      <c r="AL189" s="184">
        <v>274.92</v>
      </c>
      <c r="AM189" s="184">
        <v>279.67</v>
      </c>
      <c r="AN189" s="184">
        <v>284.42</v>
      </c>
      <c r="AO189" s="136">
        <v>269.94</v>
      </c>
      <c r="AP189" s="136">
        <v>274.7</v>
      </c>
      <c r="AQ189" s="136">
        <v>279.45</v>
      </c>
      <c r="AR189" s="136">
        <v>284.20999999999998</v>
      </c>
      <c r="AS189" s="136">
        <v>198.63</v>
      </c>
      <c r="AT189" s="136">
        <v>193.87</v>
      </c>
      <c r="AU189" s="136">
        <v>189.12</v>
      </c>
      <c r="AV189" s="136">
        <v>184.36</v>
      </c>
      <c r="AW189" s="136">
        <v>179.61</v>
      </c>
    </row>
    <row r="190" spans="1:49" x14ac:dyDescent="0.45">
      <c r="A190" s="2">
        <v>316.98</v>
      </c>
      <c r="B190" s="15">
        <v>323.75</v>
      </c>
      <c r="C190" s="3">
        <v>330.52</v>
      </c>
      <c r="D190" s="188">
        <v>365.85</v>
      </c>
      <c r="E190" s="189">
        <v>372.62</v>
      </c>
      <c r="F190" s="189">
        <v>379.39</v>
      </c>
      <c r="G190" s="189">
        <v>386.16</v>
      </c>
      <c r="H190" s="190">
        <v>392.93</v>
      </c>
      <c r="I190" s="184">
        <v>399.7</v>
      </c>
      <c r="J190" s="184">
        <v>406.47</v>
      </c>
      <c r="K190" s="184">
        <v>413.24</v>
      </c>
      <c r="L190" s="184">
        <v>420.01</v>
      </c>
      <c r="M190" s="184">
        <v>426.78</v>
      </c>
      <c r="N190" s="184">
        <v>433.55</v>
      </c>
      <c r="O190" s="136">
        <v>411.77</v>
      </c>
      <c r="P190" s="136">
        <v>418.54</v>
      </c>
      <c r="Q190" s="136">
        <v>425.31</v>
      </c>
      <c r="R190" s="136">
        <v>432.08</v>
      </c>
      <c r="S190" s="136">
        <v>310.20999999999998</v>
      </c>
      <c r="T190" s="136">
        <v>303.44</v>
      </c>
      <c r="U190" s="136">
        <v>296.67</v>
      </c>
      <c r="V190" s="136">
        <v>289.89999999999998</v>
      </c>
      <c r="W190" s="136">
        <v>283.13</v>
      </c>
      <c r="X190" s="7">
        <v>186</v>
      </c>
      <c r="Y190" s="136">
        <v>194.94</v>
      </c>
      <c r="Z190" s="136">
        <v>199.72</v>
      </c>
      <c r="AA190" s="2">
        <v>204.5</v>
      </c>
      <c r="AB190" s="15">
        <v>209.28</v>
      </c>
      <c r="AC190" s="3">
        <v>214.06</v>
      </c>
      <c r="AD190" s="188">
        <v>238.19</v>
      </c>
      <c r="AE190" s="189">
        <v>242.97</v>
      </c>
      <c r="AF190" s="189">
        <v>247.75</v>
      </c>
      <c r="AG190" s="201">
        <v>252.53</v>
      </c>
      <c r="AH190" s="190">
        <v>257.31</v>
      </c>
      <c r="AI190" s="184">
        <v>262.08999999999997</v>
      </c>
      <c r="AJ190" s="184">
        <v>266.87</v>
      </c>
      <c r="AK190" s="184">
        <v>271.64999999999998</v>
      </c>
      <c r="AL190" s="184">
        <v>276.43</v>
      </c>
      <c r="AM190" s="184">
        <v>281.20999999999998</v>
      </c>
      <c r="AN190" s="184">
        <v>285.99</v>
      </c>
      <c r="AO190" s="136">
        <v>271.42</v>
      </c>
      <c r="AP190" s="136">
        <v>276.2</v>
      </c>
      <c r="AQ190" s="136">
        <v>280.98</v>
      </c>
      <c r="AR190" s="136">
        <v>285.76</v>
      </c>
      <c r="AS190" s="136">
        <v>199.72</v>
      </c>
      <c r="AT190" s="136">
        <v>194.94</v>
      </c>
      <c r="AU190" s="136">
        <v>190.16</v>
      </c>
      <c r="AV190" s="136">
        <v>185.38</v>
      </c>
      <c r="AW190" s="136">
        <v>180.6</v>
      </c>
    </row>
    <row r="191" spans="1:49" x14ac:dyDescent="0.45">
      <c r="A191" s="2">
        <v>318.76</v>
      </c>
      <c r="B191" s="15">
        <v>325.57</v>
      </c>
      <c r="C191" s="3">
        <v>332.38</v>
      </c>
      <c r="D191" s="188">
        <v>367.91</v>
      </c>
      <c r="E191" s="189">
        <v>374.72</v>
      </c>
      <c r="F191" s="189">
        <v>381.53</v>
      </c>
      <c r="G191" s="189">
        <v>388.33</v>
      </c>
      <c r="H191" s="190">
        <v>395.14</v>
      </c>
      <c r="I191" s="184">
        <v>401.95</v>
      </c>
      <c r="J191" s="184">
        <v>408.75</v>
      </c>
      <c r="K191" s="184">
        <v>415.56</v>
      </c>
      <c r="L191" s="184">
        <v>422.37</v>
      </c>
      <c r="M191" s="184">
        <v>429.17</v>
      </c>
      <c r="N191" s="184">
        <v>435.98</v>
      </c>
      <c r="O191" s="136">
        <v>414.06</v>
      </c>
      <c r="P191" s="136">
        <v>420.87</v>
      </c>
      <c r="Q191" s="136">
        <v>427.67</v>
      </c>
      <c r="R191" s="136">
        <v>434.48</v>
      </c>
      <c r="S191" s="136">
        <v>311.95999999999998</v>
      </c>
      <c r="T191" s="136">
        <v>305.14999999999998</v>
      </c>
      <c r="U191" s="136">
        <v>298.33999999999997</v>
      </c>
      <c r="V191" s="136">
        <v>291.54000000000002</v>
      </c>
      <c r="W191" s="136">
        <v>284.73</v>
      </c>
      <c r="X191" s="7">
        <v>187</v>
      </c>
      <c r="Y191" s="136">
        <v>196.01</v>
      </c>
      <c r="Z191" s="136">
        <v>200.82</v>
      </c>
      <c r="AA191" s="2">
        <v>205.62</v>
      </c>
      <c r="AB191" s="15">
        <v>210.43</v>
      </c>
      <c r="AC191" s="3">
        <v>215.24</v>
      </c>
      <c r="AD191" s="188">
        <v>239.5</v>
      </c>
      <c r="AE191" s="189">
        <v>244.31</v>
      </c>
      <c r="AF191" s="189">
        <v>249.11</v>
      </c>
      <c r="AG191" s="201">
        <v>253.92</v>
      </c>
      <c r="AH191" s="190">
        <v>258.73</v>
      </c>
      <c r="AI191" s="184">
        <v>263.52999999999997</v>
      </c>
      <c r="AJ191" s="184">
        <v>268.33999999999997</v>
      </c>
      <c r="AK191" s="184">
        <v>273.14</v>
      </c>
      <c r="AL191" s="184">
        <v>277.95</v>
      </c>
      <c r="AM191" s="184">
        <v>282.76</v>
      </c>
      <c r="AN191" s="184">
        <v>287.56</v>
      </c>
      <c r="AO191" s="136">
        <v>272.91000000000003</v>
      </c>
      <c r="AP191" s="136">
        <v>277.70999999999998</v>
      </c>
      <c r="AQ191" s="136">
        <v>282.52</v>
      </c>
      <c r="AR191" s="136">
        <v>287.32</v>
      </c>
      <c r="AS191" s="136">
        <v>200.82</v>
      </c>
      <c r="AT191" s="136">
        <v>196.01</v>
      </c>
      <c r="AU191" s="136">
        <v>191.21</v>
      </c>
      <c r="AV191" s="136">
        <v>186.4</v>
      </c>
      <c r="AW191" s="136">
        <v>181.59</v>
      </c>
    </row>
    <row r="192" spans="1:49" x14ac:dyDescent="0.45">
      <c r="A192" s="2">
        <v>320.20999999999998</v>
      </c>
      <c r="B192" s="15">
        <v>327.05</v>
      </c>
      <c r="C192" s="3">
        <v>333.89</v>
      </c>
      <c r="D192" s="188">
        <v>369.54</v>
      </c>
      <c r="E192" s="189">
        <v>376.39</v>
      </c>
      <c r="F192" s="189">
        <v>383.23</v>
      </c>
      <c r="G192" s="189">
        <v>390.07</v>
      </c>
      <c r="H192" s="190">
        <v>396.92</v>
      </c>
      <c r="I192" s="184">
        <v>403.76</v>
      </c>
      <c r="J192" s="184">
        <v>410.6</v>
      </c>
      <c r="K192" s="184">
        <v>417.45</v>
      </c>
      <c r="L192" s="184">
        <v>424.29</v>
      </c>
      <c r="M192" s="184">
        <v>431.13</v>
      </c>
      <c r="N192" s="184">
        <v>437.98</v>
      </c>
      <c r="O192" s="136">
        <v>416.01</v>
      </c>
      <c r="P192" s="136">
        <v>422.85</v>
      </c>
      <c r="Q192" s="136">
        <v>429.7</v>
      </c>
      <c r="R192" s="136">
        <v>436.54</v>
      </c>
      <c r="S192" s="136">
        <v>313.36</v>
      </c>
      <c r="T192" s="136">
        <v>306.52</v>
      </c>
      <c r="U192" s="136">
        <v>299.68</v>
      </c>
      <c r="V192" s="136">
        <v>292.83</v>
      </c>
      <c r="W192" s="136">
        <v>285.99</v>
      </c>
      <c r="X192" s="7">
        <v>188</v>
      </c>
      <c r="Y192" s="136">
        <v>196.99</v>
      </c>
      <c r="Z192" s="136">
        <v>201.82</v>
      </c>
      <c r="AA192" s="2">
        <v>206.65</v>
      </c>
      <c r="AB192" s="15">
        <v>211.48</v>
      </c>
      <c r="AC192" s="3">
        <v>216.31</v>
      </c>
      <c r="AD192" s="188">
        <v>240.68</v>
      </c>
      <c r="AE192" s="189">
        <v>245.51</v>
      </c>
      <c r="AF192" s="189">
        <v>250.34</v>
      </c>
      <c r="AG192" s="201">
        <v>255.18</v>
      </c>
      <c r="AH192" s="190">
        <v>260.01</v>
      </c>
      <c r="AI192" s="184">
        <v>264.83999999999997</v>
      </c>
      <c r="AJ192" s="184">
        <v>269.67</v>
      </c>
      <c r="AK192" s="184">
        <v>274.5</v>
      </c>
      <c r="AL192" s="184">
        <v>279.33</v>
      </c>
      <c r="AM192" s="184">
        <v>284.16000000000003</v>
      </c>
      <c r="AN192" s="184">
        <v>289</v>
      </c>
      <c r="AO192" s="136">
        <v>274.29000000000002</v>
      </c>
      <c r="AP192" s="136">
        <v>279.12</v>
      </c>
      <c r="AQ192" s="136">
        <v>283.95999999999998</v>
      </c>
      <c r="AR192" s="136">
        <v>288.79000000000002</v>
      </c>
      <c r="AS192" s="136">
        <v>201.82</v>
      </c>
      <c r="AT192" s="136">
        <v>196.99</v>
      </c>
      <c r="AU192" s="136">
        <v>192.16</v>
      </c>
      <c r="AV192" s="136">
        <v>187.32</v>
      </c>
      <c r="AW192" s="136">
        <v>182.49</v>
      </c>
    </row>
    <row r="193" spans="1:49" x14ac:dyDescent="0.45">
      <c r="A193" s="2">
        <v>321.99</v>
      </c>
      <c r="B193" s="15">
        <v>328.87</v>
      </c>
      <c r="C193" s="3">
        <v>335.75</v>
      </c>
      <c r="D193" s="188">
        <v>371.61</v>
      </c>
      <c r="E193" s="189">
        <v>378.49</v>
      </c>
      <c r="F193" s="189">
        <v>385.37</v>
      </c>
      <c r="G193" s="189">
        <v>392.25</v>
      </c>
      <c r="H193" s="190">
        <v>399.13</v>
      </c>
      <c r="I193" s="184">
        <v>406.01</v>
      </c>
      <c r="J193" s="184">
        <v>412.89</v>
      </c>
      <c r="K193" s="184">
        <v>419.77</v>
      </c>
      <c r="L193" s="184">
        <v>426.65</v>
      </c>
      <c r="M193" s="184">
        <v>433.53</v>
      </c>
      <c r="N193" s="184">
        <v>440.41</v>
      </c>
      <c r="O193" s="136">
        <v>418.31</v>
      </c>
      <c r="P193" s="136">
        <v>425.19</v>
      </c>
      <c r="Q193" s="136">
        <v>432.06</v>
      </c>
      <c r="R193" s="136">
        <v>438.94</v>
      </c>
      <c r="S193" s="136">
        <v>315.11</v>
      </c>
      <c r="T193" s="136">
        <v>308.23</v>
      </c>
      <c r="U193" s="136">
        <v>301.35000000000002</v>
      </c>
      <c r="V193" s="136">
        <v>294.47000000000003</v>
      </c>
      <c r="W193" s="136">
        <v>287.58999999999997</v>
      </c>
      <c r="X193" s="7">
        <v>189</v>
      </c>
      <c r="Y193" s="136">
        <v>198.06</v>
      </c>
      <c r="Z193" s="136">
        <v>202.92</v>
      </c>
      <c r="AA193" s="2">
        <v>207.77</v>
      </c>
      <c r="AB193" s="15">
        <v>212.63</v>
      </c>
      <c r="AC193" s="3">
        <v>217.49</v>
      </c>
      <c r="AD193" s="188">
        <v>241.99</v>
      </c>
      <c r="AE193" s="189">
        <v>246.85</v>
      </c>
      <c r="AF193" s="189">
        <v>251.71</v>
      </c>
      <c r="AG193" s="201">
        <v>256.57</v>
      </c>
      <c r="AH193" s="190">
        <v>261.42</v>
      </c>
      <c r="AI193" s="184">
        <v>266.27999999999997</v>
      </c>
      <c r="AJ193" s="184">
        <v>271.14</v>
      </c>
      <c r="AK193" s="184">
        <v>276</v>
      </c>
      <c r="AL193" s="184">
        <v>280.85000000000002</v>
      </c>
      <c r="AM193" s="184">
        <v>285.70999999999998</v>
      </c>
      <c r="AN193" s="184">
        <v>290.57</v>
      </c>
      <c r="AO193" s="136">
        <v>275.77999999999997</v>
      </c>
      <c r="AP193" s="136">
        <v>280.63</v>
      </c>
      <c r="AQ193" s="136">
        <v>285.49</v>
      </c>
      <c r="AR193" s="136">
        <v>290.35000000000002</v>
      </c>
      <c r="AS193" s="136">
        <v>202.92</v>
      </c>
      <c r="AT193" s="136">
        <v>198.06</v>
      </c>
      <c r="AU193" s="136">
        <v>193.2</v>
      </c>
      <c r="AV193" s="136">
        <v>188.34</v>
      </c>
      <c r="AW193" s="136">
        <v>183.49</v>
      </c>
    </row>
    <row r="194" spans="1:49" x14ac:dyDescent="0.45">
      <c r="A194" s="2">
        <v>323.77999999999997</v>
      </c>
      <c r="B194" s="15">
        <v>330.7</v>
      </c>
      <c r="C194" s="3">
        <v>337.61</v>
      </c>
      <c r="D194" s="188">
        <v>373.69</v>
      </c>
      <c r="E194" s="189">
        <v>380.61</v>
      </c>
      <c r="F194" s="189">
        <v>387.52</v>
      </c>
      <c r="G194" s="189">
        <v>394.44</v>
      </c>
      <c r="H194" s="190">
        <v>401.36</v>
      </c>
      <c r="I194" s="184">
        <v>408.27</v>
      </c>
      <c r="J194" s="184">
        <v>415.19</v>
      </c>
      <c r="K194" s="184">
        <v>422.1</v>
      </c>
      <c r="L194" s="184">
        <v>429.02</v>
      </c>
      <c r="M194" s="184">
        <v>435.94</v>
      </c>
      <c r="N194" s="184">
        <v>442.85</v>
      </c>
      <c r="O194" s="136">
        <v>420.61</v>
      </c>
      <c r="P194" s="136">
        <v>427.52</v>
      </c>
      <c r="Q194" s="136">
        <v>434.44</v>
      </c>
      <c r="R194" s="136">
        <v>441.35</v>
      </c>
      <c r="S194" s="136">
        <v>316.87</v>
      </c>
      <c r="T194" s="136">
        <v>309.95</v>
      </c>
      <c r="U194" s="136">
        <v>303.02999999999997</v>
      </c>
      <c r="V194" s="136">
        <v>296.12</v>
      </c>
      <c r="W194" s="136">
        <v>289.2</v>
      </c>
      <c r="X194" s="7">
        <v>190</v>
      </c>
      <c r="Y194" s="136">
        <v>199.13</v>
      </c>
      <c r="Z194" s="136">
        <v>204.02</v>
      </c>
      <c r="AA194" s="2">
        <v>208.9</v>
      </c>
      <c r="AB194" s="15">
        <v>213.78</v>
      </c>
      <c r="AC194" s="3">
        <v>218.66</v>
      </c>
      <c r="AD194" s="188">
        <v>243.31</v>
      </c>
      <c r="AE194" s="189">
        <v>248.19</v>
      </c>
      <c r="AF194" s="189">
        <v>253.08</v>
      </c>
      <c r="AG194" s="201">
        <v>257.95999999999998</v>
      </c>
      <c r="AH194" s="190">
        <v>262.83999999999997</v>
      </c>
      <c r="AI194" s="184">
        <v>267.73</v>
      </c>
      <c r="AJ194" s="184">
        <v>272.61</v>
      </c>
      <c r="AK194" s="184">
        <v>277.49</v>
      </c>
      <c r="AL194" s="184">
        <v>282.37</v>
      </c>
      <c r="AM194" s="184">
        <v>287.26</v>
      </c>
      <c r="AN194" s="184">
        <v>292.14</v>
      </c>
      <c r="AO194" s="136">
        <v>277.26</v>
      </c>
      <c r="AP194" s="136">
        <v>282.14</v>
      </c>
      <c r="AQ194" s="136">
        <v>287.02999999999997</v>
      </c>
      <c r="AR194" s="136">
        <v>291.91000000000003</v>
      </c>
      <c r="AS194" s="136">
        <v>204.02</v>
      </c>
      <c r="AT194" s="136">
        <v>199.13</v>
      </c>
      <c r="AU194" s="136">
        <v>194.25</v>
      </c>
      <c r="AV194" s="136">
        <v>189.37</v>
      </c>
      <c r="AW194" s="136">
        <v>184.48</v>
      </c>
    </row>
    <row r="195" spans="1:49" x14ac:dyDescent="0.45">
      <c r="A195" s="2">
        <v>325.58</v>
      </c>
      <c r="B195" s="15">
        <v>332.53</v>
      </c>
      <c r="C195" s="3">
        <v>339.48</v>
      </c>
      <c r="D195" s="188">
        <v>375.78</v>
      </c>
      <c r="E195" s="189">
        <v>382.73</v>
      </c>
      <c r="F195" s="189">
        <v>389.68</v>
      </c>
      <c r="G195" s="189">
        <v>396.63</v>
      </c>
      <c r="H195" s="190">
        <v>403.59</v>
      </c>
      <c r="I195" s="184">
        <v>410.54</v>
      </c>
      <c r="J195" s="184">
        <v>417.49</v>
      </c>
      <c r="K195" s="184">
        <v>424.44</v>
      </c>
      <c r="L195" s="184">
        <v>431.4</v>
      </c>
      <c r="M195" s="184">
        <v>438.35</v>
      </c>
      <c r="N195" s="184">
        <v>445.3</v>
      </c>
      <c r="O195" s="136">
        <v>422.91</v>
      </c>
      <c r="P195" s="136">
        <v>429.86</v>
      </c>
      <c r="Q195" s="136">
        <v>436.81</v>
      </c>
      <c r="R195" s="136">
        <v>443.77</v>
      </c>
      <c r="S195" s="136">
        <v>318.62</v>
      </c>
      <c r="T195" s="136">
        <v>311.67</v>
      </c>
      <c r="U195" s="136">
        <v>304.72000000000003</v>
      </c>
      <c r="V195" s="136">
        <v>297.77</v>
      </c>
      <c r="W195" s="136">
        <v>290.81</v>
      </c>
      <c r="X195" s="7">
        <v>191</v>
      </c>
      <c r="Y195" s="136">
        <v>200.21</v>
      </c>
      <c r="Z195" s="136">
        <v>205.12</v>
      </c>
      <c r="AA195" s="2">
        <v>210.02</v>
      </c>
      <c r="AB195" s="15">
        <v>214.93</v>
      </c>
      <c r="AC195" s="3">
        <v>219.84</v>
      </c>
      <c r="AD195" s="188">
        <v>244.63</v>
      </c>
      <c r="AE195" s="189">
        <v>249.54</v>
      </c>
      <c r="AF195" s="189">
        <v>254.45</v>
      </c>
      <c r="AG195" s="201">
        <v>259.35000000000002</v>
      </c>
      <c r="AH195" s="190">
        <v>264.26</v>
      </c>
      <c r="AI195" s="184">
        <v>269.17</v>
      </c>
      <c r="AJ195" s="184">
        <v>274.08</v>
      </c>
      <c r="AK195" s="184">
        <v>278.99</v>
      </c>
      <c r="AL195" s="184">
        <v>283.89999999999998</v>
      </c>
      <c r="AM195" s="184">
        <v>288.81</v>
      </c>
      <c r="AN195" s="184">
        <v>293.72000000000003</v>
      </c>
      <c r="AO195" s="136">
        <v>278.75</v>
      </c>
      <c r="AP195" s="136">
        <v>283.66000000000003</v>
      </c>
      <c r="AQ195" s="136">
        <v>288.56</v>
      </c>
      <c r="AR195" s="136">
        <v>293.47000000000003</v>
      </c>
      <c r="AS195" s="136">
        <v>205.12</v>
      </c>
      <c r="AT195" s="136">
        <v>200.21</v>
      </c>
      <c r="AU195" s="136">
        <v>195.3</v>
      </c>
      <c r="AV195" s="136">
        <v>190.39</v>
      </c>
      <c r="AW195" s="136">
        <v>185.48</v>
      </c>
    </row>
    <row r="196" spans="1:49" x14ac:dyDescent="0.45">
      <c r="A196" s="2">
        <v>327.02</v>
      </c>
      <c r="B196" s="15">
        <v>334.01</v>
      </c>
      <c r="C196" s="3">
        <v>341</v>
      </c>
      <c r="D196" s="188">
        <v>377.41</v>
      </c>
      <c r="E196" s="189">
        <v>384.39</v>
      </c>
      <c r="F196" s="189">
        <v>391.38</v>
      </c>
      <c r="G196" s="189">
        <v>398.37</v>
      </c>
      <c r="H196" s="190">
        <v>405.36</v>
      </c>
      <c r="I196" s="184">
        <v>412.35</v>
      </c>
      <c r="J196" s="184">
        <v>419.34</v>
      </c>
      <c r="K196" s="184">
        <v>426.33</v>
      </c>
      <c r="L196" s="184">
        <v>433.32</v>
      </c>
      <c r="M196" s="184">
        <v>440.31</v>
      </c>
      <c r="N196" s="184">
        <v>447.29</v>
      </c>
      <c r="O196" s="136">
        <v>424.86</v>
      </c>
      <c r="P196" s="136">
        <v>431.85</v>
      </c>
      <c r="Q196" s="136">
        <v>438.84</v>
      </c>
      <c r="R196" s="136">
        <v>445.83</v>
      </c>
      <c r="S196" s="136">
        <v>320.02999999999997</v>
      </c>
      <c r="T196" s="136">
        <v>313.04000000000002</v>
      </c>
      <c r="U196" s="136">
        <v>306.05</v>
      </c>
      <c r="V196" s="136">
        <v>299.06</v>
      </c>
      <c r="W196" s="136">
        <v>292.07</v>
      </c>
      <c r="X196" s="7">
        <v>192</v>
      </c>
      <c r="Y196" s="136">
        <v>201.18</v>
      </c>
      <c r="Z196" s="136">
        <v>206.12</v>
      </c>
      <c r="AA196" s="2">
        <v>211.05</v>
      </c>
      <c r="AB196" s="15">
        <v>215.99</v>
      </c>
      <c r="AC196" s="3">
        <v>220.92</v>
      </c>
      <c r="AD196" s="188">
        <v>245.81</v>
      </c>
      <c r="AE196" s="189">
        <v>250.74</v>
      </c>
      <c r="AF196" s="189">
        <v>255.68</v>
      </c>
      <c r="AG196" s="201">
        <v>260.61</v>
      </c>
      <c r="AH196" s="190">
        <v>265.54000000000002</v>
      </c>
      <c r="AI196" s="184">
        <v>270.48</v>
      </c>
      <c r="AJ196" s="184">
        <v>275.41000000000003</v>
      </c>
      <c r="AK196" s="184">
        <v>280.35000000000002</v>
      </c>
      <c r="AL196" s="184">
        <v>285.27999999999997</v>
      </c>
      <c r="AM196" s="184">
        <v>290.22000000000003</v>
      </c>
      <c r="AN196" s="184">
        <v>295.14999999999998</v>
      </c>
      <c r="AO196" s="136">
        <v>280.13</v>
      </c>
      <c r="AP196" s="136">
        <v>285.07</v>
      </c>
      <c r="AQ196" s="136">
        <v>290</v>
      </c>
      <c r="AR196" s="136">
        <v>294.94</v>
      </c>
      <c r="AS196" s="136">
        <v>206.12</v>
      </c>
      <c r="AT196" s="136">
        <v>201.18</v>
      </c>
      <c r="AU196" s="136">
        <v>196.25</v>
      </c>
      <c r="AV196" s="136">
        <v>191.31</v>
      </c>
      <c r="AW196" s="136">
        <v>186.38</v>
      </c>
    </row>
    <row r="197" spans="1:49" x14ac:dyDescent="0.45">
      <c r="A197" s="2">
        <v>328.82</v>
      </c>
      <c r="B197" s="15">
        <v>335.84</v>
      </c>
      <c r="C197" s="3">
        <v>342.87</v>
      </c>
      <c r="D197" s="188">
        <v>379.5</v>
      </c>
      <c r="E197" s="189">
        <v>386.52</v>
      </c>
      <c r="F197" s="189">
        <v>393.55</v>
      </c>
      <c r="G197" s="189">
        <v>400.57</v>
      </c>
      <c r="H197" s="190">
        <v>407.6</v>
      </c>
      <c r="I197" s="184">
        <v>414.62</v>
      </c>
      <c r="J197" s="184">
        <v>421.65</v>
      </c>
      <c r="K197" s="184">
        <v>428.67</v>
      </c>
      <c r="L197" s="184">
        <v>435.7</v>
      </c>
      <c r="M197" s="184">
        <v>442.72</v>
      </c>
      <c r="N197" s="184">
        <v>449.75</v>
      </c>
      <c r="O197" s="136">
        <v>427.17</v>
      </c>
      <c r="P197" s="136">
        <v>434.2</v>
      </c>
      <c r="Q197" s="136">
        <v>441.22</v>
      </c>
      <c r="R197" s="136">
        <v>448.25</v>
      </c>
      <c r="S197" s="136">
        <v>321.79000000000002</v>
      </c>
      <c r="T197" s="136">
        <v>314.77</v>
      </c>
      <c r="U197" s="136">
        <v>307.74</v>
      </c>
      <c r="V197" s="136">
        <v>300.72000000000003</v>
      </c>
      <c r="W197" s="136">
        <v>293.69</v>
      </c>
      <c r="X197" s="7">
        <v>193</v>
      </c>
      <c r="Y197" s="136">
        <v>202.26</v>
      </c>
      <c r="Z197" s="136">
        <v>207.22</v>
      </c>
      <c r="AA197" s="2">
        <v>212.18</v>
      </c>
      <c r="AB197" s="15">
        <v>217.14</v>
      </c>
      <c r="AC197" s="3">
        <v>222.1</v>
      </c>
      <c r="AD197" s="188">
        <v>247.13</v>
      </c>
      <c r="AE197" s="189">
        <v>252.09</v>
      </c>
      <c r="AF197" s="189">
        <v>257.05</v>
      </c>
      <c r="AG197" s="201">
        <v>262.01</v>
      </c>
      <c r="AH197" s="190">
        <v>266.97000000000003</v>
      </c>
      <c r="AI197" s="184">
        <v>271.93</v>
      </c>
      <c r="AJ197" s="184">
        <v>276.89</v>
      </c>
      <c r="AK197" s="184">
        <v>281.85000000000002</v>
      </c>
      <c r="AL197" s="184">
        <v>286.81</v>
      </c>
      <c r="AM197" s="184">
        <v>291.77</v>
      </c>
      <c r="AN197" s="184">
        <v>296.73</v>
      </c>
      <c r="AO197" s="136">
        <v>281.62</v>
      </c>
      <c r="AP197" s="136">
        <v>286.58</v>
      </c>
      <c r="AQ197" s="136">
        <v>291.54000000000002</v>
      </c>
      <c r="AR197" s="136">
        <v>296.5</v>
      </c>
      <c r="AS197" s="136">
        <v>207.22</v>
      </c>
      <c r="AT197" s="136">
        <v>202.26</v>
      </c>
      <c r="AU197" s="136">
        <v>197.3</v>
      </c>
      <c r="AV197" s="136">
        <v>192.34</v>
      </c>
      <c r="AW197" s="136">
        <v>187.38</v>
      </c>
    </row>
    <row r="198" spans="1:49" x14ac:dyDescent="0.45">
      <c r="A198" s="2">
        <v>330.62</v>
      </c>
      <c r="B198" s="15">
        <v>337.69</v>
      </c>
      <c r="C198" s="3">
        <v>344.75</v>
      </c>
      <c r="D198" s="188">
        <v>381.59</v>
      </c>
      <c r="E198" s="189">
        <v>388.65</v>
      </c>
      <c r="F198" s="189">
        <v>395.72</v>
      </c>
      <c r="G198" s="189">
        <v>402.78</v>
      </c>
      <c r="H198" s="190">
        <v>409.84</v>
      </c>
      <c r="I198" s="184">
        <v>416.9</v>
      </c>
      <c r="J198" s="184">
        <v>423.96</v>
      </c>
      <c r="K198" s="184">
        <v>431.02</v>
      </c>
      <c r="L198" s="184">
        <v>438.09</v>
      </c>
      <c r="M198" s="184">
        <v>445.15</v>
      </c>
      <c r="N198" s="184">
        <v>452.21</v>
      </c>
      <c r="O198" s="136">
        <v>429.49</v>
      </c>
      <c r="P198" s="136">
        <v>436.55</v>
      </c>
      <c r="Q198" s="136">
        <v>443.61</v>
      </c>
      <c r="R198" s="136">
        <v>450.67</v>
      </c>
      <c r="S198" s="136">
        <v>323.56</v>
      </c>
      <c r="T198" s="136">
        <v>316.5</v>
      </c>
      <c r="U198" s="136">
        <v>309.44</v>
      </c>
      <c r="V198" s="136">
        <v>302.38</v>
      </c>
      <c r="W198" s="136">
        <v>295.32</v>
      </c>
      <c r="X198" s="7">
        <v>194</v>
      </c>
      <c r="Y198" s="136">
        <v>203.34</v>
      </c>
      <c r="Z198" s="136">
        <v>208.32</v>
      </c>
      <c r="AA198" s="2">
        <v>213.31</v>
      </c>
      <c r="AB198" s="15">
        <v>218.29</v>
      </c>
      <c r="AC198" s="3">
        <v>223.28</v>
      </c>
      <c r="AD198" s="188">
        <v>248.45</v>
      </c>
      <c r="AE198" s="189">
        <v>253.44</v>
      </c>
      <c r="AF198" s="189">
        <v>258.42</v>
      </c>
      <c r="AG198" s="201">
        <v>263.41000000000003</v>
      </c>
      <c r="AH198" s="190">
        <v>268.39</v>
      </c>
      <c r="AI198" s="184">
        <v>273.38</v>
      </c>
      <c r="AJ198" s="184">
        <v>278.36</v>
      </c>
      <c r="AK198" s="184">
        <v>283.35000000000002</v>
      </c>
      <c r="AL198" s="184">
        <v>288.33999999999997</v>
      </c>
      <c r="AM198" s="184">
        <v>293.32</v>
      </c>
      <c r="AN198" s="184">
        <v>298.31</v>
      </c>
      <c r="AO198" s="136">
        <v>283.11</v>
      </c>
      <c r="AP198" s="136">
        <v>288.08999999999997</v>
      </c>
      <c r="AQ198" s="136">
        <v>293.08</v>
      </c>
      <c r="AR198" s="136">
        <v>298.07</v>
      </c>
      <c r="AS198" s="136">
        <v>208.32</v>
      </c>
      <c r="AT198" s="136">
        <v>203.34</v>
      </c>
      <c r="AU198" s="136">
        <v>198.35</v>
      </c>
      <c r="AV198" s="136">
        <v>193.36</v>
      </c>
      <c r="AW198" s="136">
        <v>188.38</v>
      </c>
    </row>
    <row r="199" spans="1:49" x14ac:dyDescent="0.45">
      <c r="A199" s="2">
        <v>332.43</v>
      </c>
      <c r="B199" s="15">
        <v>339.53</v>
      </c>
      <c r="C199" s="3">
        <v>346.63</v>
      </c>
      <c r="D199" s="188">
        <v>383.7</v>
      </c>
      <c r="E199" s="189">
        <v>390.8</v>
      </c>
      <c r="F199" s="189">
        <v>397.89</v>
      </c>
      <c r="G199" s="189">
        <v>404.99</v>
      </c>
      <c r="H199" s="190">
        <v>412.09</v>
      </c>
      <c r="I199" s="184">
        <v>419.19</v>
      </c>
      <c r="J199" s="184">
        <v>426.29</v>
      </c>
      <c r="K199" s="184">
        <v>433.38</v>
      </c>
      <c r="L199" s="184">
        <v>440.48</v>
      </c>
      <c r="M199" s="184">
        <v>447.58</v>
      </c>
      <c r="N199" s="184">
        <v>454.68</v>
      </c>
      <c r="O199" s="136">
        <v>431.81</v>
      </c>
      <c r="P199" s="136">
        <v>438.9</v>
      </c>
      <c r="Q199" s="136">
        <v>446</v>
      </c>
      <c r="R199" s="136">
        <v>453.1</v>
      </c>
      <c r="S199" s="136">
        <v>325.33999999999997</v>
      </c>
      <c r="T199" s="136">
        <v>318.24</v>
      </c>
      <c r="U199" s="136">
        <v>311.14</v>
      </c>
      <c r="V199" s="136">
        <v>304.04000000000002</v>
      </c>
      <c r="W199" s="136">
        <v>296.94</v>
      </c>
      <c r="X199" s="7">
        <v>195</v>
      </c>
      <c r="Y199" s="136">
        <v>204.31</v>
      </c>
      <c r="Z199" s="136">
        <v>209.32</v>
      </c>
      <c r="AA199" s="2">
        <v>214.33</v>
      </c>
      <c r="AB199" s="15">
        <v>219.35</v>
      </c>
      <c r="AC199" s="3">
        <v>224.36</v>
      </c>
      <c r="AD199" s="188">
        <v>249.63</v>
      </c>
      <c r="AE199" s="189">
        <v>254.64</v>
      </c>
      <c r="AF199" s="189">
        <v>259.64999999999998</v>
      </c>
      <c r="AG199" s="201">
        <v>264.66000000000003</v>
      </c>
      <c r="AH199" s="190">
        <v>269.67</v>
      </c>
      <c r="AI199" s="184">
        <v>274.69</v>
      </c>
      <c r="AJ199" s="184">
        <v>279.7</v>
      </c>
      <c r="AK199" s="184">
        <v>284.70999999999998</v>
      </c>
      <c r="AL199" s="184">
        <v>289.72000000000003</v>
      </c>
      <c r="AM199" s="184">
        <v>294.73</v>
      </c>
      <c r="AN199" s="184">
        <v>299.74</v>
      </c>
      <c r="AO199" s="136">
        <v>284.5</v>
      </c>
      <c r="AP199" s="136">
        <v>289.51</v>
      </c>
      <c r="AQ199" s="136">
        <v>294.52</v>
      </c>
      <c r="AR199" s="136">
        <v>299.52999999999997</v>
      </c>
      <c r="AS199" s="136">
        <v>209.32</v>
      </c>
      <c r="AT199" s="136">
        <v>204.31</v>
      </c>
      <c r="AU199" s="136">
        <v>199.3</v>
      </c>
      <c r="AV199" s="136">
        <v>194.29</v>
      </c>
      <c r="AW199" s="136">
        <v>189.28</v>
      </c>
    </row>
    <row r="200" spans="1:49" x14ac:dyDescent="0.45">
      <c r="A200" s="2">
        <v>333.88</v>
      </c>
      <c r="B200" s="15">
        <v>341.01</v>
      </c>
      <c r="C200" s="3">
        <v>348.15</v>
      </c>
      <c r="D200" s="188">
        <v>385.33</v>
      </c>
      <c r="E200" s="189">
        <v>392.46</v>
      </c>
      <c r="F200" s="189">
        <v>399.6</v>
      </c>
      <c r="G200" s="189">
        <v>406.73</v>
      </c>
      <c r="H200" s="190">
        <v>413.86</v>
      </c>
      <c r="I200" s="184">
        <v>421</v>
      </c>
      <c r="J200" s="184">
        <v>428.13</v>
      </c>
      <c r="K200" s="184">
        <v>435.27</v>
      </c>
      <c r="L200" s="184">
        <v>442.4</v>
      </c>
      <c r="M200" s="184">
        <v>449.54</v>
      </c>
      <c r="N200" s="184">
        <v>456.67</v>
      </c>
      <c r="O200" s="136">
        <v>433.76</v>
      </c>
      <c r="P200" s="136">
        <v>440.89</v>
      </c>
      <c r="Q200" s="136">
        <v>448.03</v>
      </c>
      <c r="R200" s="136">
        <v>455.16</v>
      </c>
      <c r="S200" s="136">
        <v>326.74</v>
      </c>
      <c r="T200" s="136">
        <v>319.61</v>
      </c>
      <c r="U200" s="136">
        <v>312.47000000000003</v>
      </c>
      <c r="V200" s="136">
        <v>305.33999999999997</v>
      </c>
      <c r="W200" s="136">
        <v>298.20999999999998</v>
      </c>
      <c r="X200" s="7">
        <v>196</v>
      </c>
      <c r="Y200" s="136">
        <v>205.39</v>
      </c>
      <c r="Z200" s="136">
        <v>210.43</v>
      </c>
      <c r="AA200" s="2">
        <v>215.47</v>
      </c>
      <c r="AB200" s="15">
        <v>220.5</v>
      </c>
      <c r="AC200" s="3">
        <v>225.54</v>
      </c>
      <c r="AD200" s="188">
        <v>250.95</v>
      </c>
      <c r="AE200" s="189">
        <v>255.99</v>
      </c>
      <c r="AF200" s="189">
        <v>261.02999999999997</v>
      </c>
      <c r="AG200" s="201">
        <v>266.06</v>
      </c>
      <c r="AH200" s="190">
        <v>271.10000000000002</v>
      </c>
      <c r="AI200" s="184">
        <v>276.14</v>
      </c>
      <c r="AJ200" s="184">
        <v>281.18</v>
      </c>
      <c r="AK200" s="184">
        <v>286.20999999999998</v>
      </c>
      <c r="AL200" s="184">
        <v>291.25</v>
      </c>
      <c r="AM200" s="184">
        <v>296.29000000000002</v>
      </c>
      <c r="AN200" s="184">
        <v>301.32</v>
      </c>
      <c r="AO200" s="136">
        <v>285.99</v>
      </c>
      <c r="AP200" s="136">
        <v>291.02</v>
      </c>
      <c r="AQ200" s="136">
        <v>296.06</v>
      </c>
      <c r="AR200" s="136">
        <v>301.10000000000002</v>
      </c>
      <c r="AS200" s="136">
        <v>210.43</v>
      </c>
      <c r="AT200" s="136">
        <v>205.39</v>
      </c>
      <c r="AU200" s="136">
        <v>200.35</v>
      </c>
      <c r="AV200" s="136">
        <v>195.32</v>
      </c>
      <c r="AW200" s="136">
        <v>190.28</v>
      </c>
    </row>
    <row r="201" spans="1:49" x14ac:dyDescent="0.45">
      <c r="A201" s="2">
        <v>335.69</v>
      </c>
      <c r="B201" s="15">
        <v>342.86</v>
      </c>
      <c r="C201" s="3">
        <v>350.03</v>
      </c>
      <c r="D201" s="188">
        <v>387.44</v>
      </c>
      <c r="E201" s="189">
        <v>394.61</v>
      </c>
      <c r="F201" s="189">
        <v>401.78</v>
      </c>
      <c r="G201" s="189">
        <v>408.95</v>
      </c>
      <c r="H201" s="190">
        <v>416.12</v>
      </c>
      <c r="I201" s="184">
        <v>423.29</v>
      </c>
      <c r="J201" s="184">
        <v>430.46</v>
      </c>
      <c r="K201" s="184">
        <v>437.63</v>
      </c>
      <c r="L201" s="184">
        <v>444.8</v>
      </c>
      <c r="M201" s="184">
        <v>451.97</v>
      </c>
      <c r="N201" s="184">
        <v>459.15</v>
      </c>
      <c r="O201" s="136">
        <v>436.08</v>
      </c>
      <c r="P201" s="136">
        <v>443.25</v>
      </c>
      <c r="Q201" s="136">
        <v>450.43</v>
      </c>
      <c r="R201" s="136">
        <v>457.6</v>
      </c>
      <c r="S201" s="136">
        <v>328.52</v>
      </c>
      <c r="T201" s="136">
        <v>321.35000000000002</v>
      </c>
      <c r="U201" s="136">
        <v>314.18</v>
      </c>
      <c r="V201" s="136">
        <v>307.01</v>
      </c>
      <c r="W201" s="136">
        <v>299.83999999999997</v>
      </c>
      <c r="X201" s="7">
        <v>197</v>
      </c>
      <c r="Y201" s="136">
        <v>206.47</v>
      </c>
      <c r="Z201" s="136">
        <v>211.53</v>
      </c>
      <c r="AA201" s="2">
        <v>216.6</v>
      </c>
      <c r="AB201" s="15">
        <v>221.66</v>
      </c>
      <c r="AC201" s="3">
        <v>226.72</v>
      </c>
      <c r="AD201" s="188">
        <v>252.28</v>
      </c>
      <c r="AE201" s="189">
        <v>257.33999999999997</v>
      </c>
      <c r="AF201" s="189">
        <v>262.39999999999998</v>
      </c>
      <c r="AG201" s="201">
        <v>267.47000000000003</v>
      </c>
      <c r="AH201" s="190">
        <v>272.52999999999997</v>
      </c>
      <c r="AI201" s="184">
        <v>277.58999999999997</v>
      </c>
      <c r="AJ201" s="184">
        <v>282.66000000000003</v>
      </c>
      <c r="AK201" s="184">
        <v>287.72000000000003</v>
      </c>
      <c r="AL201" s="184">
        <v>292.77999999999997</v>
      </c>
      <c r="AM201" s="184">
        <v>297.83999999999997</v>
      </c>
      <c r="AN201" s="184">
        <v>302.91000000000003</v>
      </c>
      <c r="AO201" s="136">
        <v>287.48</v>
      </c>
      <c r="AP201" s="136">
        <v>292.54000000000002</v>
      </c>
      <c r="AQ201" s="136">
        <v>297.60000000000002</v>
      </c>
      <c r="AR201" s="136">
        <v>302.67</v>
      </c>
      <c r="AS201" s="136">
        <v>211.53</v>
      </c>
      <c r="AT201" s="136">
        <v>206.47</v>
      </c>
      <c r="AU201" s="136">
        <v>201.41</v>
      </c>
      <c r="AV201" s="136">
        <v>196.35</v>
      </c>
      <c r="AW201" s="136">
        <v>191.28</v>
      </c>
    </row>
    <row r="202" spans="1:49" x14ac:dyDescent="0.45">
      <c r="A202" s="81">
        <v>337.51</v>
      </c>
      <c r="B202" s="75">
        <v>344.72</v>
      </c>
      <c r="C202" s="76">
        <v>351.93</v>
      </c>
      <c r="D202" s="175">
        <v>389.56</v>
      </c>
      <c r="E202" s="176">
        <v>396.76</v>
      </c>
      <c r="F202" s="176">
        <v>403.97</v>
      </c>
      <c r="G202" s="176">
        <v>411.18</v>
      </c>
      <c r="H202" s="177">
        <v>418.38</v>
      </c>
      <c r="I202" s="184">
        <v>425.59</v>
      </c>
      <c r="J202" s="184">
        <v>432.8</v>
      </c>
      <c r="K202" s="184">
        <v>440.01</v>
      </c>
      <c r="L202" s="184">
        <v>447.21</v>
      </c>
      <c r="M202" s="184">
        <v>454.42</v>
      </c>
      <c r="N202" s="184">
        <v>461.63</v>
      </c>
      <c r="O202" s="136">
        <v>438.42</v>
      </c>
      <c r="P202" s="136">
        <v>445.62</v>
      </c>
      <c r="Q202" s="136">
        <v>452.83</v>
      </c>
      <c r="R202" s="136">
        <v>460.04</v>
      </c>
      <c r="S202" s="136">
        <v>330.31</v>
      </c>
      <c r="T202" s="136">
        <v>323.10000000000002</v>
      </c>
      <c r="U202" s="136">
        <v>315.89</v>
      </c>
      <c r="V202" s="136">
        <v>308.69</v>
      </c>
      <c r="W202" s="136">
        <v>301.48</v>
      </c>
      <c r="X202" s="7">
        <v>198</v>
      </c>
      <c r="Y202" s="136">
        <v>207.45</v>
      </c>
      <c r="Z202" s="136">
        <v>212.54</v>
      </c>
      <c r="AA202" s="81">
        <v>217.62</v>
      </c>
      <c r="AB202" s="75">
        <v>222.71</v>
      </c>
      <c r="AC202" s="76">
        <v>227.8</v>
      </c>
      <c r="AD202" s="175">
        <v>253.46</v>
      </c>
      <c r="AE202" s="176">
        <v>258.55</v>
      </c>
      <c r="AF202" s="176">
        <v>263.63</v>
      </c>
      <c r="AG202" s="201">
        <v>268.72000000000003</v>
      </c>
      <c r="AH202" s="177">
        <v>273.81</v>
      </c>
      <c r="AI202" s="184">
        <v>278.89999999999998</v>
      </c>
      <c r="AJ202" s="184">
        <v>283.99</v>
      </c>
      <c r="AK202" s="184">
        <v>289.08</v>
      </c>
      <c r="AL202" s="184">
        <v>297.17</v>
      </c>
      <c r="AM202" s="184">
        <v>299.25</v>
      </c>
      <c r="AN202" s="184">
        <v>304.33999999999997</v>
      </c>
      <c r="AO202" s="136">
        <v>288.86</v>
      </c>
      <c r="AP202" s="136">
        <v>293.95</v>
      </c>
      <c r="AQ202" s="136">
        <v>299.04000000000002</v>
      </c>
      <c r="AR202" s="136">
        <v>304.13</v>
      </c>
      <c r="AS202" s="136">
        <v>212.54</v>
      </c>
      <c r="AT202" s="136">
        <v>207.45</v>
      </c>
      <c r="AU202" s="136">
        <v>202.36</v>
      </c>
      <c r="AV202" s="136">
        <v>197.27</v>
      </c>
      <c r="AW202" s="136">
        <v>192.18</v>
      </c>
    </row>
    <row r="203" spans="1:49" x14ac:dyDescent="0.45">
      <c r="A203" s="82">
        <v>338.96</v>
      </c>
      <c r="B203" s="73">
        <v>346.2</v>
      </c>
      <c r="C203" s="74">
        <v>353.44</v>
      </c>
      <c r="D203" s="179">
        <v>391.19</v>
      </c>
      <c r="E203" s="180">
        <v>398.43</v>
      </c>
      <c r="F203" s="180">
        <v>405.67</v>
      </c>
      <c r="G203" s="180">
        <v>412.92</v>
      </c>
      <c r="H203" s="181">
        <v>420.16</v>
      </c>
      <c r="I203" s="184">
        <v>427.4</v>
      </c>
      <c r="J203" s="184">
        <v>434.65</v>
      </c>
      <c r="K203" s="184">
        <v>441.89</v>
      </c>
      <c r="L203" s="184">
        <v>449.13</v>
      </c>
      <c r="M203" s="184">
        <v>456.38</v>
      </c>
      <c r="N203" s="184">
        <v>463.62</v>
      </c>
      <c r="O203" s="136">
        <v>440.37</v>
      </c>
      <c r="P203" s="136">
        <v>447.61</v>
      </c>
      <c r="Q203" s="136">
        <v>454.85</v>
      </c>
      <c r="R203" s="136">
        <v>462.1</v>
      </c>
      <c r="S203" s="136">
        <v>331.71</v>
      </c>
      <c r="T203" s="136">
        <v>324.47000000000003</v>
      </c>
      <c r="U203" s="136">
        <v>317.23</v>
      </c>
      <c r="V203" s="136">
        <v>309.38</v>
      </c>
      <c r="W203" s="136">
        <v>302.74</v>
      </c>
      <c r="X203" s="7">
        <v>199</v>
      </c>
      <c r="Y203" s="136">
        <v>208.53</v>
      </c>
      <c r="Z203" s="136">
        <v>213.64</v>
      </c>
      <c r="AA203" s="82">
        <v>218.76</v>
      </c>
      <c r="AB203" s="73">
        <v>223.87</v>
      </c>
      <c r="AC203" s="74">
        <v>228.99</v>
      </c>
      <c r="AD203" s="179">
        <v>254.79</v>
      </c>
      <c r="AE203" s="180">
        <v>259.89999999999998</v>
      </c>
      <c r="AF203" s="180">
        <v>265.01</v>
      </c>
      <c r="AG203" s="201">
        <v>270.13</v>
      </c>
      <c r="AH203" s="181">
        <v>275.24</v>
      </c>
      <c r="AI203" s="184">
        <v>280.36</v>
      </c>
      <c r="AJ203" s="184">
        <v>285.47000000000003</v>
      </c>
      <c r="AK203" s="184">
        <v>290.58999999999997</v>
      </c>
      <c r="AL203" s="184">
        <v>295.7</v>
      </c>
      <c r="AM203" s="184">
        <v>300.81</v>
      </c>
      <c r="AN203" s="184">
        <v>305.93</v>
      </c>
      <c r="AO203" s="136">
        <v>290.36</v>
      </c>
      <c r="AP203" s="136">
        <v>295.47000000000003</v>
      </c>
      <c r="AQ203" s="136">
        <v>300.58999999999997</v>
      </c>
      <c r="AR203" s="136">
        <v>305.7</v>
      </c>
      <c r="AS203" s="136">
        <v>213.64</v>
      </c>
      <c r="AT203" s="136">
        <v>208.53</v>
      </c>
      <c r="AU203" s="136">
        <v>203.41</v>
      </c>
      <c r="AV203" s="136">
        <v>198.3</v>
      </c>
      <c r="AW203" s="136">
        <v>193.19</v>
      </c>
    </row>
    <row r="204" spans="1:49" ht="21.75" thickBot="1" x14ac:dyDescent="0.5">
      <c r="A204" s="92">
        <v>340.78</v>
      </c>
      <c r="B204" s="77">
        <v>348.06</v>
      </c>
      <c r="C204" s="78">
        <v>355.34</v>
      </c>
      <c r="D204" s="191">
        <v>393.31</v>
      </c>
      <c r="E204" s="192">
        <v>400.59</v>
      </c>
      <c r="F204" s="192">
        <v>407.87</v>
      </c>
      <c r="G204" s="192">
        <v>415.15</v>
      </c>
      <c r="H204" s="193">
        <v>422.43</v>
      </c>
      <c r="I204" s="194">
        <v>429.71</v>
      </c>
      <c r="J204" s="194">
        <v>436.99</v>
      </c>
      <c r="K204" s="194">
        <v>444.27</v>
      </c>
      <c r="L204" s="194">
        <v>451.55</v>
      </c>
      <c r="M204" s="194">
        <v>458.83</v>
      </c>
      <c r="N204" s="194">
        <v>466.11</v>
      </c>
      <c r="O204" s="137">
        <v>442.7</v>
      </c>
      <c r="P204" s="137">
        <v>449.98</v>
      </c>
      <c r="Q204" s="137">
        <v>457.26</v>
      </c>
      <c r="R204" s="137">
        <v>464.54</v>
      </c>
      <c r="S204" s="136">
        <v>333.5</v>
      </c>
      <c r="T204" s="136">
        <v>326.22000000000003</v>
      </c>
      <c r="U204" s="136">
        <v>318.94</v>
      </c>
      <c r="V204" s="136">
        <v>311.66000000000003</v>
      </c>
      <c r="W204" s="136">
        <v>304.38</v>
      </c>
      <c r="X204" s="8">
        <v>200</v>
      </c>
      <c r="Y204" s="136">
        <v>209.61</v>
      </c>
      <c r="Z204" s="136">
        <v>214.75</v>
      </c>
      <c r="AA204" s="92">
        <v>219.89</v>
      </c>
      <c r="AB204" s="77">
        <v>225.03</v>
      </c>
      <c r="AC204" s="78">
        <v>230.17</v>
      </c>
      <c r="AD204" s="191">
        <v>256.12</v>
      </c>
      <c r="AE204" s="192">
        <v>261.26</v>
      </c>
      <c r="AF204" s="192">
        <v>266.39999999999998</v>
      </c>
      <c r="AG204" s="202">
        <v>271.54000000000002</v>
      </c>
      <c r="AH204" s="193">
        <v>276.68</v>
      </c>
      <c r="AI204" s="194">
        <v>281.82</v>
      </c>
      <c r="AJ204" s="194">
        <v>286.95999999999998</v>
      </c>
      <c r="AK204" s="194">
        <v>292.10000000000002</v>
      </c>
      <c r="AL204" s="194">
        <v>297.24</v>
      </c>
      <c r="AM204" s="194">
        <v>302.38</v>
      </c>
      <c r="AN204" s="194">
        <v>307.52</v>
      </c>
      <c r="AO204" s="137">
        <v>291.85000000000002</v>
      </c>
      <c r="AP204" s="137">
        <v>296.99</v>
      </c>
      <c r="AQ204" s="137">
        <v>302.13</v>
      </c>
      <c r="AR204" s="137">
        <v>307.27</v>
      </c>
      <c r="AS204" s="136">
        <v>214.75</v>
      </c>
      <c r="AT204" s="136">
        <v>209.61</v>
      </c>
      <c r="AU204" s="136">
        <v>204.47</v>
      </c>
      <c r="AV204" s="136">
        <v>199.33</v>
      </c>
      <c r="AW204" s="136">
        <v>194.19</v>
      </c>
    </row>
    <row r="205" spans="1:49" ht="21.75" thickBot="1" x14ac:dyDescent="0.5">
      <c r="A205" s="88">
        <v>1.7</v>
      </c>
      <c r="B205" s="90">
        <v>1.74</v>
      </c>
      <c r="C205" s="80">
        <v>1.78</v>
      </c>
      <c r="D205" s="171">
        <v>1.97</v>
      </c>
      <c r="E205" s="195">
        <v>2</v>
      </c>
      <c r="F205" s="195">
        <v>2.04</v>
      </c>
      <c r="G205" s="195">
        <v>2.08</v>
      </c>
      <c r="H205" s="196">
        <v>2.11</v>
      </c>
      <c r="I205" s="195">
        <v>2.15</v>
      </c>
      <c r="J205" s="195">
        <v>2.19</v>
      </c>
      <c r="K205" s="195">
        <v>2.2200000000000002</v>
      </c>
      <c r="L205" s="195">
        <v>2.2599999999999998</v>
      </c>
      <c r="M205" s="195">
        <v>2.29</v>
      </c>
      <c r="N205" s="195">
        <v>2.33</v>
      </c>
      <c r="O205" s="90">
        <v>2.21</v>
      </c>
      <c r="P205" s="90">
        <v>2.25</v>
      </c>
      <c r="Q205" s="90">
        <v>2.29</v>
      </c>
      <c r="R205" s="91">
        <v>2.3199999999999998</v>
      </c>
      <c r="S205" s="140">
        <v>1.67</v>
      </c>
      <c r="T205" s="139">
        <v>1.63</v>
      </c>
      <c r="U205" s="139">
        <v>1.6</v>
      </c>
      <c r="V205" s="139">
        <v>1.56</v>
      </c>
      <c r="W205" s="140">
        <v>1.52</v>
      </c>
      <c r="X205" s="140"/>
      <c r="Y205" s="141">
        <v>1.05</v>
      </c>
      <c r="Z205" s="140">
        <v>1.07</v>
      </c>
      <c r="AA205" s="88">
        <v>1.1000000000000001</v>
      </c>
      <c r="AB205" s="80">
        <v>1.1200000000000001</v>
      </c>
      <c r="AC205" s="80">
        <v>1.1499999999999999</v>
      </c>
      <c r="AD205" s="171">
        <v>1.28</v>
      </c>
      <c r="AE205" s="171">
        <v>1.31</v>
      </c>
      <c r="AF205" s="195">
        <v>1.33</v>
      </c>
      <c r="AG205" s="195">
        <v>1.36</v>
      </c>
      <c r="AH205" s="196">
        <v>1.38</v>
      </c>
      <c r="AI205" s="203">
        <v>1.41</v>
      </c>
      <c r="AJ205" s="204">
        <v>1.43</v>
      </c>
      <c r="AK205" s="204">
        <v>1.46</v>
      </c>
      <c r="AL205" s="204">
        <v>1.49</v>
      </c>
      <c r="AM205" s="204">
        <v>1.51</v>
      </c>
      <c r="AN205" s="204">
        <v>1.54</v>
      </c>
      <c r="AO205" s="138">
        <v>1.46</v>
      </c>
      <c r="AP205" s="138">
        <v>1.48</v>
      </c>
      <c r="AQ205" s="138">
        <v>1.51</v>
      </c>
      <c r="AR205" s="139">
        <v>1.54</v>
      </c>
      <c r="AS205" s="140">
        <v>1.07</v>
      </c>
      <c r="AT205" s="141">
        <v>1.05</v>
      </c>
      <c r="AU205" s="141">
        <v>1.02</v>
      </c>
      <c r="AV205" s="141">
        <v>1</v>
      </c>
      <c r="AW205" s="140">
        <v>0.97</v>
      </c>
    </row>
    <row r="206" spans="1:49" x14ac:dyDescent="0.4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S206" s="4"/>
      <c r="AT206" s="4"/>
      <c r="AU206" s="4"/>
      <c r="AV206" s="4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Q137"/>
  <sheetViews>
    <sheetView topLeftCell="A145" zoomScale="110" zoomScaleNormal="110" workbookViewId="0">
      <selection activeCell="B109" sqref="B109:C119"/>
    </sheetView>
  </sheetViews>
  <sheetFormatPr defaultColWidth="9.140625" defaultRowHeight="21" x14ac:dyDescent="0.45"/>
  <cols>
    <col min="1" max="1" width="2.85546875" style="17" customWidth="1"/>
    <col min="2" max="2" width="10.140625" style="17" customWidth="1"/>
    <col min="3" max="3" width="31.5703125" style="17" customWidth="1"/>
    <col min="4" max="4" width="7.140625" style="17" customWidth="1"/>
    <col min="5" max="5" width="5.140625" style="17" customWidth="1"/>
    <col min="6" max="6" width="7" style="17" customWidth="1"/>
    <col min="7" max="7" width="6.7109375" style="17" customWidth="1"/>
    <col min="8" max="8" width="9.42578125" style="17" customWidth="1"/>
    <col min="9" max="9" width="20.140625" style="17" customWidth="1"/>
    <col min="10" max="10" width="9.28515625" style="17" customWidth="1"/>
    <col min="11" max="11" width="10.85546875" style="17" customWidth="1"/>
    <col min="12" max="12" width="10.42578125" style="17" customWidth="1"/>
    <col min="13" max="13" width="6.7109375" style="17" customWidth="1"/>
    <col min="14" max="14" width="4" style="17" customWidth="1"/>
    <col min="15" max="16" width="9.140625" style="17"/>
    <col min="17" max="17" width="10.28515625" style="17" customWidth="1"/>
    <col min="18" max="16384" width="9.140625" style="17"/>
  </cols>
  <sheetData>
    <row r="1" spans="1:17" ht="21.75" customHeight="1" x14ac:dyDescent="0.5">
      <c r="A1" s="482" t="s">
        <v>39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</row>
    <row r="2" spans="1:17" x14ac:dyDescent="0.45">
      <c r="B2" s="129" t="s">
        <v>27</v>
      </c>
      <c r="C2" s="19" t="e">
        <f>#REF!</f>
        <v>#REF!</v>
      </c>
      <c r="G2" s="18" t="s">
        <v>6</v>
      </c>
      <c r="I2" s="17" t="e">
        <f>#REF!</f>
        <v>#REF!</v>
      </c>
    </row>
    <row r="3" spans="1:17" ht="21.75" customHeight="1" x14ac:dyDescent="0.45">
      <c r="B3" s="129" t="s">
        <v>28</v>
      </c>
      <c r="C3" s="19" t="e">
        <f>#REF!</f>
        <v>#REF!</v>
      </c>
      <c r="G3" s="18" t="s">
        <v>127</v>
      </c>
      <c r="I3" s="143" t="e">
        <f>#REF!</f>
        <v>#REF!</v>
      </c>
      <c r="J3" s="19" t="s">
        <v>29</v>
      </c>
      <c r="K3" s="19"/>
      <c r="L3" s="19"/>
    </row>
    <row r="4" spans="1:17" ht="20.100000000000001" customHeight="1" x14ac:dyDescent="0.45">
      <c r="A4" s="20" t="s">
        <v>0</v>
      </c>
      <c r="B4" s="21"/>
      <c r="C4" s="22" t="s">
        <v>30</v>
      </c>
      <c r="D4" s="20" t="s">
        <v>7</v>
      </c>
      <c r="E4" s="20" t="s">
        <v>8</v>
      </c>
      <c r="F4" s="473" t="s">
        <v>9</v>
      </c>
      <c r="G4" s="481"/>
      <c r="H4" s="474"/>
      <c r="I4" s="20" t="s">
        <v>10</v>
      </c>
      <c r="J4" s="472" t="s">
        <v>2</v>
      </c>
      <c r="K4" s="473" t="s">
        <v>145</v>
      </c>
      <c r="L4" s="474"/>
      <c r="M4" s="479" t="s">
        <v>5</v>
      </c>
      <c r="N4" s="480"/>
    </row>
    <row r="5" spans="1:17" ht="20.100000000000001" customHeight="1" x14ac:dyDescent="0.45">
      <c r="A5" s="23"/>
      <c r="B5" s="24"/>
      <c r="C5" s="25"/>
      <c r="D5" s="23"/>
      <c r="E5" s="23"/>
      <c r="F5" s="26" t="s">
        <v>11</v>
      </c>
      <c r="G5" s="26" t="s">
        <v>12</v>
      </c>
      <c r="H5" s="26" t="s">
        <v>13</v>
      </c>
      <c r="I5" s="23" t="s">
        <v>14</v>
      </c>
      <c r="J5" s="472"/>
      <c r="K5" s="166" t="s">
        <v>146</v>
      </c>
      <c r="L5" s="26" t="s">
        <v>13</v>
      </c>
      <c r="M5" s="24"/>
      <c r="N5" s="105"/>
    </row>
    <row r="6" spans="1:17" ht="20.100000000000001" customHeight="1" x14ac:dyDescent="0.45">
      <c r="A6" s="27">
        <v>1</v>
      </c>
      <c r="B6" s="28" t="s">
        <v>15</v>
      </c>
      <c r="D6" s="29"/>
      <c r="E6" s="30"/>
      <c r="F6" s="30"/>
      <c r="G6" s="30"/>
      <c r="H6" s="30"/>
      <c r="I6" s="30"/>
      <c r="J6" s="41"/>
      <c r="K6" s="41"/>
      <c r="L6" s="41"/>
      <c r="M6" s="41"/>
      <c r="N6" s="62"/>
    </row>
    <row r="7" spans="1:17" ht="20.100000000000001" customHeight="1" x14ac:dyDescent="0.45">
      <c r="A7" s="38"/>
      <c r="B7" s="32" t="s">
        <v>93</v>
      </c>
      <c r="D7" s="142">
        <v>1</v>
      </c>
      <c r="E7" s="33" t="s">
        <v>16</v>
      </c>
      <c r="F7" s="34">
        <f>IF(D7&lt;=0,0,)</f>
        <v>0</v>
      </c>
      <c r="G7" s="34">
        <f>IF(D7&lt;=0,0,)</f>
        <v>0</v>
      </c>
      <c r="H7" s="34" t="e">
        <f>ROUND(IF(D7&lt;=0,0,+#REF!),2)</f>
        <v>#REF!</v>
      </c>
      <c r="I7" s="35" t="e">
        <f t="shared" ref="I7:I18" si="0">D7*H7</f>
        <v>#REF!</v>
      </c>
      <c r="J7" s="167">
        <v>1</v>
      </c>
      <c r="K7" s="162" t="e">
        <f>ROUNDDOWN(H7*J7,2)</f>
        <v>#REF!</v>
      </c>
      <c r="L7" s="162" t="e">
        <f>D7*K7</f>
        <v>#REF!</v>
      </c>
      <c r="M7" s="41"/>
      <c r="N7" s="32"/>
    </row>
    <row r="8" spans="1:17" s="118" customFormat="1" ht="20.100000000000001" customHeight="1" x14ac:dyDescent="0.45">
      <c r="A8" s="116"/>
      <c r="B8" s="32" t="s">
        <v>112</v>
      </c>
      <c r="C8" s="17"/>
      <c r="D8" s="142">
        <v>1</v>
      </c>
      <c r="E8" s="33" t="s">
        <v>16</v>
      </c>
      <c r="F8" s="34">
        <f>IF(D8&lt;=0,0,)</f>
        <v>0</v>
      </c>
      <c r="G8" s="34">
        <f>IF(D8&lt;=0,0,)</f>
        <v>0</v>
      </c>
      <c r="H8" s="34" t="e">
        <f>ROUND(IF(D8&lt;=0,0,+#REF!),2)</f>
        <v>#REF!</v>
      </c>
      <c r="I8" s="35" t="e">
        <f>D8*H8</f>
        <v>#REF!</v>
      </c>
      <c r="J8" s="167">
        <v>1</v>
      </c>
      <c r="K8" s="162" t="e">
        <f t="shared" ref="K8:K35" si="1">ROUNDDOWN(H8*J8,2)</f>
        <v>#REF!</v>
      </c>
      <c r="L8" s="162" t="e">
        <f t="shared" ref="L8:L35" si="2">D8*K8</f>
        <v>#REF!</v>
      </c>
      <c r="M8" s="119"/>
      <c r="N8" s="117"/>
    </row>
    <row r="9" spans="1:17" ht="20.100000000000001" customHeight="1" x14ac:dyDescent="0.45">
      <c r="A9" s="38"/>
      <c r="B9" s="32" t="s">
        <v>113</v>
      </c>
      <c r="D9" s="142">
        <v>1</v>
      </c>
      <c r="E9" s="33" t="s">
        <v>16</v>
      </c>
      <c r="F9" s="34">
        <f>IF(D9&lt;=0,0,)</f>
        <v>0</v>
      </c>
      <c r="G9" s="34">
        <f>IF(D9&lt;=0,0,)</f>
        <v>0</v>
      </c>
      <c r="H9" s="34" t="e">
        <f>ROUND(IF(D9&lt;=0,0,+#REF!),2)</f>
        <v>#REF!</v>
      </c>
      <c r="I9" s="35" t="e">
        <f t="shared" si="0"/>
        <v>#REF!</v>
      </c>
      <c r="J9" s="167">
        <v>1</v>
      </c>
      <c r="K9" s="162" t="e">
        <f t="shared" si="1"/>
        <v>#REF!</v>
      </c>
      <c r="L9" s="162" t="e">
        <f t="shared" si="2"/>
        <v>#REF!</v>
      </c>
      <c r="M9" s="41"/>
      <c r="N9" s="32"/>
    </row>
    <row r="10" spans="1:17" ht="20.100000000000001" customHeight="1" x14ac:dyDescent="0.45">
      <c r="A10" s="31"/>
      <c r="B10" s="32" t="s">
        <v>114</v>
      </c>
      <c r="D10" s="142">
        <v>1</v>
      </c>
      <c r="E10" s="33" t="s">
        <v>17</v>
      </c>
      <c r="F10" s="34">
        <f>IF(D10&lt;=0,0,)</f>
        <v>0</v>
      </c>
      <c r="G10" s="34">
        <f>IF(D10&lt;=0,0,)</f>
        <v>0</v>
      </c>
      <c r="H10" s="34" t="e">
        <f>ROUND(IF(D10&lt;=0,0,+#REF!+#REF!),2)</f>
        <v>#REF!</v>
      </c>
      <c r="I10" s="35" t="e">
        <f t="shared" si="0"/>
        <v>#REF!</v>
      </c>
      <c r="J10" s="167">
        <v>1</v>
      </c>
      <c r="K10" s="162" t="e">
        <f t="shared" si="1"/>
        <v>#REF!</v>
      </c>
      <c r="L10" s="162" t="e">
        <f t="shared" si="2"/>
        <v>#REF!</v>
      </c>
      <c r="M10" s="41"/>
      <c r="N10" s="32"/>
      <c r="O10" s="96"/>
    </row>
    <row r="11" spans="1:17" s="118" customFormat="1" ht="20.100000000000001" customHeight="1" x14ac:dyDescent="0.45">
      <c r="A11" s="120"/>
      <c r="B11" s="483" t="s">
        <v>157</v>
      </c>
      <c r="C11" s="484"/>
      <c r="D11" s="142">
        <v>1</v>
      </c>
      <c r="E11" s="33" t="s">
        <v>17</v>
      </c>
      <c r="F11" s="34">
        <f>IF(D11&lt;=0,0,)</f>
        <v>0</v>
      </c>
      <c r="G11" s="34" t="e">
        <f>IF(D11&lt;=0,0,#REF!)</f>
        <v>#REF!</v>
      </c>
      <c r="H11" s="35" t="e">
        <f>ROUND(F11+G11,2)</f>
        <v>#REF!</v>
      </c>
      <c r="I11" s="35" t="e">
        <f>D11*H11</f>
        <v>#REF!</v>
      </c>
      <c r="J11" s="167">
        <v>1</v>
      </c>
      <c r="K11" s="162" t="e">
        <f t="shared" si="1"/>
        <v>#REF!</v>
      </c>
      <c r="L11" s="162" t="e">
        <f t="shared" si="2"/>
        <v>#REF!</v>
      </c>
      <c r="M11" s="119"/>
      <c r="N11" s="117"/>
      <c r="O11" s="121"/>
    </row>
    <row r="12" spans="1:17" s="118" customFormat="1" ht="20.100000000000001" customHeight="1" x14ac:dyDescent="0.45">
      <c r="A12" s="120"/>
      <c r="B12" s="41" t="s">
        <v>115</v>
      </c>
      <c r="C12" s="32"/>
      <c r="D12" s="142">
        <v>1</v>
      </c>
      <c r="E12" s="33" t="s">
        <v>17</v>
      </c>
      <c r="F12" s="34" t="e">
        <f>IF(D12&lt;=0,0,+#REF!)</f>
        <v>#REF!</v>
      </c>
      <c r="G12" s="34" t="e">
        <f>IF(D12&lt;=0,0,+#REF!)</f>
        <v>#REF!</v>
      </c>
      <c r="H12" s="35" t="e">
        <f>ROUND(F12+G12,2)</f>
        <v>#REF!</v>
      </c>
      <c r="I12" s="35" t="e">
        <f>D12*H12</f>
        <v>#REF!</v>
      </c>
      <c r="J12" s="167">
        <v>1</v>
      </c>
      <c r="K12" s="162" t="e">
        <f t="shared" si="1"/>
        <v>#REF!</v>
      </c>
      <c r="L12" s="162" t="e">
        <f t="shared" si="2"/>
        <v>#REF!</v>
      </c>
      <c r="M12" s="119"/>
      <c r="N12" s="117"/>
    </row>
    <row r="13" spans="1:17" ht="20.100000000000001" customHeight="1" x14ac:dyDescent="0.45">
      <c r="A13" s="31"/>
      <c r="B13" s="41" t="s">
        <v>116</v>
      </c>
      <c r="C13" s="32"/>
      <c r="D13" s="142">
        <v>1</v>
      </c>
      <c r="E13" s="33" t="s">
        <v>17</v>
      </c>
      <c r="F13" s="34" t="e">
        <f>IF(D13&lt;=0,0,+#REF!)</f>
        <v>#REF!</v>
      </c>
      <c r="G13" s="34" t="e">
        <f>IF(D13&lt;=0,0,+#REF!)</f>
        <v>#REF!</v>
      </c>
      <c r="H13" s="35" t="e">
        <f>ROUND(F13+G13,2)</f>
        <v>#REF!</v>
      </c>
      <c r="I13" s="35" t="e">
        <f t="shared" si="0"/>
        <v>#REF!</v>
      </c>
      <c r="J13" s="167">
        <v>1</v>
      </c>
      <c r="K13" s="162" t="e">
        <f t="shared" si="1"/>
        <v>#REF!</v>
      </c>
      <c r="L13" s="162" t="e">
        <f t="shared" si="2"/>
        <v>#REF!</v>
      </c>
      <c r="M13" s="41"/>
      <c r="N13" s="32"/>
      <c r="Q13" s="17">
        <f>16000*0.05</f>
        <v>800</v>
      </c>
    </row>
    <row r="14" spans="1:17" ht="20.100000000000001" customHeight="1" x14ac:dyDescent="0.45">
      <c r="A14" s="31"/>
      <c r="B14" s="32" t="s">
        <v>117</v>
      </c>
      <c r="D14" s="142">
        <v>1</v>
      </c>
      <c r="E14" s="33" t="s">
        <v>17</v>
      </c>
      <c r="F14" s="34" t="e">
        <f>IF(D14&lt;=0,0,+#REF!)</f>
        <v>#REF!</v>
      </c>
      <c r="G14" s="34" t="e">
        <f>IF(D14&lt;=0,0,+#REF!)</f>
        <v>#REF!</v>
      </c>
      <c r="H14" s="35" t="e">
        <f>ROUND(F14+G14,2)</f>
        <v>#REF!</v>
      </c>
      <c r="I14" s="35" t="e">
        <f t="shared" si="0"/>
        <v>#REF!</v>
      </c>
      <c r="J14" s="167">
        <v>1</v>
      </c>
      <c r="K14" s="162" t="e">
        <f t="shared" si="1"/>
        <v>#REF!</v>
      </c>
      <c r="L14" s="162" t="e">
        <f t="shared" si="2"/>
        <v>#REF!</v>
      </c>
      <c r="M14" s="41"/>
      <c r="N14" s="32"/>
    </row>
    <row r="15" spans="1:17" ht="20.100000000000001" customHeight="1" x14ac:dyDescent="0.45">
      <c r="A15" s="31"/>
      <c r="B15" s="32" t="s">
        <v>118</v>
      </c>
      <c r="D15" s="142">
        <v>1</v>
      </c>
      <c r="E15" s="33" t="s">
        <v>17</v>
      </c>
      <c r="F15" s="34" t="e">
        <f>IF(D15&lt;=0,0,+#REF!)</f>
        <v>#REF!</v>
      </c>
      <c r="G15" s="34" t="e">
        <f>IF(D15&lt;=0,0,+#REF!+#REF!)</f>
        <v>#REF!</v>
      </c>
      <c r="H15" s="35" t="e">
        <f>ROUND(F15+G15,2)</f>
        <v>#REF!</v>
      </c>
      <c r="I15" s="35" t="e">
        <f t="shared" si="0"/>
        <v>#REF!</v>
      </c>
      <c r="J15" s="167">
        <v>1</v>
      </c>
      <c r="K15" s="162" t="e">
        <f t="shared" si="1"/>
        <v>#REF!</v>
      </c>
      <c r="L15" s="162" t="e">
        <f t="shared" si="2"/>
        <v>#REF!</v>
      </c>
      <c r="M15" s="41"/>
      <c r="N15" s="32"/>
    </row>
    <row r="16" spans="1:17" s="124" customFormat="1" ht="20.100000000000001" customHeight="1" x14ac:dyDescent="0.45">
      <c r="A16" s="122"/>
      <c r="B16" s="32" t="s">
        <v>126</v>
      </c>
      <c r="C16" s="17"/>
      <c r="D16" s="152" t="e">
        <f>+'ปร.4 (2)'!#REF!</f>
        <v>#REF!</v>
      </c>
      <c r="E16" s="33" t="s">
        <v>17</v>
      </c>
      <c r="F16" s="34" t="e">
        <f>IF(D16&lt;=0,0,)</f>
        <v>#REF!</v>
      </c>
      <c r="G16" s="34" t="e">
        <f>IF(D16&lt;=0,0,)</f>
        <v>#REF!</v>
      </c>
      <c r="H16" s="34" t="e">
        <f>ROUND(IF(D16&lt;=0,0,+#REF!),2)</f>
        <v>#REF!</v>
      </c>
      <c r="I16" s="35" t="e">
        <f>D16*H16</f>
        <v>#REF!</v>
      </c>
      <c r="J16" s="167">
        <v>1</v>
      </c>
      <c r="K16" s="162" t="e">
        <f t="shared" si="1"/>
        <v>#REF!</v>
      </c>
      <c r="L16" s="162" t="e">
        <f t="shared" si="2"/>
        <v>#REF!</v>
      </c>
      <c r="M16" s="125"/>
      <c r="N16" s="123"/>
    </row>
    <row r="17" spans="1:16" ht="20.100000000000001" customHeight="1" x14ac:dyDescent="0.45">
      <c r="A17" s="31"/>
      <c r="B17" s="32" t="s">
        <v>118</v>
      </c>
      <c r="D17" s="142">
        <v>0</v>
      </c>
      <c r="E17" s="33" t="s">
        <v>16</v>
      </c>
      <c r="F17" s="34">
        <f>IF(D17&lt;=0,0,)</f>
        <v>0</v>
      </c>
      <c r="G17" s="34">
        <f>IF(D17&lt;=0,0,)</f>
        <v>0</v>
      </c>
      <c r="H17" s="34">
        <f>ROUND(IF(D17&lt;=0,0,+#REF!),2)</f>
        <v>0</v>
      </c>
      <c r="I17" s="35">
        <f t="shared" si="0"/>
        <v>0</v>
      </c>
      <c r="J17" s="167">
        <v>1</v>
      </c>
      <c r="K17" s="162">
        <f t="shared" si="1"/>
        <v>0</v>
      </c>
      <c r="L17" s="162">
        <f t="shared" si="2"/>
        <v>0</v>
      </c>
      <c r="M17" s="41"/>
      <c r="N17" s="32"/>
    </row>
    <row r="18" spans="1:16" ht="20.100000000000001" customHeight="1" x14ac:dyDescent="0.45">
      <c r="A18" s="31"/>
      <c r="B18" s="32" t="s">
        <v>119</v>
      </c>
      <c r="D18" s="142">
        <v>1</v>
      </c>
      <c r="E18" s="33" t="s">
        <v>16</v>
      </c>
      <c r="F18" s="34">
        <f>IF(D18&lt;=0,0,)</f>
        <v>0</v>
      </c>
      <c r="G18" s="34">
        <f>IF(D18&lt;=0,0,)</f>
        <v>0</v>
      </c>
      <c r="H18" s="34" t="e">
        <f>ROUND(IF(D18&lt;=0,0,+#REF!),2)</f>
        <v>#REF!</v>
      </c>
      <c r="I18" s="35" t="e">
        <f t="shared" si="0"/>
        <v>#REF!</v>
      </c>
      <c r="J18" s="167">
        <v>1</v>
      </c>
      <c r="K18" s="162" t="e">
        <f t="shared" si="1"/>
        <v>#REF!</v>
      </c>
      <c r="L18" s="162" t="e">
        <f t="shared" si="2"/>
        <v>#REF!</v>
      </c>
      <c r="M18" s="41"/>
      <c r="N18" s="32"/>
      <c r="P18" s="87"/>
    </row>
    <row r="19" spans="1:16" ht="20.100000000000001" customHeight="1" x14ac:dyDescent="0.45">
      <c r="A19" s="31"/>
      <c r="B19" s="32" t="s">
        <v>120</v>
      </c>
      <c r="D19" s="142" t="e">
        <f>+'ปร.4 (2)'!#REF!</f>
        <v>#REF!</v>
      </c>
      <c r="E19" s="33" t="s">
        <v>16</v>
      </c>
      <c r="F19" s="34" t="e">
        <f>IF(D19&lt;=0,0,)</f>
        <v>#REF!</v>
      </c>
      <c r="G19" s="34" t="e">
        <f>IF(D19&lt;=0,0,)</f>
        <v>#REF!</v>
      </c>
      <c r="H19" s="34" t="e">
        <f>ROUND(IF(D19&lt;=0,0,+#REF!),2)</f>
        <v>#REF!</v>
      </c>
      <c r="I19" s="35" t="e">
        <f>D19*H19</f>
        <v>#REF!</v>
      </c>
      <c r="J19" s="167">
        <v>1</v>
      </c>
      <c r="K19" s="162" t="e">
        <f t="shared" si="1"/>
        <v>#REF!</v>
      </c>
      <c r="L19" s="162" t="e">
        <f t="shared" si="2"/>
        <v>#REF!</v>
      </c>
      <c r="M19" s="41"/>
      <c r="N19" s="32"/>
    </row>
    <row r="20" spans="1:16" ht="20.100000000000001" customHeight="1" x14ac:dyDescent="0.45">
      <c r="A20" s="38">
        <v>2</v>
      </c>
      <c r="B20" s="488" t="s">
        <v>18</v>
      </c>
      <c r="C20" s="489"/>
      <c r="D20" s="40"/>
      <c r="E20" s="31"/>
      <c r="F20" s="35">
        <f>IF(D20&lt;=0,0,)</f>
        <v>0</v>
      </c>
      <c r="G20" s="35">
        <f>IF(D20&lt;=0,0,)</f>
        <v>0</v>
      </c>
      <c r="H20" s="35"/>
      <c r="I20" s="35"/>
      <c r="J20" s="167">
        <v>1</v>
      </c>
      <c r="K20" s="162"/>
      <c r="L20" s="162"/>
      <c r="M20" s="41"/>
      <c r="N20" s="32"/>
    </row>
    <row r="21" spans="1:16" ht="20.100000000000001" customHeight="1" x14ac:dyDescent="0.45">
      <c r="A21" s="31"/>
      <c r="B21" s="32" t="s">
        <v>19</v>
      </c>
      <c r="D21" s="142">
        <v>1</v>
      </c>
      <c r="E21" s="33" t="s">
        <v>16</v>
      </c>
      <c r="F21" s="34" t="e">
        <f>IF(D21&lt;=0,0,+#REF!)</f>
        <v>#REF!</v>
      </c>
      <c r="G21" s="34" t="e">
        <f>IF(D21&lt;=0,0,+#REF!)</f>
        <v>#REF!</v>
      </c>
      <c r="H21" s="35" t="e">
        <f>ROUND(F21+G21,2)</f>
        <v>#REF!</v>
      </c>
      <c r="I21" s="35" t="e">
        <f>D21*H21</f>
        <v>#REF!</v>
      </c>
      <c r="J21" s="167">
        <v>1</v>
      </c>
      <c r="K21" s="162" t="e">
        <f t="shared" si="1"/>
        <v>#REF!</v>
      </c>
      <c r="L21" s="162" t="e">
        <f t="shared" si="2"/>
        <v>#REF!</v>
      </c>
      <c r="M21" s="41"/>
      <c r="N21" s="32"/>
    </row>
    <row r="22" spans="1:16" ht="20.100000000000001" customHeight="1" x14ac:dyDescent="0.45">
      <c r="A22" s="31"/>
      <c r="B22" s="17" t="s">
        <v>20</v>
      </c>
      <c r="C22" s="32"/>
      <c r="D22" s="142">
        <v>1</v>
      </c>
      <c r="E22" s="33" t="s">
        <v>16</v>
      </c>
      <c r="F22" s="34" t="e">
        <f>IF(D22&lt;=0,0,+#REF!)</f>
        <v>#REF!</v>
      </c>
      <c r="G22" s="34" t="e">
        <f>IF(D22&lt;=0,0,+#REF!)</f>
        <v>#REF!</v>
      </c>
      <c r="H22" s="35" t="e">
        <f>ROUND(F22+G22,2)</f>
        <v>#REF!</v>
      </c>
      <c r="I22" s="35" t="e">
        <f>D22*H22</f>
        <v>#REF!</v>
      </c>
      <c r="J22" s="167">
        <v>1</v>
      </c>
      <c r="K22" s="162" t="e">
        <f t="shared" si="1"/>
        <v>#REF!</v>
      </c>
      <c r="L22" s="162" t="e">
        <f t="shared" si="2"/>
        <v>#REF!</v>
      </c>
      <c r="M22" s="41"/>
      <c r="N22" s="32"/>
    </row>
    <row r="23" spans="1:16" ht="20.100000000000001" customHeight="1" x14ac:dyDescent="0.45">
      <c r="A23" s="31"/>
      <c r="B23" s="32" t="s">
        <v>94</v>
      </c>
      <c r="D23" s="40"/>
      <c r="E23" s="31"/>
      <c r="F23" s="35"/>
      <c r="G23" s="35"/>
      <c r="H23" s="35"/>
      <c r="I23" s="35"/>
      <c r="J23" s="167">
        <v>1</v>
      </c>
      <c r="K23" s="162"/>
      <c r="L23" s="162"/>
      <c r="M23" s="41"/>
      <c r="N23" s="32"/>
    </row>
    <row r="24" spans="1:16" ht="20.100000000000001" customHeight="1" x14ac:dyDescent="0.45">
      <c r="A24" s="31"/>
      <c r="B24" s="32" t="s">
        <v>21</v>
      </c>
      <c r="D24" s="142">
        <f>D21</f>
        <v>1</v>
      </c>
      <c r="E24" s="33" t="s">
        <v>16</v>
      </c>
      <c r="F24" s="34" t="e">
        <f>IF(D24&lt;=0,0,+#REF!)</f>
        <v>#REF!</v>
      </c>
      <c r="G24" s="34" t="e">
        <f>IF(D24&lt;=0,0,+IF(#REF!=5,#REF!,IF(#REF!=4,#REF!*0.9,IF(#REF!=3.5,#REF!*0.85,IF(#REF!=3,#REF!*0.8)))))</f>
        <v>#REF!</v>
      </c>
      <c r="H24" s="35" t="e">
        <f>ROUND(F24+G24,2)</f>
        <v>#REF!</v>
      </c>
      <c r="I24" s="35" t="e">
        <f>D24*H24</f>
        <v>#REF!</v>
      </c>
      <c r="J24" s="167">
        <v>1</v>
      </c>
      <c r="K24" s="162" t="e">
        <f t="shared" si="1"/>
        <v>#REF!</v>
      </c>
      <c r="L24" s="162" t="e">
        <f t="shared" si="2"/>
        <v>#REF!</v>
      </c>
      <c r="M24" s="49" t="e">
        <f>#REF!</f>
        <v>#REF!</v>
      </c>
      <c r="N24" s="32" t="s">
        <v>98</v>
      </c>
    </row>
    <row r="25" spans="1:16" ht="20.100000000000001" customHeight="1" x14ac:dyDescent="0.45">
      <c r="A25" s="31"/>
      <c r="B25" s="41" t="s">
        <v>22</v>
      </c>
      <c r="D25" s="142">
        <f>D22</f>
        <v>1</v>
      </c>
      <c r="E25" s="33" t="s">
        <v>16</v>
      </c>
      <c r="F25" s="34" t="e">
        <f>IF(D25&lt;=0,0,+#REF!)</f>
        <v>#REF!</v>
      </c>
      <c r="G25" s="34" t="e">
        <f>IF(D25&lt;=0,0,+IF(#REF!=5,#REF!,IF(#REF!=4,#REF!*0.9,IF(#REF!=3.5,#REF!*0.85,IF(#REF!=3,#REF!*0.8)))))</f>
        <v>#REF!</v>
      </c>
      <c r="H25" s="35" t="e">
        <f>ROUND(F25+G25,2)</f>
        <v>#REF!</v>
      </c>
      <c r="I25" s="35" t="e">
        <f>D25*H25</f>
        <v>#REF!</v>
      </c>
      <c r="J25" s="167">
        <v>1</v>
      </c>
      <c r="K25" s="162" t="e">
        <f t="shared" si="1"/>
        <v>#REF!</v>
      </c>
      <c r="L25" s="162" t="e">
        <f t="shared" si="2"/>
        <v>#REF!</v>
      </c>
      <c r="M25" s="49" t="e">
        <f>#REF!</f>
        <v>#REF!</v>
      </c>
      <c r="N25" s="32" t="s">
        <v>98</v>
      </c>
    </row>
    <row r="26" spans="1:16" ht="20.100000000000001" customHeight="1" x14ac:dyDescent="0.45">
      <c r="A26" s="38">
        <v>3</v>
      </c>
      <c r="B26" s="42" t="s">
        <v>32</v>
      </c>
      <c r="D26" s="40"/>
      <c r="E26" s="33"/>
      <c r="F26" s="35"/>
      <c r="G26" s="35"/>
      <c r="H26" s="35"/>
      <c r="I26" s="35"/>
      <c r="J26" s="167">
        <v>1</v>
      </c>
      <c r="K26" s="162"/>
      <c r="L26" s="162"/>
      <c r="M26" s="41"/>
      <c r="N26" s="32"/>
    </row>
    <row r="27" spans="1:16" ht="20.100000000000001" customHeight="1" x14ac:dyDescent="0.45">
      <c r="A27" s="31"/>
      <c r="B27" s="43" t="s">
        <v>34</v>
      </c>
      <c r="D27" s="142">
        <v>1</v>
      </c>
      <c r="E27" s="33" t="s">
        <v>16</v>
      </c>
      <c r="F27" s="34" t="e">
        <f>IF(D27&lt;=0,0,+#REF!)</f>
        <v>#REF!</v>
      </c>
      <c r="G27" s="34" t="e">
        <f>IF(D27&lt;=0,0,+#REF!)</f>
        <v>#REF!</v>
      </c>
      <c r="H27" s="35" t="e">
        <f>ROUND(F27+G27,2)</f>
        <v>#REF!</v>
      </c>
      <c r="I27" s="35" t="e">
        <f>D27*H27</f>
        <v>#REF!</v>
      </c>
      <c r="J27" s="167">
        <v>1</v>
      </c>
      <c r="K27" s="162" t="e">
        <f t="shared" si="1"/>
        <v>#REF!</v>
      </c>
      <c r="L27" s="162" t="e">
        <f t="shared" si="2"/>
        <v>#REF!</v>
      </c>
      <c r="M27" s="41"/>
      <c r="N27" s="32"/>
    </row>
    <row r="28" spans="1:16" ht="20.100000000000001" customHeight="1" x14ac:dyDescent="0.45">
      <c r="A28" s="31"/>
      <c r="B28" s="43" t="s">
        <v>33</v>
      </c>
      <c r="D28" s="142">
        <v>1</v>
      </c>
      <c r="E28" s="33" t="s">
        <v>16</v>
      </c>
      <c r="F28" s="34" t="e">
        <f>IF(D28&lt;=0,0,+#REF!)</f>
        <v>#REF!</v>
      </c>
      <c r="G28" s="34" t="e">
        <f>IF(D28&lt;=0,0,+#REF!)</f>
        <v>#REF!</v>
      </c>
      <c r="H28" s="35" t="e">
        <f>ROUND(F28+G28,2)</f>
        <v>#REF!</v>
      </c>
      <c r="I28" s="35" t="e">
        <f>D28*H28</f>
        <v>#REF!</v>
      </c>
      <c r="J28" s="167">
        <v>1</v>
      </c>
      <c r="K28" s="162" t="e">
        <f t="shared" si="1"/>
        <v>#REF!</v>
      </c>
      <c r="L28" s="162" t="e">
        <f t="shared" si="2"/>
        <v>#REF!</v>
      </c>
      <c r="M28" s="41"/>
      <c r="N28" s="32"/>
    </row>
    <row r="29" spans="1:16" ht="20.100000000000001" customHeight="1" x14ac:dyDescent="0.45">
      <c r="A29" s="31"/>
      <c r="B29" s="32" t="s">
        <v>95</v>
      </c>
      <c r="D29" s="40"/>
      <c r="E29" s="33"/>
      <c r="F29" s="34"/>
      <c r="G29" s="34"/>
      <c r="H29" s="35"/>
      <c r="I29" s="35"/>
      <c r="J29" s="167">
        <v>1</v>
      </c>
      <c r="K29" s="162"/>
      <c r="L29" s="162"/>
      <c r="M29" s="41"/>
      <c r="N29" s="32"/>
    </row>
    <row r="30" spans="1:16" ht="20.100000000000001" customHeight="1" x14ac:dyDescent="0.45">
      <c r="A30" s="31"/>
      <c r="B30" s="43" t="s">
        <v>96</v>
      </c>
      <c r="D30" s="142">
        <f>D27</f>
        <v>1</v>
      </c>
      <c r="E30" s="33" t="s">
        <v>16</v>
      </c>
      <c r="F30" s="34" t="e">
        <f>IF(D30&lt;=0,0,+#REF!)</f>
        <v>#REF!</v>
      </c>
      <c r="G30" s="34" t="e">
        <f>IF(D30&lt;=0,0,+IF(#REF!=5,#REF!,IF(#REF!=4,#REF!*0.9,IF(#REF!=3.5,#REF!*0.85,IF(#REF!=3,#REF!*0.8)))))</f>
        <v>#REF!</v>
      </c>
      <c r="H30" s="35" t="e">
        <f>ROUND(F30+G30,2)</f>
        <v>#REF!</v>
      </c>
      <c r="I30" s="35" t="e">
        <f>D30*H30</f>
        <v>#REF!</v>
      </c>
      <c r="J30" s="167">
        <v>1</v>
      </c>
      <c r="K30" s="162" t="e">
        <f t="shared" si="1"/>
        <v>#REF!</v>
      </c>
      <c r="L30" s="162" t="e">
        <f t="shared" si="2"/>
        <v>#REF!</v>
      </c>
      <c r="M30" s="49" t="e">
        <f>#REF!</f>
        <v>#REF!</v>
      </c>
      <c r="N30" s="32" t="s">
        <v>98</v>
      </c>
    </row>
    <row r="31" spans="1:16" ht="20.100000000000001" customHeight="1" x14ac:dyDescent="0.45">
      <c r="A31" s="31"/>
      <c r="B31" s="43" t="s">
        <v>97</v>
      </c>
      <c r="D31" s="142">
        <f>D28</f>
        <v>1</v>
      </c>
      <c r="E31" s="33" t="s">
        <v>16</v>
      </c>
      <c r="F31" s="34" t="e">
        <f>IF(D31&lt;=0,0,+#REF!)</f>
        <v>#REF!</v>
      </c>
      <c r="G31" s="34" t="e">
        <f>IF(D31&lt;=0,0,+IF(#REF!=5,#REF!,IF(#REF!=4,#REF!*0.9,IF(#REF!=3.5,#REF!*0.85,IF(#REF!=3,#REF!*0.8)))))</f>
        <v>#REF!</v>
      </c>
      <c r="H31" s="35" t="e">
        <f>ROUND(F31+G31,2)</f>
        <v>#REF!</v>
      </c>
      <c r="I31" s="35" t="e">
        <f>D31*H31</f>
        <v>#REF!</v>
      </c>
      <c r="J31" s="167">
        <v>1</v>
      </c>
      <c r="K31" s="162" t="e">
        <f t="shared" si="1"/>
        <v>#REF!</v>
      </c>
      <c r="L31" s="162" t="e">
        <f t="shared" si="2"/>
        <v>#REF!</v>
      </c>
      <c r="M31" s="49" t="e">
        <f>#REF!</f>
        <v>#REF!</v>
      </c>
      <c r="N31" s="32" t="s">
        <v>98</v>
      </c>
    </row>
    <row r="32" spans="1:16" ht="20.100000000000001" customHeight="1" x14ac:dyDescent="0.45">
      <c r="A32" s="33">
        <v>4</v>
      </c>
      <c r="B32" s="39" t="s">
        <v>23</v>
      </c>
      <c r="D32" s="40"/>
      <c r="E32" s="31"/>
      <c r="F32" s="35"/>
      <c r="G32" s="35"/>
      <c r="H32" s="35"/>
      <c r="I32" s="35"/>
      <c r="J32" s="167">
        <v>1</v>
      </c>
      <c r="K32" s="162"/>
      <c r="L32" s="162"/>
      <c r="M32" s="41"/>
      <c r="N32" s="32"/>
    </row>
    <row r="33" spans="1:14" ht="20.100000000000001" customHeight="1" x14ac:dyDescent="0.45">
      <c r="A33" s="31"/>
      <c r="B33" s="41" t="s">
        <v>35</v>
      </c>
      <c r="D33" s="142">
        <v>1</v>
      </c>
      <c r="E33" s="33" t="s">
        <v>16</v>
      </c>
      <c r="F33" s="34">
        <f>IF(D33&lt;=0,0,)</f>
        <v>0</v>
      </c>
      <c r="G33" s="34">
        <f>IF(D33&lt;=0,0,)</f>
        <v>0</v>
      </c>
      <c r="H33" s="44">
        <f>ROUND(IF(D33&lt;=0,0,270),2)</f>
        <v>270</v>
      </c>
      <c r="I33" s="35">
        <f>D33*H33</f>
        <v>270</v>
      </c>
      <c r="J33" s="167">
        <v>1</v>
      </c>
      <c r="K33" s="162">
        <f t="shared" si="1"/>
        <v>270</v>
      </c>
      <c r="L33" s="162">
        <f t="shared" si="2"/>
        <v>270</v>
      </c>
      <c r="M33" s="486" t="s">
        <v>148</v>
      </c>
      <c r="N33" s="487"/>
    </row>
    <row r="34" spans="1:14" ht="20.100000000000001" customHeight="1" x14ac:dyDescent="0.45">
      <c r="A34" s="31"/>
      <c r="B34" s="36" t="s">
        <v>121</v>
      </c>
      <c r="D34" s="144">
        <v>1</v>
      </c>
      <c r="E34" s="33" t="s">
        <v>16</v>
      </c>
      <c r="F34" s="34">
        <f>IF(D34&lt;=0,0,)</f>
        <v>0</v>
      </c>
      <c r="G34" s="34">
        <f>IF(D34&lt;=0,0,)</f>
        <v>0</v>
      </c>
      <c r="H34" s="44">
        <f>ROUND(IF(D34&lt;=0,0,400),2)</f>
        <v>400</v>
      </c>
      <c r="I34" s="35">
        <f>D34*H34</f>
        <v>400</v>
      </c>
      <c r="J34" s="167" t="e">
        <f>IF(D34&gt;0,#REF!,0)</f>
        <v>#REF!</v>
      </c>
      <c r="K34" s="162" t="e">
        <f t="shared" si="1"/>
        <v>#REF!</v>
      </c>
      <c r="L34" s="162" t="e">
        <f t="shared" si="2"/>
        <v>#REF!</v>
      </c>
      <c r="M34" s="41"/>
      <c r="N34" s="32"/>
    </row>
    <row r="35" spans="1:14" ht="20.100000000000001" customHeight="1" x14ac:dyDescent="0.45">
      <c r="A35" s="31"/>
      <c r="B35" s="36" t="s">
        <v>122</v>
      </c>
      <c r="D35" s="142">
        <v>1</v>
      </c>
      <c r="E35" s="37" t="s">
        <v>45</v>
      </c>
      <c r="F35" s="34">
        <f>IF(D35&lt;=0,0,)</f>
        <v>0</v>
      </c>
      <c r="G35" s="34">
        <f>IF(D35&lt;=0,0,)</f>
        <v>0</v>
      </c>
      <c r="H35" s="44">
        <f>ROUND(IF(D35&lt;=0,0,2510),2)</f>
        <v>2510</v>
      </c>
      <c r="I35" s="35">
        <f>D35*H35</f>
        <v>2510</v>
      </c>
      <c r="J35" s="167" t="e">
        <f>IF(D35&gt;0,#REF!,0)</f>
        <v>#REF!</v>
      </c>
      <c r="K35" s="162" t="e">
        <f t="shared" si="1"/>
        <v>#REF!</v>
      </c>
      <c r="L35" s="162" t="e">
        <f t="shared" si="2"/>
        <v>#REF!</v>
      </c>
      <c r="M35" s="41"/>
      <c r="N35" s="32"/>
    </row>
    <row r="36" spans="1:14" ht="20.100000000000001" customHeight="1" x14ac:dyDescent="0.45">
      <c r="A36" s="31"/>
      <c r="B36" s="43"/>
      <c r="D36" s="40"/>
      <c r="E36" s="33"/>
      <c r="F36" s="34"/>
      <c r="G36" s="34"/>
      <c r="H36" s="35"/>
      <c r="I36" s="35"/>
      <c r="J36" s="162"/>
      <c r="K36" s="162"/>
      <c r="L36" s="162"/>
      <c r="M36" s="49"/>
      <c r="N36" s="32"/>
    </row>
    <row r="37" spans="1:14" ht="20.100000000000001" customHeight="1" x14ac:dyDescent="0.45">
      <c r="A37" s="31"/>
      <c r="B37" s="43"/>
      <c r="D37" s="40"/>
      <c r="E37" s="33"/>
      <c r="F37" s="34"/>
      <c r="G37" s="34"/>
      <c r="H37" s="35"/>
      <c r="I37" s="35"/>
      <c r="J37" s="162"/>
      <c r="K37" s="162"/>
      <c r="L37" s="162"/>
      <c r="M37" s="49"/>
      <c r="N37" s="32"/>
    </row>
    <row r="38" spans="1:14" ht="20.100000000000001" customHeight="1" x14ac:dyDescent="0.45">
      <c r="A38" s="31"/>
      <c r="B38" s="43"/>
      <c r="D38" s="40"/>
      <c r="E38" s="33"/>
      <c r="F38" s="34"/>
      <c r="G38" s="34"/>
      <c r="H38" s="35"/>
      <c r="I38" s="35"/>
      <c r="J38" s="162"/>
      <c r="K38" s="162"/>
      <c r="L38" s="162"/>
      <c r="M38" s="49"/>
      <c r="N38" s="32"/>
    </row>
    <row r="39" spans="1:14" ht="20.100000000000001" customHeight="1" x14ac:dyDescent="0.45">
      <c r="A39" s="31"/>
      <c r="B39" s="43"/>
      <c r="D39" s="40"/>
      <c r="E39" s="33"/>
      <c r="F39" s="34"/>
      <c r="G39" s="34"/>
      <c r="H39" s="35"/>
      <c r="I39" s="35"/>
      <c r="J39" s="162"/>
      <c r="K39" s="162"/>
      <c r="L39" s="162"/>
      <c r="M39" s="49"/>
      <c r="N39" s="32"/>
    </row>
    <row r="40" spans="1:14" ht="20.100000000000001" customHeight="1" x14ac:dyDescent="0.45">
      <c r="A40" s="31"/>
      <c r="B40" s="43"/>
      <c r="D40" s="40"/>
      <c r="E40" s="33"/>
      <c r="F40" s="34"/>
      <c r="G40" s="34"/>
      <c r="H40" s="35"/>
      <c r="I40" s="35"/>
      <c r="J40" s="162"/>
      <c r="K40" s="162"/>
      <c r="L40" s="162"/>
      <c r="M40" s="49"/>
      <c r="N40" s="32"/>
    </row>
    <row r="41" spans="1:14" ht="20.100000000000001" customHeight="1" x14ac:dyDescent="0.45">
      <c r="A41" s="31"/>
      <c r="B41" s="43"/>
      <c r="D41" s="40"/>
      <c r="E41" s="33"/>
      <c r="F41" s="34"/>
      <c r="G41" s="34"/>
      <c r="H41" s="35"/>
      <c r="I41" s="35"/>
      <c r="J41" s="162"/>
      <c r="K41" s="162"/>
      <c r="L41" s="162"/>
      <c r="M41" s="49"/>
      <c r="N41" s="32"/>
    </row>
    <row r="42" spans="1:14" ht="20.100000000000001" customHeight="1" x14ac:dyDescent="0.45">
      <c r="A42" s="31"/>
      <c r="B42" s="43"/>
      <c r="D42" s="40"/>
      <c r="E42" s="33"/>
      <c r="F42" s="34"/>
      <c r="G42" s="34"/>
      <c r="H42" s="35"/>
      <c r="I42" s="35"/>
      <c r="J42" s="162"/>
      <c r="K42" s="162"/>
      <c r="L42" s="162"/>
      <c r="M42" s="49"/>
      <c r="N42" s="32"/>
    </row>
    <row r="43" spans="1:14" ht="20.100000000000001" customHeight="1" x14ac:dyDescent="0.45">
      <c r="A43" s="31"/>
      <c r="B43" s="43"/>
      <c r="D43" s="40"/>
      <c r="E43" s="33"/>
      <c r="F43" s="34"/>
      <c r="G43" s="34"/>
      <c r="H43" s="35"/>
      <c r="I43" s="35"/>
      <c r="J43" s="162"/>
      <c r="K43" s="162"/>
      <c r="L43" s="162"/>
      <c r="M43" s="49"/>
      <c r="N43" s="32"/>
    </row>
    <row r="44" spans="1:14" ht="20.100000000000001" customHeight="1" x14ac:dyDescent="0.45">
      <c r="A44" s="31"/>
      <c r="B44" s="43"/>
      <c r="D44" s="40"/>
      <c r="E44" s="33"/>
      <c r="F44" s="34"/>
      <c r="G44" s="34"/>
      <c r="H44" s="35"/>
      <c r="I44" s="35"/>
      <c r="J44" s="162"/>
      <c r="K44" s="162"/>
      <c r="L44" s="162"/>
      <c r="M44" s="49"/>
      <c r="N44" s="32"/>
    </row>
    <row r="45" spans="1:14" ht="20.100000000000001" customHeight="1" x14ac:dyDescent="0.45">
      <c r="A45" s="31"/>
      <c r="B45" s="43"/>
      <c r="D45" s="40"/>
      <c r="E45" s="33"/>
      <c r="F45" s="34"/>
      <c r="G45" s="34"/>
      <c r="H45" s="35"/>
      <c r="I45" s="35"/>
      <c r="J45" s="162"/>
      <c r="K45" s="162"/>
      <c r="L45" s="162"/>
      <c r="M45" s="49"/>
      <c r="N45" s="32"/>
    </row>
    <row r="46" spans="1:14" ht="20.100000000000001" customHeight="1" x14ac:dyDescent="0.45">
      <c r="A46" s="31"/>
      <c r="B46" s="43"/>
      <c r="D46" s="40"/>
      <c r="E46" s="33"/>
      <c r="F46" s="34"/>
      <c r="G46" s="34"/>
      <c r="H46" s="35"/>
      <c r="I46" s="35"/>
      <c r="J46" s="162"/>
      <c r="K46" s="162"/>
      <c r="L46" s="162"/>
      <c r="M46" s="49"/>
      <c r="N46" s="32"/>
    </row>
    <row r="47" spans="1:14" ht="20.100000000000001" customHeight="1" x14ac:dyDescent="0.45">
      <c r="A47" s="31"/>
      <c r="B47" s="51"/>
      <c r="C47" s="105"/>
      <c r="D47" s="40"/>
      <c r="E47" s="33"/>
      <c r="F47" s="34"/>
      <c r="G47" s="34"/>
      <c r="H47" s="34"/>
      <c r="I47" s="35"/>
      <c r="J47" s="162"/>
      <c r="K47" s="162"/>
      <c r="L47" s="162"/>
      <c r="M47" s="41"/>
      <c r="N47" s="32"/>
    </row>
    <row r="48" spans="1:14" x14ac:dyDescent="0.45">
      <c r="A48" s="45"/>
      <c r="B48" s="46"/>
      <c r="C48" s="69" t="s">
        <v>57</v>
      </c>
      <c r="D48" s="47"/>
      <c r="E48" s="47"/>
      <c r="F48" s="47"/>
      <c r="G48" s="47"/>
      <c r="H48" s="47"/>
      <c r="I48" s="132" t="e">
        <f>SUM(I6:I47)</f>
        <v>#REF!</v>
      </c>
      <c r="J48" s="163"/>
      <c r="K48" s="163"/>
      <c r="L48" s="132" t="e">
        <f>SUM(L6:L47)</f>
        <v>#REF!</v>
      </c>
      <c r="M48" s="46"/>
      <c r="N48" s="115"/>
    </row>
    <row r="49" spans="1:14" ht="21.75" customHeight="1" x14ac:dyDescent="0.5">
      <c r="A49" s="482" t="s">
        <v>39</v>
      </c>
      <c r="B49" s="482"/>
      <c r="C49" s="482"/>
      <c r="D49" s="482"/>
      <c r="E49" s="482"/>
      <c r="F49" s="482"/>
      <c r="G49" s="482"/>
      <c r="H49" s="482"/>
      <c r="I49" s="482"/>
      <c r="J49" s="482"/>
      <c r="K49" s="482"/>
      <c r="L49" s="482"/>
      <c r="M49" s="482"/>
    </row>
    <row r="50" spans="1:14" x14ac:dyDescent="0.45">
      <c r="B50" s="129" t="s">
        <v>27</v>
      </c>
      <c r="C50" s="19" t="e">
        <f>C2</f>
        <v>#REF!</v>
      </c>
      <c r="D50" s="18"/>
      <c r="G50" s="18" t="s">
        <v>6</v>
      </c>
      <c r="I50" s="17" t="e">
        <f>$I$2</f>
        <v>#REF!</v>
      </c>
    </row>
    <row r="51" spans="1:14" ht="21.75" customHeight="1" x14ac:dyDescent="0.45">
      <c r="B51" s="129" t="s">
        <v>28</v>
      </c>
      <c r="C51" s="19" t="e">
        <f>C3</f>
        <v>#REF!</v>
      </c>
      <c r="E51" s="169"/>
      <c r="F51" s="169"/>
      <c r="G51" s="18" t="s">
        <v>127</v>
      </c>
      <c r="I51" s="143" t="e">
        <f>$I$3</f>
        <v>#REF!</v>
      </c>
      <c r="J51" s="19" t="s">
        <v>29</v>
      </c>
      <c r="K51" s="19"/>
      <c r="L51" s="19"/>
    </row>
    <row r="52" spans="1:14" ht="20.100000000000001" customHeight="1" x14ac:dyDescent="0.45">
      <c r="A52" s="20" t="s">
        <v>0</v>
      </c>
      <c r="B52" s="21"/>
      <c r="C52" s="22" t="s">
        <v>30</v>
      </c>
      <c r="D52" s="20" t="s">
        <v>7</v>
      </c>
      <c r="E52" s="20" t="s">
        <v>8</v>
      </c>
      <c r="F52" s="473" t="s">
        <v>9</v>
      </c>
      <c r="G52" s="481"/>
      <c r="H52" s="474"/>
      <c r="I52" s="20" t="s">
        <v>10</v>
      </c>
      <c r="J52" s="472" t="s">
        <v>2</v>
      </c>
      <c r="K52" s="473" t="s">
        <v>145</v>
      </c>
      <c r="L52" s="474"/>
      <c r="M52" s="479" t="s">
        <v>5</v>
      </c>
      <c r="N52" s="480"/>
    </row>
    <row r="53" spans="1:14" ht="20.100000000000001" customHeight="1" x14ac:dyDescent="0.45">
      <c r="A53" s="23"/>
      <c r="B53" s="24"/>
      <c r="C53" s="25"/>
      <c r="D53" s="23"/>
      <c r="E53" s="23"/>
      <c r="F53" s="26" t="s">
        <v>11</v>
      </c>
      <c r="G53" s="26" t="s">
        <v>12</v>
      </c>
      <c r="H53" s="26" t="s">
        <v>13</v>
      </c>
      <c r="I53" s="23" t="s">
        <v>14</v>
      </c>
      <c r="J53" s="472"/>
      <c r="K53" s="166" t="s">
        <v>146</v>
      </c>
      <c r="L53" s="26" t="s">
        <v>13</v>
      </c>
      <c r="M53" s="24"/>
      <c r="N53" s="105"/>
    </row>
    <row r="54" spans="1:14" ht="20.100000000000001" customHeight="1" x14ac:dyDescent="0.45">
      <c r="A54" s="33"/>
      <c r="B54" s="49"/>
      <c r="C54" s="68" t="s">
        <v>58</v>
      </c>
      <c r="D54" s="33"/>
      <c r="E54" s="33"/>
      <c r="F54" s="33"/>
      <c r="G54" s="33"/>
      <c r="H54" s="33"/>
      <c r="I54" s="128" t="e">
        <f>I48</f>
        <v>#REF!</v>
      </c>
      <c r="J54" s="164"/>
      <c r="K54" s="164"/>
      <c r="L54" s="128" t="e">
        <f>L48</f>
        <v>#REF!</v>
      </c>
      <c r="M54" s="21"/>
      <c r="N54" s="62"/>
    </row>
    <row r="55" spans="1:14" ht="20.100000000000001" customHeight="1" x14ac:dyDescent="0.45">
      <c r="A55" s="33">
        <v>5</v>
      </c>
      <c r="B55" s="39" t="s">
        <v>24</v>
      </c>
      <c r="D55" s="40"/>
      <c r="E55" s="31"/>
      <c r="F55" s="35"/>
      <c r="G55" s="35"/>
      <c r="H55" s="35"/>
      <c r="I55" s="35"/>
      <c r="J55" s="162"/>
      <c r="K55" s="162"/>
      <c r="L55" s="162"/>
      <c r="M55" s="41"/>
      <c r="N55" s="32"/>
    </row>
    <row r="56" spans="1:14" ht="20.100000000000001" customHeight="1" x14ac:dyDescent="0.45">
      <c r="A56" s="31"/>
      <c r="B56" s="41" t="s">
        <v>37</v>
      </c>
      <c r="D56" s="40"/>
      <c r="E56" s="33"/>
      <c r="F56" s="35"/>
      <c r="G56" s="35"/>
      <c r="H56" s="35"/>
      <c r="I56" s="35"/>
      <c r="J56" s="162"/>
      <c r="K56" s="162"/>
      <c r="L56" s="162"/>
      <c r="M56" s="41"/>
      <c r="N56" s="32"/>
    </row>
    <row r="57" spans="1:14" ht="20.100000000000001" customHeight="1" x14ac:dyDescent="0.45">
      <c r="A57" s="31"/>
      <c r="B57" s="59" t="s">
        <v>46</v>
      </c>
      <c r="D57" s="142">
        <v>1</v>
      </c>
      <c r="E57" s="37" t="s">
        <v>26</v>
      </c>
      <c r="F57" s="34">
        <f>IF(D57&lt;=0,0,90)</f>
        <v>90</v>
      </c>
      <c r="G57" s="34">
        <f>IF(D57&lt;=0,0,20)</f>
        <v>20</v>
      </c>
      <c r="H57" s="35">
        <f>ROUND(F57+G57,2)</f>
        <v>110</v>
      </c>
      <c r="I57" s="35">
        <f>D57*H57</f>
        <v>110</v>
      </c>
      <c r="J57" s="167" t="e">
        <f>IF(D57&gt;0,#REF!,0)</f>
        <v>#REF!</v>
      </c>
      <c r="K57" s="162" t="e">
        <f>ROUNDDOWN(H57*J57,2)</f>
        <v>#REF!</v>
      </c>
      <c r="L57" s="162" t="e">
        <f>D57*K57</f>
        <v>#REF!</v>
      </c>
      <c r="M57" s="41"/>
      <c r="N57" s="32"/>
    </row>
    <row r="58" spans="1:14" ht="20.100000000000001" customHeight="1" x14ac:dyDescent="0.45">
      <c r="A58" s="31"/>
      <c r="B58" s="59" t="s">
        <v>47</v>
      </c>
      <c r="D58" s="142">
        <v>1</v>
      </c>
      <c r="E58" s="37" t="s">
        <v>26</v>
      </c>
      <c r="F58" s="34">
        <f>IF(D58&lt;=0,0,325)</f>
        <v>325</v>
      </c>
      <c r="G58" s="34">
        <f>IF(D58&lt;=0,0,75)</f>
        <v>75</v>
      </c>
      <c r="H58" s="35">
        <f>ROUND(F58+G58,2)</f>
        <v>400</v>
      </c>
      <c r="I58" s="35">
        <f>D58*H58</f>
        <v>400</v>
      </c>
      <c r="J58" s="167" t="e">
        <f>IF(D58&gt;0,#REF!,0)</f>
        <v>#REF!</v>
      </c>
      <c r="K58" s="162" t="e">
        <f>ROUNDDOWN(H58*J58,2)</f>
        <v>#REF!</v>
      </c>
      <c r="L58" s="162" t="e">
        <f>D58*K58</f>
        <v>#REF!</v>
      </c>
      <c r="M58" s="41"/>
      <c r="N58" s="32"/>
    </row>
    <row r="59" spans="1:14" ht="20.100000000000001" customHeight="1" x14ac:dyDescent="0.45">
      <c r="A59" s="31"/>
      <c r="B59" s="59" t="s">
        <v>53</v>
      </c>
      <c r="D59" s="142">
        <v>1</v>
      </c>
      <c r="E59" s="37" t="s">
        <v>25</v>
      </c>
      <c r="F59" s="34">
        <f>IF(D59&lt;=0,0,)</f>
        <v>0</v>
      </c>
      <c r="G59" s="34">
        <f>IF(D59&lt;=0,0,)</f>
        <v>0</v>
      </c>
      <c r="H59" s="34">
        <f>ROUND(IF(D59&lt;=0,0,200),2)</f>
        <v>200</v>
      </c>
      <c r="I59" s="35">
        <f>D59*H59</f>
        <v>200</v>
      </c>
      <c r="J59" s="167" t="e">
        <f>IF(D59&gt;0,#REF!,0)</f>
        <v>#REF!</v>
      </c>
      <c r="K59" s="162" t="e">
        <f>ROUNDDOWN(H59*J59,2)</f>
        <v>#REF!</v>
      </c>
      <c r="L59" s="162" t="e">
        <f>D59*K59</f>
        <v>#REF!</v>
      </c>
      <c r="M59" s="41"/>
      <c r="N59" s="32"/>
    </row>
    <row r="60" spans="1:14" ht="20.100000000000001" customHeight="1" x14ac:dyDescent="0.45">
      <c r="A60" s="31"/>
      <c r="B60" s="59" t="s">
        <v>54</v>
      </c>
      <c r="D60" s="142">
        <v>1</v>
      </c>
      <c r="E60" s="37" t="s">
        <v>36</v>
      </c>
      <c r="F60" s="34">
        <f>IF(D60&lt;=0,0,)</f>
        <v>0</v>
      </c>
      <c r="G60" s="34">
        <f>IF(D60&lt;=0,0,)</f>
        <v>0</v>
      </c>
      <c r="H60" s="34">
        <f>ROUND(IF(D60&lt;=0,0,100),2)</f>
        <v>100</v>
      </c>
      <c r="I60" s="35">
        <f>D60*H60</f>
        <v>100</v>
      </c>
      <c r="J60" s="167" t="e">
        <f>IF(D60&gt;0,#REF!,0)</f>
        <v>#REF!</v>
      </c>
      <c r="K60" s="162" t="e">
        <f>ROUNDDOWN(H60*J60,2)</f>
        <v>#REF!</v>
      </c>
      <c r="L60" s="162" t="e">
        <f>D60*K60</f>
        <v>#REF!</v>
      </c>
      <c r="M60" s="41"/>
      <c r="N60" s="32"/>
    </row>
    <row r="61" spans="1:14" ht="20.100000000000001" customHeight="1" x14ac:dyDescent="0.45">
      <c r="A61" s="31"/>
      <c r="B61" s="60" t="s">
        <v>38</v>
      </c>
      <c r="D61" s="50"/>
      <c r="E61" s="33"/>
      <c r="F61" s="35"/>
      <c r="G61" s="35"/>
      <c r="H61" s="35"/>
      <c r="I61" s="35"/>
      <c r="J61" s="162"/>
      <c r="K61" s="162"/>
      <c r="L61" s="162"/>
      <c r="M61" s="41"/>
      <c r="N61" s="32"/>
    </row>
    <row r="62" spans="1:14" ht="20.100000000000001" customHeight="1" x14ac:dyDescent="0.45">
      <c r="A62" s="31"/>
      <c r="B62" s="59" t="s">
        <v>48</v>
      </c>
      <c r="D62" s="142">
        <v>1</v>
      </c>
      <c r="E62" s="37" t="s">
        <v>25</v>
      </c>
      <c r="F62" s="34">
        <f t="shared" ref="F62:F88" si="3">IF(D62&lt;=0,0,)</f>
        <v>0</v>
      </c>
      <c r="G62" s="34">
        <f t="shared" ref="G62:G88" si="4">IF(D62&lt;=0,0,)</f>
        <v>0</v>
      </c>
      <c r="H62" s="44">
        <f>ROUND(IF(D62&lt;=0,0,12710),2)</f>
        <v>12710</v>
      </c>
      <c r="I62" s="35">
        <f t="shared" ref="I62:I88" si="5">D62*H62</f>
        <v>12710</v>
      </c>
      <c r="J62" s="167" t="e">
        <f>IF(D62&gt;0,#REF!,0)</f>
        <v>#REF!</v>
      </c>
      <c r="K62" s="162" t="e">
        <f t="shared" ref="K62:K88" si="6">ROUNDDOWN(H62*J62,2)</f>
        <v>#REF!</v>
      </c>
      <c r="L62" s="162" t="e">
        <f t="shared" ref="L62:L88" si="7">D62*K62</f>
        <v>#REF!</v>
      </c>
      <c r="M62" s="485"/>
      <c r="N62" s="478"/>
    </row>
    <row r="63" spans="1:14" ht="20.100000000000001" customHeight="1" x14ac:dyDescent="0.45">
      <c r="A63" s="31"/>
      <c r="B63" s="59" t="s">
        <v>49</v>
      </c>
      <c r="D63" s="142">
        <v>1</v>
      </c>
      <c r="E63" s="37" t="s">
        <v>25</v>
      </c>
      <c r="F63" s="34">
        <f t="shared" si="3"/>
        <v>0</v>
      </c>
      <c r="G63" s="34">
        <f t="shared" si="4"/>
        <v>0</v>
      </c>
      <c r="H63" s="44">
        <f>ROUND(IF(D63&lt;=0,0,3320),2)</f>
        <v>3320</v>
      </c>
      <c r="I63" s="35">
        <f t="shared" si="5"/>
        <v>3320</v>
      </c>
      <c r="J63" s="167" t="e">
        <f>IF(D63&gt;0,#REF!,0)</f>
        <v>#REF!</v>
      </c>
      <c r="K63" s="162" t="e">
        <f t="shared" si="6"/>
        <v>#REF!</v>
      </c>
      <c r="L63" s="162" t="e">
        <f t="shared" si="7"/>
        <v>#REF!</v>
      </c>
      <c r="M63" s="477" t="s">
        <v>147</v>
      </c>
      <c r="N63" s="478"/>
    </row>
    <row r="64" spans="1:14" ht="20.100000000000001" customHeight="1" x14ac:dyDescent="0.45">
      <c r="A64" s="31"/>
      <c r="B64" s="36" t="s">
        <v>50</v>
      </c>
      <c r="D64" s="142">
        <v>1</v>
      </c>
      <c r="E64" s="37" t="s">
        <v>25</v>
      </c>
      <c r="F64" s="34">
        <f t="shared" si="3"/>
        <v>0</v>
      </c>
      <c r="G64" s="34">
        <f t="shared" si="4"/>
        <v>0</v>
      </c>
      <c r="H64" s="44">
        <f>ROUND(IF(D64&lt;=0,0,2390),2)</f>
        <v>2390</v>
      </c>
      <c r="I64" s="35">
        <f t="shared" si="5"/>
        <v>2390</v>
      </c>
      <c r="J64" s="167" t="e">
        <f>IF(D64&gt;0,#REF!,0)</f>
        <v>#REF!</v>
      </c>
      <c r="K64" s="162" t="e">
        <f t="shared" si="6"/>
        <v>#REF!</v>
      </c>
      <c r="L64" s="162" t="e">
        <f t="shared" si="7"/>
        <v>#REF!</v>
      </c>
      <c r="M64" s="41"/>
      <c r="N64" s="32"/>
    </row>
    <row r="65" spans="1:14" ht="20.100000000000001" customHeight="1" x14ac:dyDescent="0.45">
      <c r="A65" s="31"/>
      <c r="B65" s="59" t="s">
        <v>51</v>
      </c>
      <c r="D65" s="142">
        <v>1</v>
      </c>
      <c r="E65" s="37" t="s">
        <v>25</v>
      </c>
      <c r="F65" s="34">
        <f t="shared" si="3"/>
        <v>0</v>
      </c>
      <c r="G65" s="34">
        <f t="shared" si="4"/>
        <v>0</v>
      </c>
      <c r="H65" s="44">
        <f>ROUND(IF(D65&lt;=0,0,2720),2)</f>
        <v>2720</v>
      </c>
      <c r="I65" s="35">
        <f t="shared" si="5"/>
        <v>2720</v>
      </c>
      <c r="J65" s="167" t="e">
        <f>IF(D65&gt;0,#REF!,0)</f>
        <v>#REF!</v>
      </c>
      <c r="K65" s="162" t="e">
        <f t="shared" si="6"/>
        <v>#REF!</v>
      </c>
      <c r="L65" s="162" t="e">
        <f t="shared" si="7"/>
        <v>#REF!</v>
      </c>
      <c r="M65" s="41"/>
      <c r="N65" s="32"/>
    </row>
    <row r="66" spans="1:14" ht="20.100000000000001" customHeight="1" x14ac:dyDescent="0.45">
      <c r="A66" s="31"/>
      <c r="B66" s="59" t="s">
        <v>144</v>
      </c>
      <c r="D66" s="142">
        <v>1</v>
      </c>
      <c r="E66" s="37" t="s">
        <v>25</v>
      </c>
      <c r="F66" s="34">
        <f t="shared" si="3"/>
        <v>0</v>
      </c>
      <c r="G66" s="34">
        <f t="shared" si="4"/>
        <v>0</v>
      </c>
      <c r="H66" s="44">
        <f>ROUND(IF(D66&lt;=0,0,2950),2)</f>
        <v>2950</v>
      </c>
      <c r="I66" s="35">
        <f t="shared" si="5"/>
        <v>2950</v>
      </c>
      <c r="J66" s="167" t="e">
        <f>IF(D66&gt;0,#REF!,0)</f>
        <v>#REF!</v>
      </c>
      <c r="K66" s="162" t="e">
        <f t="shared" si="6"/>
        <v>#REF!</v>
      </c>
      <c r="L66" s="162" t="e">
        <f t="shared" si="7"/>
        <v>#REF!</v>
      </c>
      <c r="M66" s="41"/>
      <c r="N66" s="32"/>
    </row>
    <row r="67" spans="1:14" ht="20.100000000000001" customHeight="1" x14ac:dyDescent="0.45">
      <c r="A67" s="31"/>
      <c r="B67" s="59" t="s">
        <v>135</v>
      </c>
      <c r="D67" s="142">
        <v>1</v>
      </c>
      <c r="E67" s="37" t="s">
        <v>25</v>
      </c>
      <c r="F67" s="34">
        <f>IF(D67&lt;=0,0,)</f>
        <v>0</v>
      </c>
      <c r="G67" s="34">
        <f>IF(D67&lt;=0,0,)</f>
        <v>0</v>
      </c>
      <c r="H67" s="44">
        <f>ROUND(IF(D67&lt;=0,0,4550),2)</f>
        <v>4550</v>
      </c>
      <c r="I67" s="35">
        <f>D67*H67</f>
        <v>4550</v>
      </c>
      <c r="J67" s="167" t="e">
        <f>IF(D67&gt;0,#REF!,0)</f>
        <v>#REF!</v>
      </c>
      <c r="K67" s="162" t="e">
        <f t="shared" si="6"/>
        <v>#REF!</v>
      </c>
      <c r="L67" s="162" t="e">
        <f t="shared" si="7"/>
        <v>#REF!</v>
      </c>
      <c r="M67" s="477" t="s">
        <v>147</v>
      </c>
      <c r="N67" s="478"/>
    </row>
    <row r="68" spans="1:14" ht="20.100000000000001" customHeight="1" x14ac:dyDescent="0.45">
      <c r="A68" s="31"/>
      <c r="B68" s="59" t="s">
        <v>129</v>
      </c>
      <c r="D68" s="142">
        <v>1</v>
      </c>
      <c r="E68" s="37" t="s">
        <v>25</v>
      </c>
      <c r="F68" s="34">
        <f t="shared" si="3"/>
        <v>0</v>
      </c>
      <c r="G68" s="34">
        <f t="shared" si="4"/>
        <v>0</v>
      </c>
      <c r="H68" s="44">
        <f>ROUND(IF(D68&lt;=0,0,5570),2)</f>
        <v>5570</v>
      </c>
      <c r="I68" s="35">
        <f t="shared" si="5"/>
        <v>5570</v>
      </c>
      <c r="J68" s="167" t="e">
        <f>IF(D68&gt;0,#REF!,0)</f>
        <v>#REF!</v>
      </c>
      <c r="K68" s="162" t="e">
        <f t="shared" si="6"/>
        <v>#REF!</v>
      </c>
      <c r="L68" s="162" t="e">
        <f t="shared" si="7"/>
        <v>#REF!</v>
      </c>
      <c r="M68" s="477" t="s">
        <v>147</v>
      </c>
      <c r="N68" s="478"/>
    </row>
    <row r="69" spans="1:14" ht="20.100000000000001" customHeight="1" x14ac:dyDescent="0.45">
      <c r="A69" s="31"/>
      <c r="B69" s="59" t="s">
        <v>130</v>
      </c>
      <c r="D69" s="142">
        <v>1</v>
      </c>
      <c r="E69" s="37" t="s">
        <v>25</v>
      </c>
      <c r="F69" s="34">
        <f t="shared" si="3"/>
        <v>0</v>
      </c>
      <c r="G69" s="34">
        <f t="shared" si="4"/>
        <v>0</v>
      </c>
      <c r="H69" s="44">
        <f>ROUND(IF(D69&lt;=0,0,8450),2)</f>
        <v>8450</v>
      </c>
      <c r="I69" s="35">
        <f t="shared" si="5"/>
        <v>8450</v>
      </c>
      <c r="J69" s="167" t="e">
        <f>IF(D69&gt;0,#REF!,0)</f>
        <v>#REF!</v>
      </c>
      <c r="K69" s="162" t="e">
        <f t="shared" si="6"/>
        <v>#REF!</v>
      </c>
      <c r="L69" s="162" t="e">
        <f t="shared" si="7"/>
        <v>#REF!</v>
      </c>
      <c r="M69" s="477" t="s">
        <v>147</v>
      </c>
      <c r="N69" s="478"/>
    </row>
    <row r="70" spans="1:14" ht="20.100000000000001" customHeight="1" x14ac:dyDescent="0.45">
      <c r="A70" s="31"/>
      <c r="B70" s="59" t="s">
        <v>131</v>
      </c>
      <c r="D70" s="142">
        <v>1</v>
      </c>
      <c r="E70" s="37" t="s">
        <v>25</v>
      </c>
      <c r="F70" s="34">
        <f t="shared" si="3"/>
        <v>0</v>
      </c>
      <c r="G70" s="34">
        <f t="shared" si="4"/>
        <v>0</v>
      </c>
      <c r="H70" s="44">
        <f>ROUND(IF(D70&lt;=0,0,4410),2)</f>
        <v>4410</v>
      </c>
      <c r="I70" s="35">
        <f t="shared" si="5"/>
        <v>4410</v>
      </c>
      <c r="J70" s="167" t="e">
        <f>IF(D70&gt;0,#REF!,0)</f>
        <v>#REF!</v>
      </c>
      <c r="K70" s="162" t="e">
        <f t="shared" si="6"/>
        <v>#REF!</v>
      </c>
      <c r="L70" s="162" t="e">
        <f t="shared" si="7"/>
        <v>#REF!</v>
      </c>
      <c r="M70" s="477" t="s">
        <v>147</v>
      </c>
      <c r="N70" s="478"/>
    </row>
    <row r="71" spans="1:14" ht="20.100000000000001" customHeight="1" x14ac:dyDescent="0.45">
      <c r="A71" s="31"/>
      <c r="B71" s="59" t="s">
        <v>132</v>
      </c>
      <c r="D71" s="142">
        <v>1</v>
      </c>
      <c r="E71" s="37" t="s">
        <v>25</v>
      </c>
      <c r="F71" s="34">
        <f t="shared" si="3"/>
        <v>0</v>
      </c>
      <c r="G71" s="34">
        <f t="shared" si="4"/>
        <v>0</v>
      </c>
      <c r="H71" s="44">
        <f>ROUND(IF(D71&lt;=0,0,7160),2)</f>
        <v>7160</v>
      </c>
      <c r="I71" s="35">
        <f t="shared" si="5"/>
        <v>7160</v>
      </c>
      <c r="J71" s="167" t="e">
        <f>IF(D71&gt;0,#REF!,0)</f>
        <v>#REF!</v>
      </c>
      <c r="K71" s="162" t="e">
        <f t="shared" si="6"/>
        <v>#REF!</v>
      </c>
      <c r="L71" s="162" t="e">
        <f t="shared" si="7"/>
        <v>#REF!</v>
      </c>
      <c r="M71" s="477" t="s">
        <v>147</v>
      </c>
      <c r="N71" s="478"/>
    </row>
    <row r="72" spans="1:14" ht="20.100000000000001" customHeight="1" x14ac:dyDescent="0.45">
      <c r="A72" s="31"/>
      <c r="B72" s="59" t="s">
        <v>133</v>
      </c>
      <c r="D72" s="142">
        <v>1</v>
      </c>
      <c r="E72" s="37" t="s">
        <v>25</v>
      </c>
      <c r="F72" s="34">
        <f t="shared" si="3"/>
        <v>0</v>
      </c>
      <c r="G72" s="34">
        <f t="shared" si="4"/>
        <v>0</v>
      </c>
      <c r="H72" s="44">
        <f>ROUND(IF(D72&lt;=0,0,5710),2)</f>
        <v>5710</v>
      </c>
      <c r="I72" s="35">
        <f t="shared" si="5"/>
        <v>5710</v>
      </c>
      <c r="J72" s="167" t="e">
        <f>IF(D72&gt;0,#REF!,0)</f>
        <v>#REF!</v>
      </c>
      <c r="K72" s="162" t="e">
        <f t="shared" si="6"/>
        <v>#REF!</v>
      </c>
      <c r="L72" s="162" t="e">
        <f t="shared" si="7"/>
        <v>#REF!</v>
      </c>
      <c r="M72" s="477" t="s">
        <v>147</v>
      </c>
      <c r="N72" s="478"/>
    </row>
    <row r="73" spans="1:14" ht="20.100000000000001" customHeight="1" x14ac:dyDescent="0.45">
      <c r="A73" s="31"/>
      <c r="B73" s="59" t="s">
        <v>134</v>
      </c>
      <c r="D73" s="142">
        <v>1</v>
      </c>
      <c r="E73" s="37" t="s">
        <v>25</v>
      </c>
      <c r="F73" s="34">
        <f>IF(D73&lt;=0,0,)</f>
        <v>0</v>
      </c>
      <c r="G73" s="34">
        <f>IF(D73&lt;=0,0,)</f>
        <v>0</v>
      </c>
      <c r="H73" s="44">
        <f>ROUND(IF(D73&lt;=0,0,7160),2)</f>
        <v>7160</v>
      </c>
      <c r="I73" s="35">
        <f>D73*H73</f>
        <v>7160</v>
      </c>
      <c r="J73" s="167" t="e">
        <f>IF(D73&gt;0,#REF!,0)</f>
        <v>#REF!</v>
      </c>
      <c r="K73" s="162" t="e">
        <f t="shared" si="6"/>
        <v>#REF!</v>
      </c>
      <c r="L73" s="162" t="e">
        <f t="shared" si="7"/>
        <v>#REF!</v>
      </c>
      <c r="M73" s="477" t="s">
        <v>147</v>
      </c>
      <c r="N73" s="478"/>
    </row>
    <row r="74" spans="1:14" ht="20.100000000000001" customHeight="1" x14ac:dyDescent="0.45">
      <c r="A74" s="31"/>
      <c r="B74" s="59" t="s">
        <v>100</v>
      </c>
      <c r="D74" s="142">
        <v>1</v>
      </c>
      <c r="E74" s="37" t="s">
        <v>25</v>
      </c>
      <c r="F74" s="34">
        <f t="shared" si="3"/>
        <v>0</v>
      </c>
      <c r="G74" s="34">
        <f t="shared" si="4"/>
        <v>0</v>
      </c>
      <c r="H74" s="44">
        <f>ROUND(IF(D74&lt;=0,0,4410),2)</f>
        <v>4410</v>
      </c>
      <c r="I74" s="35">
        <f t="shared" si="5"/>
        <v>4410</v>
      </c>
      <c r="J74" s="167" t="e">
        <f>IF(D74&gt;0,#REF!,0)</f>
        <v>#REF!</v>
      </c>
      <c r="K74" s="162" t="e">
        <f t="shared" si="6"/>
        <v>#REF!</v>
      </c>
      <c r="L74" s="162" t="e">
        <f t="shared" si="7"/>
        <v>#REF!</v>
      </c>
      <c r="M74" s="477" t="s">
        <v>147</v>
      </c>
      <c r="N74" s="478"/>
    </row>
    <row r="75" spans="1:14" ht="20.100000000000001" customHeight="1" x14ac:dyDescent="0.45">
      <c r="A75" s="31"/>
      <c r="B75" s="59" t="s">
        <v>101</v>
      </c>
      <c r="D75" s="142">
        <v>1</v>
      </c>
      <c r="E75" s="37" t="s">
        <v>25</v>
      </c>
      <c r="F75" s="34">
        <f t="shared" si="3"/>
        <v>0</v>
      </c>
      <c r="G75" s="34">
        <f t="shared" si="4"/>
        <v>0</v>
      </c>
      <c r="H75" s="44">
        <f>ROUND(IF(D75&lt;=0,0,4700),2)</f>
        <v>4700</v>
      </c>
      <c r="I75" s="35">
        <f t="shared" si="5"/>
        <v>4700</v>
      </c>
      <c r="J75" s="167" t="e">
        <f>IF(D75&gt;0,#REF!,0)</f>
        <v>#REF!</v>
      </c>
      <c r="K75" s="162" t="e">
        <f t="shared" si="6"/>
        <v>#REF!</v>
      </c>
      <c r="L75" s="162" t="e">
        <f t="shared" si="7"/>
        <v>#REF!</v>
      </c>
      <c r="M75" s="41"/>
      <c r="N75" s="32"/>
    </row>
    <row r="76" spans="1:14" ht="20.100000000000001" customHeight="1" x14ac:dyDescent="0.45">
      <c r="A76" s="31"/>
      <c r="B76" s="59" t="s">
        <v>102</v>
      </c>
      <c r="D76" s="142">
        <v>1</v>
      </c>
      <c r="E76" s="37" t="s">
        <v>25</v>
      </c>
      <c r="F76" s="34">
        <f t="shared" si="3"/>
        <v>0</v>
      </c>
      <c r="G76" s="34">
        <f t="shared" si="4"/>
        <v>0</v>
      </c>
      <c r="H76" s="44">
        <f>ROUND(IF(D76&lt;=0,0,2500),2)</f>
        <v>2500</v>
      </c>
      <c r="I76" s="35">
        <f t="shared" si="5"/>
        <v>2500</v>
      </c>
      <c r="J76" s="167" t="e">
        <f>IF(D76&gt;0,#REF!,0)</f>
        <v>#REF!</v>
      </c>
      <c r="K76" s="162" t="e">
        <f t="shared" si="6"/>
        <v>#REF!</v>
      </c>
      <c r="L76" s="162" t="e">
        <f t="shared" si="7"/>
        <v>#REF!</v>
      </c>
      <c r="M76" s="41"/>
      <c r="N76" s="32"/>
    </row>
    <row r="77" spans="1:14" ht="20.100000000000001" customHeight="1" x14ac:dyDescent="0.45">
      <c r="A77" s="31"/>
      <c r="B77" s="59" t="s">
        <v>103</v>
      </c>
      <c r="D77" s="142">
        <v>1</v>
      </c>
      <c r="E77" s="37" t="s">
        <v>25</v>
      </c>
      <c r="F77" s="34">
        <f>IF(D77&lt;=0,0,)</f>
        <v>0</v>
      </c>
      <c r="G77" s="34">
        <f>IF(D77&lt;=0,0,)</f>
        <v>0</v>
      </c>
      <c r="H77" s="44">
        <f>ROUND(IF(D77&lt;=0,0,4610),2)</f>
        <v>4610</v>
      </c>
      <c r="I77" s="35">
        <f>D77*H77</f>
        <v>4610</v>
      </c>
      <c r="J77" s="167" t="e">
        <f>IF(D77&gt;0,#REF!,0)</f>
        <v>#REF!</v>
      </c>
      <c r="K77" s="162" t="e">
        <f t="shared" si="6"/>
        <v>#REF!</v>
      </c>
      <c r="L77" s="162" t="e">
        <f t="shared" si="7"/>
        <v>#REF!</v>
      </c>
      <c r="M77" s="485"/>
      <c r="N77" s="478"/>
    </row>
    <row r="78" spans="1:14" ht="20.100000000000001" customHeight="1" x14ac:dyDescent="0.45">
      <c r="A78" s="31"/>
      <c r="B78" s="59" t="s">
        <v>104</v>
      </c>
      <c r="D78" s="142">
        <v>1</v>
      </c>
      <c r="E78" s="37" t="s">
        <v>25</v>
      </c>
      <c r="F78" s="34">
        <f t="shared" si="3"/>
        <v>0</v>
      </c>
      <c r="G78" s="34">
        <f t="shared" si="4"/>
        <v>0</v>
      </c>
      <c r="H78" s="44">
        <f>ROUND(IF(D78&lt;=0,0,3950),2)</f>
        <v>3950</v>
      </c>
      <c r="I78" s="35">
        <f t="shared" si="5"/>
        <v>3950</v>
      </c>
      <c r="J78" s="167" t="e">
        <f>IF(D78&gt;0,#REF!,0)</f>
        <v>#REF!</v>
      </c>
      <c r="K78" s="162" t="e">
        <f t="shared" si="6"/>
        <v>#REF!</v>
      </c>
      <c r="L78" s="162" t="e">
        <f t="shared" si="7"/>
        <v>#REF!</v>
      </c>
      <c r="M78" s="41"/>
      <c r="N78" s="32"/>
    </row>
    <row r="79" spans="1:14" ht="20.100000000000001" customHeight="1" x14ac:dyDescent="0.45">
      <c r="A79" s="31"/>
      <c r="B79" s="59" t="s">
        <v>105</v>
      </c>
      <c r="D79" s="142">
        <v>1</v>
      </c>
      <c r="E79" s="37" t="s">
        <v>25</v>
      </c>
      <c r="F79" s="34">
        <f t="shared" si="3"/>
        <v>0</v>
      </c>
      <c r="G79" s="34">
        <f t="shared" si="4"/>
        <v>0</v>
      </c>
      <c r="H79" s="44">
        <f>ROUND(IF(D79&lt;=0,0,5830),2)</f>
        <v>5830</v>
      </c>
      <c r="I79" s="35">
        <f t="shared" si="5"/>
        <v>5830</v>
      </c>
      <c r="J79" s="167" t="e">
        <f>IF(D79&gt;0,#REF!,0)</f>
        <v>#REF!</v>
      </c>
      <c r="K79" s="162" t="e">
        <f t="shared" si="6"/>
        <v>#REF!</v>
      </c>
      <c r="L79" s="162" t="e">
        <f t="shared" si="7"/>
        <v>#REF!</v>
      </c>
      <c r="M79" s="41"/>
      <c r="N79" s="32"/>
    </row>
    <row r="80" spans="1:14" ht="20.100000000000001" customHeight="1" x14ac:dyDescent="0.45">
      <c r="A80" s="31"/>
      <c r="B80" s="59" t="s">
        <v>106</v>
      </c>
      <c r="D80" s="142">
        <v>1</v>
      </c>
      <c r="E80" s="37" t="s">
        <v>25</v>
      </c>
      <c r="F80" s="34">
        <f t="shared" si="3"/>
        <v>0</v>
      </c>
      <c r="G80" s="34">
        <f t="shared" si="4"/>
        <v>0</v>
      </c>
      <c r="H80" s="44">
        <f>ROUND(IF(D80&lt;=0,0,9190),2)</f>
        <v>9190</v>
      </c>
      <c r="I80" s="35">
        <f t="shared" si="5"/>
        <v>9190</v>
      </c>
      <c r="J80" s="167" t="e">
        <f>IF(D80&gt;0,#REF!,0)</f>
        <v>#REF!</v>
      </c>
      <c r="K80" s="162" t="e">
        <f t="shared" si="6"/>
        <v>#REF!</v>
      </c>
      <c r="L80" s="162" t="e">
        <f t="shared" si="7"/>
        <v>#REF!</v>
      </c>
      <c r="M80" s="41"/>
      <c r="N80" s="32"/>
    </row>
    <row r="81" spans="1:14" ht="20.100000000000001" customHeight="1" x14ac:dyDescent="0.45">
      <c r="A81" s="31"/>
      <c r="B81" s="59" t="s">
        <v>107</v>
      </c>
      <c r="D81" s="142">
        <v>1</v>
      </c>
      <c r="E81" s="37" t="s">
        <v>25</v>
      </c>
      <c r="F81" s="34">
        <f t="shared" si="3"/>
        <v>0</v>
      </c>
      <c r="G81" s="34">
        <f t="shared" si="4"/>
        <v>0</v>
      </c>
      <c r="H81" s="44">
        <f>ROUND(IF(D81&lt;=0,0,14480),2)</f>
        <v>14480</v>
      </c>
      <c r="I81" s="35">
        <f t="shared" si="5"/>
        <v>14480</v>
      </c>
      <c r="J81" s="167" t="e">
        <f>IF(D81&gt;0,#REF!,0)</f>
        <v>#REF!</v>
      </c>
      <c r="K81" s="162" t="e">
        <f t="shared" si="6"/>
        <v>#REF!</v>
      </c>
      <c r="L81" s="162" t="e">
        <f t="shared" si="7"/>
        <v>#REF!</v>
      </c>
      <c r="M81" s="41"/>
      <c r="N81" s="32"/>
    </row>
    <row r="82" spans="1:14" ht="20.100000000000001" customHeight="1" x14ac:dyDescent="0.45">
      <c r="A82" s="31"/>
      <c r="B82" s="59" t="s">
        <v>108</v>
      </c>
      <c r="D82" s="142">
        <v>1</v>
      </c>
      <c r="E82" s="37" t="s">
        <v>25</v>
      </c>
      <c r="F82" s="34">
        <f t="shared" si="3"/>
        <v>0</v>
      </c>
      <c r="G82" s="34">
        <f t="shared" si="4"/>
        <v>0</v>
      </c>
      <c r="H82" s="44">
        <f>ROUND(IF(D82&lt;=0,0,21390),2)</f>
        <v>21390</v>
      </c>
      <c r="I82" s="35">
        <f t="shared" si="5"/>
        <v>21390</v>
      </c>
      <c r="J82" s="167" t="e">
        <f>IF(D82&gt;0,#REF!,0)</f>
        <v>#REF!</v>
      </c>
      <c r="K82" s="162" t="e">
        <f t="shared" si="6"/>
        <v>#REF!</v>
      </c>
      <c r="L82" s="162" t="e">
        <f t="shared" si="7"/>
        <v>#REF!</v>
      </c>
      <c r="M82" s="41"/>
      <c r="N82" s="32"/>
    </row>
    <row r="83" spans="1:14" ht="20.100000000000001" customHeight="1" x14ac:dyDescent="0.45">
      <c r="A83" s="31"/>
      <c r="B83" s="59" t="s">
        <v>109</v>
      </c>
      <c r="D83" s="142">
        <v>1</v>
      </c>
      <c r="E83" s="37" t="s">
        <v>25</v>
      </c>
      <c r="F83" s="34">
        <f t="shared" si="3"/>
        <v>0</v>
      </c>
      <c r="G83" s="34">
        <f t="shared" si="4"/>
        <v>0</v>
      </c>
      <c r="H83" s="44">
        <f>ROUND(IF(D83&lt;=0,0,8420),2)</f>
        <v>8420</v>
      </c>
      <c r="I83" s="35">
        <f t="shared" si="5"/>
        <v>8420</v>
      </c>
      <c r="J83" s="167" t="e">
        <f>IF(D83&gt;0,#REF!,0)</f>
        <v>#REF!</v>
      </c>
      <c r="K83" s="162" t="e">
        <f t="shared" si="6"/>
        <v>#REF!</v>
      </c>
      <c r="L83" s="162" t="e">
        <f t="shared" si="7"/>
        <v>#REF!</v>
      </c>
      <c r="M83" s="41"/>
      <c r="N83" s="32"/>
    </row>
    <row r="84" spans="1:14" ht="20.100000000000001" customHeight="1" x14ac:dyDescent="0.45">
      <c r="A84" s="31"/>
      <c r="B84" s="59" t="s">
        <v>110</v>
      </c>
      <c r="D84" s="142">
        <v>1</v>
      </c>
      <c r="E84" s="37" t="s">
        <v>25</v>
      </c>
      <c r="F84" s="34">
        <f t="shared" si="3"/>
        <v>0</v>
      </c>
      <c r="G84" s="34">
        <f t="shared" si="4"/>
        <v>0</v>
      </c>
      <c r="H84" s="44">
        <f>ROUND(IF(D84&lt;=0,0,3550),2)</f>
        <v>3550</v>
      </c>
      <c r="I84" s="35">
        <f t="shared" si="5"/>
        <v>3550</v>
      </c>
      <c r="J84" s="167" t="e">
        <f>IF(D84&gt;0,#REF!,0)</f>
        <v>#REF!</v>
      </c>
      <c r="K84" s="162" t="e">
        <f t="shared" si="6"/>
        <v>#REF!</v>
      </c>
      <c r="L84" s="162" t="e">
        <f t="shared" si="7"/>
        <v>#REF!</v>
      </c>
      <c r="M84" s="41"/>
      <c r="N84" s="32"/>
    </row>
    <row r="85" spans="1:14" ht="20.100000000000001" customHeight="1" x14ac:dyDescent="0.45">
      <c r="A85" s="31"/>
      <c r="B85" s="59" t="s">
        <v>111</v>
      </c>
      <c r="D85" s="142">
        <v>1</v>
      </c>
      <c r="E85" s="37" t="s">
        <v>25</v>
      </c>
      <c r="F85" s="34">
        <f t="shared" si="3"/>
        <v>0</v>
      </c>
      <c r="G85" s="34">
        <f t="shared" si="4"/>
        <v>0</v>
      </c>
      <c r="H85" s="44">
        <f>ROUND(IF(D85&lt;=0,0,6310),2)</f>
        <v>6310</v>
      </c>
      <c r="I85" s="35">
        <f t="shared" si="5"/>
        <v>6310</v>
      </c>
      <c r="J85" s="167" t="e">
        <f>IF(D85&gt;0,#REF!,0)</f>
        <v>#REF!</v>
      </c>
      <c r="K85" s="162" t="e">
        <f t="shared" si="6"/>
        <v>#REF!</v>
      </c>
      <c r="L85" s="162" t="e">
        <f t="shared" si="7"/>
        <v>#REF!</v>
      </c>
      <c r="M85" s="41"/>
      <c r="N85" s="32"/>
    </row>
    <row r="86" spans="1:14" ht="20.100000000000001" customHeight="1" x14ac:dyDescent="0.45">
      <c r="A86" s="31"/>
      <c r="B86" s="36" t="s">
        <v>155</v>
      </c>
      <c r="D86" s="142">
        <v>1</v>
      </c>
      <c r="E86" s="37" t="s">
        <v>25</v>
      </c>
      <c r="F86" s="34">
        <f t="shared" si="3"/>
        <v>0</v>
      </c>
      <c r="G86" s="34">
        <f t="shared" si="4"/>
        <v>0</v>
      </c>
      <c r="H86" s="44">
        <f>ROUND(IF(D86&lt;=0,0,2550),2)</f>
        <v>2550</v>
      </c>
      <c r="I86" s="35">
        <f t="shared" si="5"/>
        <v>2550</v>
      </c>
      <c r="J86" s="167" t="e">
        <f>IF(D86&gt;0,#REF!,0)</f>
        <v>#REF!</v>
      </c>
      <c r="K86" s="162" t="e">
        <f t="shared" si="6"/>
        <v>#REF!</v>
      </c>
      <c r="L86" s="162" t="e">
        <f t="shared" si="7"/>
        <v>#REF!</v>
      </c>
      <c r="M86" s="41"/>
      <c r="N86" s="32"/>
    </row>
    <row r="87" spans="1:14" ht="20.100000000000001" customHeight="1" x14ac:dyDescent="0.45">
      <c r="A87" s="31"/>
      <c r="B87" s="36" t="s">
        <v>156</v>
      </c>
      <c r="D87" s="142">
        <v>1</v>
      </c>
      <c r="E87" s="37" t="s">
        <v>25</v>
      </c>
      <c r="F87" s="34">
        <f>IF(D87&lt;=0,0,)</f>
        <v>0</v>
      </c>
      <c r="G87" s="34">
        <f>IF(D87&lt;=0,0,)</f>
        <v>0</v>
      </c>
      <c r="H87" s="44">
        <f>ROUND(IF(D87&lt;=0,0,2620),2)</f>
        <v>2620</v>
      </c>
      <c r="I87" s="35">
        <f>D87*H87</f>
        <v>2620</v>
      </c>
      <c r="J87" s="167" t="e">
        <f>IF(D87&gt;0,#REF!,0)</f>
        <v>#REF!</v>
      </c>
      <c r="K87" s="162" t="e">
        <f>ROUNDDOWN(H87*J87,2)</f>
        <v>#REF!</v>
      </c>
      <c r="L87" s="162" t="e">
        <f>D87*K87</f>
        <v>#REF!</v>
      </c>
      <c r="M87" s="41"/>
      <c r="N87" s="32"/>
    </row>
    <row r="88" spans="1:14" x14ac:dyDescent="0.45">
      <c r="A88" s="33"/>
      <c r="B88" s="59" t="s">
        <v>154</v>
      </c>
      <c r="D88" s="142">
        <v>1</v>
      </c>
      <c r="E88" s="37" t="s">
        <v>25</v>
      </c>
      <c r="F88" s="34">
        <f t="shared" si="3"/>
        <v>0</v>
      </c>
      <c r="G88" s="34">
        <f t="shared" si="4"/>
        <v>0</v>
      </c>
      <c r="H88" s="44">
        <f>ROUND(IF(D88&lt;=0,0,3620),2)</f>
        <v>3620</v>
      </c>
      <c r="I88" s="35">
        <f t="shared" si="5"/>
        <v>3620</v>
      </c>
      <c r="J88" s="167" t="e">
        <f>IF(D88&gt;0,#REF!,0)</f>
        <v>#REF!</v>
      </c>
      <c r="K88" s="162" t="e">
        <f t="shared" si="6"/>
        <v>#REF!</v>
      </c>
      <c r="L88" s="162" t="e">
        <f t="shared" si="7"/>
        <v>#REF!</v>
      </c>
      <c r="M88" s="41"/>
      <c r="N88" s="32"/>
    </row>
    <row r="89" spans="1:14" x14ac:dyDescent="0.45">
      <c r="A89" s="33"/>
      <c r="B89" s="59"/>
      <c r="D89" s="142"/>
      <c r="E89" s="37"/>
      <c r="F89" s="34"/>
      <c r="G89" s="34"/>
      <c r="H89" s="44"/>
      <c r="I89" s="35"/>
      <c r="J89" s="167"/>
      <c r="K89" s="162"/>
      <c r="L89" s="162"/>
      <c r="M89" s="41"/>
      <c r="N89" s="32"/>
    </row>
    <row r="90" spans="1:14" x14ac:dyDescent="0.45">
      <c r="A90" s="33"/>
      <c r="B90" s="59"/>
      <c r="D90" s="142"/>
      <c r="E90" s="37"/>
      <c r="F90" s="34"/>
      <c r="G90" s="34"/>
      <c r="H90" s="44"/>
      <c r="I90" s="35"/>
      <c r="J90" s="167"/>
      <c r="K90" s="162"/>
      <c r="L90" s="162"/>
      <c r="M90" s="41"/>
      <c r="N90" s="32"/>
    </row>
    <row r="91" spans="1:14" x14ac:dyDescent="0.45">
      <c r="A91" s="33"/>
      <c r="B91" s="59"/>
      <c r="D91" s="142"/>
      <c r="E91" s="37"/>
      <c r="F91" s="34"/>
      <c r="G91" s="34"/>
      <c r="H91" s="44"/>
      <c r="I91" s="35"/>
      <c r="J91" s="167"/>
      <c r="K91" s="162"/>
      <c r="L91" s="162"/>
      <c r="M91" s="41"/>
      <c r="N91" s="32"/>
    </row>
    <row r="92" spans="1:14" x14ac:dyDescent="0.45">
      <c r="A92" s="33"/>
      <c r="B92" s="59"/>
      <c r="D92" s="142"/>
      <c r="E92" s="37"/>
      <c r="F92" s="34"/>
      <c r="G92" s="34"/>
      <c r="H92" s="44"/>
      <c r="I92" s="35"/>
      <c r="J92" s="167"/>
      <c r="K92" s="162"/>
      <c r="L92" s="162"/>
      <c r="M92" s="41"/>
      <c r="N92" s="32"/>
    </row>
    <row r="93" spans="1:14" x14ac:dyDescent="0.45">
      <c r="A93" s="33"/>
      <c r="B93" s="59"/>
      <c r="D93" s="142"/>
      <c r="E93" s="37"/>
      <c r="F93" s="34"/>
      <c r="G93" s="34"/>
      <c r="H93" s="44"/>
      <c r="I93" s="35"/>
      <c r="J93" s="167"/>
      <c r="K93" s="162"/>
      <c r="L93" s="162"/>
      <c r="M93" s="41"/>
      <c r="N93" s="32"/>
    </row>
    <row r="94" spans="1:14" x14ac:dyDescent="0.45">
      <c r="A94" s="33"/>
      <c r="B94" s="59"/>
      <c r="D94" s="142"/>
      <c r="E94" s="37"/>
      <c r="F94" s="34"/>
      <c r="G94" s="34"/>
      <c r="H94" s="44"/>
      <c r="I94" s="35"/>
      <c r="J94" s="167"/>
      <c r="K94" s="162"/>
      <c r="L94" s="162"/>
      <c r="M94" s="41"/>
      <c r="N94" s="32"/>
    </row>
    <row r="95" spans="1:14" ht="20.100000000000001" customHeight="1" x14ac:dyDescent="0.45">
      <c r="A95" s="31"/>
      <c r="B95" s="59"/>
      <c r="D95" s="50"/>
      <c r="E95" s="37"/>
      <c r="F95" s="34"/>
      <c r="G95" s="34"/>
      <c r="H95" s="44"/>
      <c r="I95" s="35"/>
      <c r="J95" s="162"/>
      <c r="K95" s="162"/>
      <c r="L95" s="162"/>
      <c r="M95" s="41"/>
      <c r="N95" s="32"/>
    </row>
    <row r="96" spans="1:14" x14ac:dyDescent="0.45">
      <c r="A96" s="45"/>
      <c r="B96" s="46"/>
      <c r="C96" s="69" t="s">
        <v>57</v>
      </c>
      <c r="D96" s="47"/>
      <c r="E96" s="47"/>
      <c r="F96" s="47"/>
      <c r="G96" s="47"/>
      <c r="H96" s="47"/>
      <c r="I96" s="48" t="e">
        <f>SUM(I54:I95)</f>
        <v>#REF!</v>
      </c>
      <c r="J96" s="165"/>
      <c r="K96" s="165"/>
      <c r="L96" s="48" t="e">
        <f>SUM(L54:L95)</f>
        <v>#REF!</v>
      </c>
      <c r="M96" s="46"/>
      <c r="N96" s="115"/>
    </row>
    <row r="97" spans="1:14" ht="23.25" x14ac:dyDescent="0.5">
      <c r="A97" s="482" t="s">
        <v>39</v>
      </c>
      <c r="B97" s="482"/>
      <c r="C97" s="482"/>
      <c r="D97" s="482"/>
      <c r="E97" s="482"/>
      <c r="F97" s="482"/>
      <c r="G97" s="482"/>
      <c r="H97" s="482"/>
      <c r="I97" s="482"/>
      <c r="J97" s="482"/>
      <c r="K97" s="482"/>
      <c r="L97" s="482"/>
      <c r="M97" s="482"/>
    </row>
    <row r="98" spans="1:14" x14ac:dyDescent="0.45">
      <c r="B98" s="129" t="s">
        <v>27</v>
      </c>
      <c r="C98" s="19" t="e">
        <f>C2</f>
        <v>#REF!</v>
      </c>
      <c r="D98" s="18"/>
      <c r="G98" s="18" t="s">
        <v>6</v>
      </c>
      <c r="I98" s="17" t="e">
        <f>$I$2</f>
        <v>#REF!</v>
      </c>
    </row>
    <row r="99" spans="1:14" x14ac:dyDescent="0.45">
      <c r="B99" s="129" t="s">
        <v>28</v>
      </c>
      <c r="C99" s="19" t="e">
        <f>C3</f>
        <v>#REF!</v>
      </c>
      <c r="G99" s="18" t="s">
        <v>127</v>
      </c>
      <c r="I99" s="143" t="e">
        <f>$I$3</f>
        <v>#REF!</v>
      </c>
      <c r="J99" s="19" t="s">
        <v>29</v>
      </c>
      <c r="K99" s="19"/>
      <c r="L99" s="19"/>
    </row>
    <row r="100" spans="1:14" x14ac:dyDescent="0.45">
      <c r="A100" s="20" t="s">
        <v>0</v>
      </c>
      <c r="B100" s="21"/>
      <c r="C100" s="22" t="s">
        <v>30</v>
      </c>
      <c r="D100" s="20" t="s">
        <v>7</v>
      </c>
      <c r="E100" s="20" t="s">
        <v>8</v>
      </c>
      <c r="F100" s="473" t="s">
        <v>9</v>
      </c>
      <c r="G100" s="481"/>
      <c r="H100" s="474"/>
      <c r="I100" s="20" t="s">
        <v>10</v>
      </c>
      <c r="J100" s="472" t="s">
        <v>2</v>
      </c>
      <c r="K100" s="473" t="s">
        <v>145</v>
      </c>
      <c r="L100" s="474"/>
      <c r="M100" s="479" t="s">
        <v>5</v>
      </c>
      <c r="N100" s="480"/>
    </row>
    <row r="101" spans="1:14" x14ac:dyDescent="0.45">
      <c r="A101" s="23"/>
      <c r="B101" s="24"/>
      <c r="C101" s="25"/>
      <c r="D101" s="23"/>
      <c r="E101" s="23"/>
      <c r="F101" s="26" t="s">
        <v>11</v>
      </c>
      <c r="G101" s="26" t="s">
        <v>12</v>
      </c>
      <c r="H101" s="26" t="s">
        <v>13</v>
      </c>
      <c r="I101" s="23" t="s">
        <v>14</v>
      </c>
      <c r="J101" s="472"/>
      <c r="K101" s="166" t="s">
        <v>146</v>
      </c>
      <c r="L101" s="26" t="s">
        <v>13</v>
      </c>
      <c r="M101" s="24"/>
      <c r="N101" s="105"/>
    </row>
    <row r="102" spans="1:14" x14ac:dyDescent="0.45">
      <c r="A102" s="33"/>
      <c r="B102" s="49"/>
      <c r="C102" s="68" t="s">
        <v>58</v>
      </c>
      <c r="D102" s="33"/>
      <c r="E102" s="33"/>
      <c r="F102" s="33"/>
      <c r="G102" s="33"/>
      <c r="H102" s="33"/>
      <c r="I102" s="128" t="e">
        <f>I96</f>
        <v>#REF!</v>
      </c>
      <c r="J102" s="164"/>
      <c r="K102" s="164"/>
      <c r="L102" s="128" t="e">
        <f>L96</f>
        <v>#REF!</v>
      </c>
      <c r="M102" s="21"/>
      <c r="N102" s="62"/>
    </row>
    <row r="103" spans="1:14" x14ac:dyDescent="0.45">
      <c r="A103" s="31"/>
      <c r="B103" s="59" t="s">
        <v>161</v>
      </c>
      <c r="D103" s="142">
        <v>1</v>
      </c>
      <c r="E103" s="37" t="s">
        <v>25</v>
      </c>
      <c r="F103" s="34">
        <f>IF(D103&lt;=0,0,)</f>
        <v>0</v>
      </c>
      <c r="G103" s="34">
        <f>IF(D103&lt;=0,0,)</f>
        <v>0</v>
      </c>
      <c r="H103" s="44">
        <f>ROUND(IF(D103&lt;=0,0,5180),2)</f>
        <v>5180</v>
      </c>
      <c r="I103" s="35">
        <f t="shared" ref="I103:I118" si="8">D103*H103</f>
        <v>5180</v>
      </c>
      <c r="J103" s="167" t="e">
        <f>IF(D103&gt;0,#REF!,0)</f>
        <v>#REF!</v>
      </c>
      <c r="K103" s="162" t="e">
        <f t="shared" ref="K103:K118" si="9">ROUNDDOWN(H103*J103,2)</f>
        <v>#REF!</v>
      </c>
      <c r="L103" s="162" t="e">
        <f t="shared" ref="L103:L118" si="10">D103*K103</f>
        <v>#REF!</v>
      </c>
      <c r="M103" s="41"/>
      <c r="N103" s="32"/>
    </row>
    <row r="104" spans="1:14" ht="20.100000000000001" customHeight="1" x14ac:dyDescent="0.45">
      <c r="A104" s="31"/>
      <c r="B104" s="59" t="s">
        <v>123</v>
      </c>
      <c r="D104" s="142">
        <v>0</v>
      </c>
      <c r="E104" s="37" t="s">
        <v>25</v>
      </c>
      <c r="F104" s="34">
        <f>IF(D104&lt;=0,0,)</f>
        <v>0</v>
      </c>
      <c r="G104" s="34">
        <f>IF(D104&lt;=0,0,)</f>
        <v>0</v>
      </c>
      <c r="H104" s="44">
        <f>ROUND(IF(D104&lt;=0,0,),2)</f>
        <v>0</v>
      </c>
      <c r="I104" s="35">
        <f t="shared" si="8"/>
        <v>0</v>
      </c>
      <c r="J104" s="167">
        <f>IF(D104&gt;0,#REF!,0)</f>
        <v>0</v>
      </c>
      <c r="K104" s="162">
        <f t="shared" si="9"/>
        <v>0</v>
      </c>
      <c r="L104" s="162">
        <f t="shared" si="10"/>
        <v>0</v>
      </c>
      <c r="M104" s="41"/>
      <c r="N104" s="32"/>
    </row>
    <row r="105" spans="1:14" ht="20.100000000000001" customHeight="1" x14ac:dyDescent="0.45">
      <c r="A105" s="31"/>
      <c r="B105" s="59" t="s">
        <v>124</v>
      </c>
      <c r="D105" s="142">
        <v>0</v>
      </c>
      <c r="E105" s="37" t="s">
        <v>25</v>
      </c>
      <c r="F105" s="34">
        <f>IF(D105&lt;=0,0,)</f>
        <v>0</v>
      </c>
      <c r="G105" s="34">
        <f>IF(D105&lt;=0,0,)</f>
        <v>0</v>
      </c>
      <c r="H105" s="44">
        <f>ROUND(IF(D105&lt;=0,0,),2)</f>
        <v>0</v>
      </c>
      <c r="I105" s="35">
        <f t="shared" si="8"/>
        <v>0</v>
      </c>
      <c r="J105" s="167">
        <f>IF(D105&gt;0,#REF!,0)</f>
        <v>0</v>
      </c>
      <c r="K105" s="162">
        <f t="shared" si="9"/>
        <v>0</v>
      </c>
      <c r="L105" s="162">
        <f t="shared" si="10"/>
        <v>0</v>
      </c>
      <c r="M105" s="41"/>
      <c r="N105" s="32"/>
    </row>
    <row r="106" spans="1:14" ht="20.100000000000001" customHeight="1" x14ac:dyDescent="0.45">
      <c r="A106" s="31"/>
      <c r="B106" s="59" t="s">
        <v>125</v>
      </c>
      <c r="D106" s="142">
        <v>0</v>
      </c>
      <c r="E106" s="37" t="s">
        <v>25</v>
      </c>
      <c r="F106" s="34">
        <f>IF(D106&lt;=0,0,)</f>
        <v>0</v>
      </c>
      <c r="G106" s="34">
        <f>IF(D106&lt;=0,0,)</f>
        <v>0</v>
      </c>
      <c r="H106" s="44">
        <f>ROUND(IF(D106&lt;=0,0,),2)</f>
        <v>0</v>
      </c>
      <c r="I106" s="35">
        <f t="shared" si="8"/>
        <v>0</v>
      </c>
      <c r="J106" s="167">
        <f>IF(D106&gt;0,#REF!,0)</f>
        <v>0</v>
      </c>
      <c r="K106" s="162">
        <f t="shared" si="9"/>
        <v>0</v>
      </c>
      <c r="L106" s="162">
        <f t="shared" si="10"/>
        <v>0</v>
      </c>
      <c r="M106" s="41"/>
      <c r="N106" s="32"/>
    </row>
    <row r="107" spans="1:14" ht="20.100000000000001" customHeight="1" x14ac:dyDescent="0.45">
      <c r="A107" s="31"/>
      <c r="B107" s="59" t="s">
        <v>162</v>
      </c>
      <c r="D107" s="142">
        <v>0</v>
      </c>
      <c r="E107" s="37" t="s">
        <v>25</v>
      </c>
      <c r="F107" s="34">
        <f>IF(D107&lt;=0,0,)</f>
        <v>0</v>
      </c>
      <c r="G107" s="34">
        <f>IF(D107&lt;=0,0,)</f>
        <v>0</v>
      </c>
      <c r="H107" s="44">
        <f>ROUND(IF(D107&lt;=0,0,),2)</f>
        <v>0</v>
      </c>
      <c r="I107" s="35">
        <f t="shared" si="8"/>
        <v>0</v>
      </c>
      <c r="J107" s="167">
        <f>IF(D107&gt;0,#REF!,0)</f>
        <v>0</v>
      </c>
      <c r="K107" s="162">
        <f t="shared" si="9"/>
        <v>0</v>
      </c>
      <c r="L107" s="162">
        <f t="shared" si="10"/>
        <v>0</v>
      </c>
      <c r="M107" s="41"/>
      <c r="N107" s="32"/>
    </row>
    <row r="108" spans="1:14" x14ac:dyDescent="0.45">
      <c r="A108" s="31"/>
      <c r="B108" s="59" t="s">
        <v>163</v>
      </c>
      <c r="D108" s="142">
        <v>1</v>
      </c>
      <c r="E108" s="66" t="s">
        <v>26</v>
      </c>
      <c r="F108" s="34">
        <f t="shared" ref="F108:F118" si="11">IF(D108&lt;=0,0,)</f>
        <v>0</v>
      </c>
      <c r="G108" s="34">
        <f t="shared" ref="G108:G118" si="12">IF(D108&lt;=0,0,)</f>
        <v>0</v>
      </c>
      <c r="H108" s="44">
        <f>ROUND(IF(D108&lt;=0,0,560),2)</f>
        <v>560</v>
      </c>
      <c r="I108" s="35">
        <f t="shared" si="8"/>
        <v>560</v>
      </c>
      <c r="J108" s="167" t="e">
        <f>IF(D108&gt;0,#REF!,0)</f>
        <v>#REF!</v>
      </c>
      <c r="K108" s="162" t="e">
        <f t="shared" si="9"/>
        <v>#REF!</v>
      </c>
      <c r="L108" s="162" t="e">
        <f t="shared" si="10"/>
        <v>#REF!</v>
      </c>
      <c r="M108" s="41"/>
      <c r="N108" s="32"/>
    </row>
    <row r="109" spans="1:14" x14ac:dyDescent="0.45">
      <c r="A109" s="31"/>
      <c r="B109" s="59" t="s">
        <v>164</v>
      </c>
      <c r="D109" s="142">
        <v>1</v>
      </c>
      <c r="E109" s="66" t="s">
        <v>26</v>
      </c>
      <c r="F109" s="34">
        <f t="shared" si="11"/>
        <v>0</v>
      </c>
      <c r="G109" s="34">
        <f t="shared" si="12"/>
        <v>0</v>
      </c>
      <c r="H109" s="44">
        <f>ROUND(IF(D109&lt;=0,0,1690),2)</f>
        <v>1690</v>
      </c>
      <c r="I109" s="35">
        <f t="shared" si="8"/>
        <v>1690</v>
      </c>
      <c r="J109" s="167" t="e">
        <f>IF(D109&gt;0,#REF!,0)</f>
        <v>#REF!</v>
      </c>
      <c r="K109" s="162" t="e">
        <f t="shared" si="9"/>
        <v>#REF!</v>
      </c>
      <c r="L109" s="162" t="e">
        <f t="shared" si="10"/>
        <v>#REF!</v>
      </c>
      <c r="M109" s="41"/>
      <c r="N109" s="32"/>
    </row>
    <row r="110" spans="1:14" x14ac:dyDescent="0.45">
      <c r="A110" s="31"/>
      <c r="B110" s="59" t="s">
        <v>165</v>
      </c>
      <c r="D110" s="142">
        <v>1</v>
      </c>
      <c r="E110" s="66" t="s">
        <v>26</v>
      </c>
      <c r="F110" s="34">
        <f t="shared" si="11"/>
        <v>0</v>
      </c>
      <c r="G110" s="34">
        <f t="shared" si="12"/>
        <v>0</v>
      </c>
      <c r="H110" s="44">
        <f>ROUND(IF(D110&lt;=0,0,280),2)</f>
        <v>280</v>
      </c>
      <c r="I110" s="35">
        <f t="shared" si="8"/>
        <v>280</v>
      </c>
      <c r="J110" s="167" t="e">
        <f>IF(D110&gt;0,#REF!,0)</f>
        <v>#REF!</v>
      </c>
      <c r="K110" s="162" t="e">
        <f t="shared" si="9"/>
        <v>#REF!</v>
      </c>
      <c r="L110" s="162" t="e">
        <f t="shared" si="10"/>
        <v>#REF!</v>
      </c>
      <c r="M110" s="41"/>
      <c r="N110" s="32"/>
    </row>
    <row r="111" spans="1:14" x14ac:dyDescent="0.45">
      <c r="A111" s="31"/>
      <c r="B111" s="59" t="s">
        <v>166</v>
      </c>
      <c r="D111" s="142">
        <v>1</v>
      </c>
      <c r="E111" s="66" t="s">
        <v>26</v>
      </c>
      <c r="F111" s="34">
        <f t="shared" si="11"/>
        <v>0</v>
      </c>
      <c r="G111" s="34">
        <f t="shared" si="12"/>
        <v>0</v>
      </c>
      <c r="H111" s="44">
        <f>ROUND(IF(D111&lt;=0,0,90),2)</f>
        <v>90</v>
      </c>
      <c r="I111" s="35">
        <f t="shared" si="8"/>
        <v>90</v>
      </c>
      <c r="J111" s="167" t="e">
        <f>IF(D111&gt;0,#REF!,0)</f>
        <v>#REF!</v>
      </c>
      <c r="K111" s="162" t="e">
        <f t="shared" si="9"/>
        <v>#REF!</v>
      </c>
      <c r="L111" s="162" t="e">
        <f t="shared" si="10"/>
        <v>#REF!</v>
      </c>
      <c r="M111" s="41"/>
      <c r="N111" s="32"/>
    </row>
    <row r="112" spans="1:14" x14ac:dyDescent="0.45">
      <c r="A112" s="31"/>
      <c r="B112" s="59" t="s">
        <v>167</v>
      </c>
      <c r="D112" s="142">
        <v>1</v>
      </c>
      <c r="E112" s="66" t="s">
        <v>36</v>
      </c>
      <c r="F112" s="34">
        <f t="shared" si="11"/>
        <v>0</v>
      </c>
      <c r="G112" s="34">
        <f t="shared" si="12"/>
        <v>0</v>
      </c>
      <c r="H112" s="44">
        <f>ROUND(IF(D112&lt;=0,0,1780),2)</f>
        <v>1780</v>
      </c>
      <c r="I112" s="35">
        <f t="shared" si="8"/>
        <v>1780</v>
      </c>
      <c r="J112" s="167" t="e">
        <f>IF(D112&gt;0,#REF!,0)</f>
        <v>#REF!</v>
      </c>
      <c r="K112" s="162" t="e">
        <f t="shared" si="9"/>
        <v>#REF!</v>
      </c>
      <c r="L112" s="162" t="e">
        <f t="shared" si="10"/>
        <v>#REF!</v>
      </c>
      <c r="M112" s="41"/>
      <c r="N112" s="32"/>
    </row>
    <row r="113" spans="1:15" x14ac:dyDescent="0.45">
      <c r="A113" s="31"/>
      <c r="B113" s="59" t="s">
        <v>168</v>
      </c>
      <c r="D113" s="142">
        <v>1</v>
      </c>
      <c r="E113" s="66" t="s">
        <v>36</v>
      </c>
      <c r="F113" s="34">
        <f t="shared" si="11"/>
        <v>0</v>
      </c>
      <c r="G113" s="34">
        <f t="shared" si="12"/>
        <v>0</v>
      </c>
      <c r="H113" s="44">
        <f>ROUND(IF(D113&lt;=0,0,1400),2)</f>
        <v>1400</v>
      </c>
      <c r="I113" s="35">
        <f t="shared" si="8"/>
        <v>1400</v>
      </c>
      <c r="J113" s="167" t="e">
        <f>IF(D113&gt;0,#REF!,0)</f>
        <v>#REF!</v>
      </c>
      <c r="K113" s="162" t="e">
        <f t="shared" si="9"/>
        <v>#REF!</v>
      </c>
      <c r="L113" s="162" t="e">
        <f t="shared" si="10"/>
        <v>#REF!</v>
      </c>
      <c r="M113" s="41"/>
      <c r="N113" s="32"/>
    </row>
    <row r="114" spans="1:15" x14ac:dyDescent="0.45">
      <c r="A114" s="31"/>
      <c r="B114" s="59" t="s">
        <v>169</v>
      </c>
      <c r="D114" s="142">
        <v>1</v>
      </c>
      <c r="E114" s="66" t="s">
        <v>45</v>
      </c>
      <c r="F114" s="34">
        <f t="shared" si="11"/>
        <v>0</v>
      </c>
      <c r="G114" s="34">
        <f t="shared" si="12"/>
        <v>0</v>
      </c>
      <c r="H114" s="44">
        <f>ROUND(IF(D114&lt;=0,0,8000),2)</f>
        <v>8000</v>
      </c>
      <c r="I114" s="35">
        <f t="shared" si="8"/>
        <v>8000</v>
      </c>
      <c r="J114" s="167" t="e">
        <f>IF(D114&gt;0,#REF!,0)</f>
        <v>#REF!</v>
      </c>
      <c r="K114" s="162" t="e">
        <f t="shared" si="9"/>
        <v>#REF!</v>
      </c>
      <c r="L114" s="162" t="e">
        <f t="shared" si="10"/>
        <v>#REF!</v>
      </c>
      <c r="M114" s="41"/>
      <c r="N114" s="32"/>
    </row>
    <row r="115" spans="1:15" x14ac:dyDescent="0.45">
      <c r="A115" s="31"/>
      <c r="B115" s="59" t="s">
        <v>170</v>
      </c>
      <c r="D115" s="142">
        <v>1</v>
      </c>
      <c r="E115" s="66" t="s">
        <v>52</v>
      </c>
      <c r="F115" s="34">
        <f t="shared" si="11"/>
        <v>0</v>
      </c>
      <c r="G115" s="34">
        <f t="shared" si="12"/>
        <v>0</v>
      </c>
      <c r="H115" s="44">
        <f>ROUND(IF(D115&lt;=0,0,215),2)</f>
        <v>215</v>
      </c>
      <c r="I115" s="35">
        <f t="shared" si="8"/>
        <v>215</v>
      </c>
      <c r="J115" s="167" t="e">
        <f>IF(D115&gt;0,#REF!,0)</f>
        <v>#REF!</v>
      </c>
      <c r="K115" s="162" t="e">
        <f t="shared" si="9"/>
        <v>#REF!</v>
      </c>
      <c r="L115" s="162" t="e">
        <f t="shared" si="10"/>
        <v>#REF!</v>
      </c>
      <c r="M115" s="41"/>
      <c r="N115" s="32"/>
      <c r="O115" s="70"/>
    </row>
    <row r="116" spans="1:15" x14ac:dyDescent="0.45">
      <c r="A116" s="31"/>
      <c r="B116" s="59" t="s">
        <v>171</v>
      </c>
      <c r="D116" s="142">
        <v>1</v>
      </c>
      <c r="E116" s="66" t="s">
        <v>45</v>
      </c>
      <c r="F116" s="34">
        <f t="shared" si="11"/>
        <v>0</v>
      </c>
      <c r="G116" s="34">
        <f t="shared" si="12"/>
        <v>0</v>
      </c>
      <c r="H116" s="44">
        <f>ROUND(IF(D116&lt;=0,0,13270),2)</f>
        <v>13270</v>
      </c>
      <c r="I116" s="35">
        <f t="shared" si="8"/>
        <v>13270</v>
      </c>
      <c r="J116" s="167" t="e">
        <f>IF(D116&gt;0,#REF!,0)</f>
        <v>#REF!</v>
      </c>
      <c r="K116" s="162" t="e">
        <f t="shared" si="9"/>
        <v>#REF!</v>
      </c>
      <c r="L116" s="162" t="e">
        <f t="shared" si="10"/>
        <v>#REF!</v>
      </c>
      <c r="M116" s="41"/>
      <c r="N116" s="32"/>
    </row>
    <row r="117" spans="1:15" x14ac:dyDescent="0.45">
      <c r="A117" s="31"/>
      <c r="B117" s="59" t="s">
        <v>172</v>
      </c>
      <c r="D117" s="142">
        <v>1</v>
      </c>
      <c r="E117" s="66" t="s">
        <v>45</v>
      </c>
      <c r="F117" s="34">
        <f t="shared" si="11"/>
        <v>0</v>
      </c>
      <c r="G117" s="34">
        <f t="shared" si="12"/>
        <v>0</v>
      </c>
      <c r="H117" s="44">
        <f>ROUND(IF(D117&lt;=0,0,5000),2)</f>
        <v>5000</v>
      </c>
      <c r="I117" s="35">
        <f t="shared" si="8"/>
        <v>5000</v>
      </c>
      <c r="J117" s="167" t="e">
        <f>IF(D117&gt;0,#REF!,0)</f>
        <v>#REF!</v>
      </c>
      <c r="K117" s="162" t="e">
        <f t="shared" si="9"/>
        <v>#REF!</v>
      </c>
      <c r="L117" s="162" t="e">
        <f t="shared" si="10"/>
        <v>#REF!</v>
      </c>
      <c r="M117" s="41"/>
      <c r="N117" s="32"/>
    </row>
    <row r="118" spans="1:15" x14ac:dyDescent="0.45">
      <c r="A118" s="31"/>
      <c r="B118" s="475" t="s">
        <v>173</v>
      </c>
      <c r="C118" s="476"/>
      <c r="D118" s="142">
        <v>1</v>
      </c>
      <c r="E118" s="66" t="s">
        <v>36</v>
      </c>
      <c r="F118" s="34">
        <f t="shared" si="11"/>
        <v>0</v>
      </c>
      <c r="G118" s="34">
        <f t="shared" si="12"/>
        <v>0</v>
      </c>
      <c r="H118" s="44">
        <f>ROUND(IF(D118&lt;=0,0,810),2)</f>
        <v>810</v>
      </c>
      <c r="I118" s="35">
        <f t="shared" si="8"/>
        <v>810</v>
      </c>
      <c r="J118" s="167" t="e">
        <f>IF(D118&gt;0,#REF!,0)</f>
        <v>#REF!</v>
      </c>
      <c r="K118" s="162" t="e">
        <f t="shared" si="9"/>
        <v>#REF!</v>
      </c>
      <c r="L118" s="162" t="e">
        <f t="shared" si="10"/>
        <v>#REF!</v>
      </c>
      <c r="M118" s="41"/>
      <c r="N118" s="32"/>
    </row>
    <row r="119" spans="1:15" x14ac:dyDescent="0.45">
      <c r="A119" s="31"/>
      <c r="B119" s="59" t="s">
        <v>174</v>
      </c>
      <c r="D119" s="142">
        <v>1</v>
      </c>
      <c r="E119" s="66" t="s">
        <v>25</v>
      </c>
      <c r="F119" s="34">
        <f>IF(D119&lt;=0,0,)</f>
        <v>0</v>
      </c>
      <c r="G119" s="34">
        <f>IF(D119&lt;=0,0,)</f>
        <v>0</v>
      </c>
      <c r="H119" s="44">
        <f>ROUND(IF(D119&lt;=0,0,10737),2)</f>
        <v>10737</v>
      </c>
      <c r="I119" s="35">
        <f>D119*H119</f>
        <v>10737</v>
      </c>
      <c r="J119" s="167">
        <v>1.07</v>
      </c>
      <c r="K119" s="162">
        <f>ROUNDDOWN(H119*J119,2)</f>
        <v>11488.59</v>
      </c>
      <c r="L119" s="162">
        <f>D119*K119</f>
        <v>11488.59</v>
      </c>
      <c r="M119" s="41" t="s">
        <v>158</v>
      </c>
      <c r="N119" s="32"/>
    </row>
    <row r="120" spans="1:15" x14ac:dyDescent="0.45">
      <c r="A120" s="31"/>
      <c r="B120" s="59"/>
      <c r="C120" s="59"/>
      <c r="D120" s="50"/>
      <c r="E120" s="66"/>
      <c r="F120" s="34"/>
      <c r="G120" s="34"/>
      <c r="H120" s="44"/>
      <c r="I120" s="35"/>
      <c r="J120" s="162"/>
      <c r="K120" s="162"/>
      <c r="L120" s="162"/>
      <c r="M120" s="41"/>
      <c r="N120" s="32"/>
    </row>
    <row r="121" spans="1:15" x14ac:dyDescent="0.45">
      <c r="A121" s="31"/>
      <c r="B121" s="59"/>
      <c r="C121" s="59"/>
      <c r="D121" s="50"/>
      <c r="E121" s="66"/>
      <c r="F121" s="34"/>
      <c r="G121" s="34"/>
      <c r="H121" s="44"/>
      <c r="I121" s="35"/>
      <c r="J121" s="162"/>
      <c r="K121" s="162"/>
      <c r="L121" s="162"/>
      <c r="M121" s="41"/>
      <c r="N121" s="32"/>
    </row>
    <row r="122" spans="1:15" x14ac:dyDescent="0.45">
      <c r="A122" s="31"/>
      <c r="B122" s="59"/>
      <c r="C122" s="59"/>
      <c r="D122" s="50"/>
      <c r="E122" s="66"/>
      <c r="F122" s="34"/>
      <c r="G122" s="34"/>
      <c r="H122" s="44"/>
      <c r="I122" s="35"/>
      <c r="J122" s="162"/>
      <c r="K122" s="162"/>
      <c r="L122" s="162"/>
      <c r="M122" s="41"/>
      <c r="N122" s="32"/>
    </row>
    <row r="123" spans="1:15" x14ac:dyDescent="0.45">
      <c r="A123" s="31"/>
      <c r="B123" s="59"/>
      <c r="C123" s="59"/>
      <c r="D123" s="50"/>
      <c r="E123" s="66"/>
      <c r="F123" s="34"/>
      <c r="G123" s="34"/>
      <c r="H123" s="44"/>
      <c r="I123" s="35"/>
      <c r="J123" s="162"/>
      <c r="K123" s="162"/>
      <c r="L123" s="162"/>
      <c r="M123" s="41"/>
      <c r="N123" s="32"/>
    </row>
    <row r="124" spans="1:15" x14ac:dyDescent="0.45">
      <c r="A124" s="31"/>
      <c r="B124" s="59"/>
      <c r="C124" s="59"/>
      <c r="D124" s="50"/>
      <c r="E124" s="66"/>
      <c r="F124" s="34"/>
      <c r="G124" s="34"/>
      <c r="H124" s="44"/>
      <c r="I124" s="35"/>
      <c r="J124" s="162"/>
      <c r="K124" s="162"/>
      <c r="L124" s="162"/>
      <c r="M124" s="41"/>
      <c r="N124" s="32"/>
    </row>
    <row r="125" spans="1:15" x14ac:dyDescent="0.45">
      <c r="A125" s="31"/>
      <c r="B125" s="59"/>
      <c r="C125" s="59"/>
      <c r="D125" s="50"/>
      <c r="E125" s="66"/>
      <c r="F125" s="34"/>
      <c r="G125" s="34"/>
      <c r="H125" s="44"/>
      <c r="I125" s="35"/>
      <c r="J125" s="162"/>
      <c r="K125" s="162"/>
      <c r="L125" s="162"/>
      <c r="M125" s="41"/>
      <c r="N125" s="32"/>
    </row>
    <row r="126" spans="1:15" x14ac:dyDescent="0.45">
      <c r="A126" s="31"/>
      <c r="B126" s="59"/>
      <c r="C126" s="59"/>
      <c r="D126" s="50"/>
      <c r="E126" s="66"/>
      <c r="F126" s="34"/>
      <c r="G126" s="34"/>
      <c r="H126" s="44"/>
      <c r="I126" s="35"/>
      <c r="J126" s="162"/>
      <c r="K126" s="162"/>
      <c r="L126" s="162"/>
      <c r="M126" s="41"/>
      <c r="N126" s="32"/>
    </row>
    <row r="127" spans="1:15" x14ac:dyDescent="0.45">
      <c r="A127" s="31"/>
      <c r="B127" s="59"/>
      <c r="C127" s="59"/>
      <c r="D127" s="50"/>
      <c r="E127" s="66"/>
      <c r="F127" s="34"/>
      <c r="G127" s="34"/>
      <c r="H127" s="44"/>
      <c r="I127" s="35"/>
      <c r="J127" s="162"/>
      <c r="K127" s="162"/>
      <c r="L127" s="162"/>
      <c r="M127" s="41"/>
      <c r="N127" s="32"/>
    </row>
    <row r="128" spans="1:15" x14ac:dyDescent="0.45">
      <c r="A128" s="31"/>
      <c r="B128" s="59"/>
      <c r="D128" s="40"/>
      <c r="E128" s="37"/>
      <c r="F128" s="34"/>
      <c r="G128" s="34"/>
      <c r="H128" s="35"/>
      <c r="I128" s="35"/>
      <c r="J128" s="162"/>
      <c r="K128" s="162"/>
      <c r="L128" s="162"/>
      <c r="M128" s="41"/>
      <c r="N128" s="32"/>
    </row>
    <row r="129" spans="1:14" x14ac:dyDescent="0.45">
      <c r="A129" s="31"/>
      <c r="B129" s="36"/>
      <c r="D129" s="40"/>
      <c r="E129" s="37"/>
      <c r="F129" s="34"/>
      <c r="G129" s="34"/>
      <c r="H129" s="35"/>
      <c r="I129" s="35"/>
      <c r="J129" s="162"/>
      <c r="K129" s="162"/>
      <c r="L129" s="162"/>
      <c r="M129" s="41"/>
      <c r="N129" s="32"/>
    </row>
    <row r="130" spans="1:14" x14ac:dyDescent="0.45">
      <c r="A130" s="31"/>
      <c r="B130" s="51"/>
      <c r="C130" s="52"/>
      <c r="D130" s="53"/>
      <c r="E130" s="45"/>
      <c r="F130" s="54"/>
      <c r="G130" s="54"/>
      <c r="H130" s="35"/>
      <c r="I130" s="35"/>
      <c r="J130" s="162"/>
      <c r="K130" s="162"/>
      <c r="L130" s="162"/>
      <c r="M130" s="51"/>
      <c r="N130" s="105"/>
    </row>
    <row r="131" spans="1:14" x14ac:dyDescent="0.45">
      <c r="A131" s="45"/>
      <c r="B131" s="51"/>
      <c r="C131" s="58" t="s">
        <v>13</v>
      </c>
      <c r="D131" s="45"/>
      <c r="E131" s="45"/>
      <c r="F131" s="45"/>
      <c r="G131" s="45"/>
      <c r="H131" s="47"/>
      <c r="I131" s="48" t="e">
        <f>SUM(I102:I130)</f>
        <v>#REF!</v>
      </c>
      <c r="J131" s="165"/>
      <c r="K131" s="165"/>
      <c r="L131" s="48" t="e">
        <f>SUM(L102:L130)</f>
        <v>#REF!</v>
      </c>
      <c r="M131" s="46"/>
      <c r="N131" s="115"/>
    </row>
    <row r="132" spans="1:14" hidden="1" x14ac:dyDescent="0.45">
      <c r="C132" s="126"/>
      <c r="I132" s="170" t="e">
        <f>SUM(I102:I118)</f>
        <v>#REF!</v>
      </c>
      <c r="J132" s="127"/>
      <c r="K132" s="127"/>
      <c r="L132" s="127"/>
    </row>
    <row r="133" spans="1:14" x14ac:dyDescent="0.45">
      <c r="C133" s="126"/>
      <c r="I133" s="127"/>
      <c r="J133" s="127"/>
      <c r="K133" s="127"/>
      <c r="L133" s="127"/>
    </row>
    <row r="135" spans="1:14" x14ac:dyDescent="0.45">
      <c r="C135" s="55" t="s">
        <v>136</v>
      </c>
      <c r="D135" s="55"/>
      <c r="E135" s="64"/>
      <c r="I135" s="55"/>
      <c r="J135" s="55" t="s">
        <v>137</v>
      </c>
      <c r="K135" s="55"/>
      <c r="L135" s="55"/>
    </row>
    <row r="136" spans="1:14" x14ac:dyDescent="0.45">
      <c r="C136" s="156" t="e">
        <f>CONCATENATE("( ",#REF!," )"," ",#REF!)</f>
        <v>#REF!</v>
      </c>
      <c r="E136" s="55"/>
      <c r="I136" s="55"/>
      <c r="J136" s="65"/>
      <c r="K136" s="155" t="e">
        <f>CONCATENATE("( ",#REF!," )"," ",#REF!)</f>
        <v>#REF!</v>
      </c>
      <c r="L136" s="55"/>
    </row>
    <row r="137" spans="1:14" x14ac:dyDescent="0.45">
      <c r="F137" s="65"/>
      <c r="G137" s="67"/>
      <c r="H137" s="55"/>
      <c r="I137" s="55"/>
      <c r="J137" s="55"/>
      <c r="K137" s="55"/>
      <c r="L137" s="55"/>
    </row>
  </sheetData>
  <mergeCells count="30">
    <mergeCell ref="A1:M1"/>
    <mergeCell ref="A49:M49"/>
    <mergeCell ref="J4:J5"/>
    <mergeCell ref="K4:L4"/>
    <mergeCell ref="F4:H4"/>
    <mergeCell ref="B20:C20"/>
    <mergeCell ref="M67:N67"/>
    <mergeCell ref="M4:N4"/>
    <mergeCell ref="M52:N52"/>
    <mergeCell ref="B11:C11"/>
    <mergeCell ref="M77:N77"/>
    <mergeCell ref="M70:N70"/>
    <mergeCell ref="M33:N33"/>
    <mergeCell ref="M62:N62"/>
    <mergeCell ref="M63:N63"/>
    <mergeCell ref="M68:N68"/>
    <mergeCell ref="M69:N69"/>
    <mergeCell ref="F52:H52"/>
    <mergeCell ref="J52:J53"/>
    <mergeCell ref="K52:L52"/>
    <mergeCell ref="J100:J101"/>
    <mergeCell ref="K100:L100"/>
    <mergeCell ref="B118:C118"/>
    <mergeCell ref="M71:N71"/>
    <mergeCell ref="M72:N72"/>
    <mergeCell ref="M73:N73"/>
    <mergeCell ref="M74:N74"/>
    <mergeCell ref="M100:N100"/>
    <mergeCell ref="F100:H100"/>
    <mergeCell ref="A97:M97"/>
  </mergeCells>
  <phoneticPr fontId="0" type="noConversion"/>
  <printOptions horizontalCentered="1"/>
  <pageMargins left="0.15748031496062992" right="0.15748031496062992" top="0.43307086614173229" bottom="0.39370078740157483" header="0" footer="0"/>
  <pageSetup paperSize="9" scale="85" orientation="portrait" blackAndWhite="1" horizontalDpi="360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6"/>
  <sheetViews>
    <sheetView workbookViewId="0">
      <selection activeCell="M37" sqref="M37:N37"/>
    </sheetView>
  </sheetViews>
  <sheetFormatPr defaultColWidth="9.140625" defaultRowHeight="21" x14ac:dyDescent="0.45"/>
  <cols>
    <col min="1" max="1" width="4" style="17" customWidth="1"/>
    <col min="2" max="2" width="11.7109375" style="17" customWidth="1"/>
    <col min="3" max="3" width="7.85546875" style="17" customWidth="1"/>
    <col min="4" max="4" width="6.5703125" style="17" customWidth="1"/>
    <col min="5" max="5" width="6.85546875" style="17" customWidth="1"/>
    <col min="6" max="6" width="9" style="17" customWidth="1"/>
    <col min="7" max="7" width="7.7109375" style="17" customWidth="1"/>
    <col min="8" max="8" width="9.140625" style="17"/>
    <col min="9" max="9" width="14.140625" style="56" customWidth="1"/>
    <col min="10" max="10" width="6.28515625" style="57" customWidth="1"/>
    <col min="11" max="11" width="7.85546875" style="17" customWidth="1"/>
    <col min="12" max="12" width="5.140625" style="17" customWidth="1"/>
    <col min="13" max="15" width="9.140625" style="17"/>
    <col min="16" max="16" width="12.85546875" style="17" customWidth="1"/>
    <col min="17" max="17" width="9.140625" style="17"/>
    <col min="18" max="18" width="10" style="17" bestFit="1" customWidth="1"/>
    <col min="19" max="16384" width="9.140625" style="17"/>
  </cols>
  <sheetData>
    <row r="1" spans="1:12" s="55" customFormat="1" ht="23.25" customHeight="1" x14ac:dyDescent="0.45">
      <c r="A1" s="494" t="s">
        <v>62</v>
      </c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</row>
    <row r="2" spans="1:12" s="55" customFormat="1" ht="23.25" customHeight="1" x14ac:dyDescent="0.45">
      <c r="A2" s="494" t="e">
        <f>#REF!</f>
        <v>#REF!</v>
      </c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494"/>
    </row>
    <row r="3" spans="1:12" x14ac:dyDescent="0.45">
      <c r="D3" s="18"/>
      <c r="E3" s="18"/>
      <c r="F3" s="18"/>
      <c r="G3" s="18"/>
      <c r="I3" s="114" t="e">
        <f>#REF!</f>
        <v>#REF!</v>
      </c>
    </row>
    <row r="4" spans="1:12" x14ac:dyDescent="0.45">
      <c r="A4" s="18" t="s">
        <v>63</v>
      </c>
      <c r="C4" s="17" t="e">
        <f>#REF!</f>
        <v>#REF!</v>
      </c>
    </row>
    <row r="5" spans="1:12" x14ac:dyDescent="0.45">
      <c r="A5" s="18" t="s">
        <v>64</v>
      </c>
      <c r="C5" s="17" t="e">
        <f>#REF!</f>
        <v>#REF!</v>
      </c>
    </row>
    <row r="6" spans="1:12" x14ac:dyDescent="0.45">
      <c r="A6" s="18" t="s">
        <v>65</v>
      </c>
      <c r="C6" s="97" t="e">
        <f>#REF!</f>
        <v>#REF!</v>
      </c>
      <c r="F6" s="98" t="s">
        <v>66</v>
      </c>
      <c r="G6" s="17" t="e">
        <f>#REF!</f>
        <v>#REF!</v>
      </c>
    </row>
    <row r="7" spans="1:12" ht="21.75" customHeight="1" x14ac:dyDescent="0.45">
      <c r="A7" s="18" t="s">
        <v>67</v>
      </c>
      <c r="C7" s="19" t="e">
        <f>#REF!</f>
        <v>#REF!</v>
      </c>
      <c r="G7" s="494" t="s">
        <v>128</v>
      </c>
      <c r="H7" s="494"/>
      <c r="I7" s="99" t="e">
        <f>#REF!</f>
        <v>#REF!</v>
      </c>
      <c r="J7" s="57" t="s">
        <v>29</v>
      </c>
    </row>
    <row r="8" spans="1:12" x14ac:dyDescent="0.45">
      <c r="A8" s="18" t="s">
        <v>68</v>
      </c>
      <c r="C8" s="17" t="s">
        <v>69</v>
      </c>
      <c r="E8" s="151" t="s">
        <v>143</v>
      </c>
      <c r="H8" s="18" t="s">
        <v>70</v>
      </c>
      <c r="I8" s="153">
        <v>6</v>
      </c>
      <c r="J8" s="57" t="s">
        <v>36</v>
      </c>
    </row>
    <row r="9" spans="1:12" x14ac:dyDescent="0.45">
      <c r="A9" s="17" t="s">
        <v>71</v>
      </c>
      <c r="C9" s="17" t="s">
        <v>72</v>
      </c>
      <c r="E9" s="151" t="s">
        <v>143</v>
      </c>
      <c r="H9" s="18" t="s">
        <v>73</v>
      </c>
      <c r="I9" s="151" t="s">
        <v>152</v>
      </c>
      <c r="J9" s="57" t="s">
        <v>36</v>
      </c>
    </row>
    <row r="10" spans="1:12" x14ac:dyDescent="0.45">
      <c r="A10" s="18" t="s">
        <v>74</v>
      </c>
      <c r="F10" s="99" t="e">
        <f>#REF!</f>
        <v>#REF!</v>
      </c>
      <c r="G10" s="99" t="s">
        <v>29</v>
      </c>
      <c r="H10" s="17" t="s">
        <v>75</v>
      </c>
      <c r="I10" s="151" t="s">
        <v>153</v>
      </c>
      <c r="J10" s="57" t="s">
        <v>36</v>
      </c>
    </row>
    <row r="11" spans="1:12" x14ac:dyDescent="0.45">
      <c r="C11" s="100" t="s">
        <v>76</v>
      </c>
      <c r="D11" s="154">
        <v>0</v>
      </c>
      <c r="E11" s="97" t="s">
        <v>77</v>
      </c>
      <c r="F11" s="154">
        <v>1000</v>
      </c>
      <c r="H11" s="101"/>
      <c r="I11" s="102"/>
      <c r="J11" s="103"/>
      <c r="K11" s="102"/>
    </row>
    <row r="12" spans="1:12" x14ac:dyDescent="0.45">
      <c r="C12" s="100"/>
      <c r="D12" s="97"/>
      <c r="E12" s="97"/>
      <c r="F12" s="97"/>
      <c r="H12" s="101"/>
      <c r="I12" s="102"/>
      <c r="J12" s="103"/>
      <c r="K12" s="102"/>
    </row>
    <row r="13" spans="1:12" x14ac:dyDescent="0.45">
      <c r="C13" s="19"/>
      <c r="E13" s="97"/>
      <c r="H13" s="101"/>
      <c r="I13" s="102"/>
      <c r="J13" s="103"/>
      <c r="K13" s="102"/>
    </row>
    <row r="14" spans="1:12" ht="21.75" customHeight="1" x14ac:dyDescent="0.45">
      <c r="A14" s="26" t="s">
        <v>0</v>
      </c>
      <c r="B14" s="479" t="s">
        <v>1</v>
      </c>
      <c r="C14" s="498"/>
      <c r="D14" s="498"/>
      <c r="E14" s="498"/>
      <c r="F14" s="498"/>
      <c r="G14" s="480"/>
      <c r="H14" s="499" t="s">
        <v>78</v>
      </c>
      <c r="I14" s="500"/>
      <c r="J14" s="495" t="s">
        <v>79</v>
      </c>
      <c r="K14" s="496"/>
      <c r="L14" s="497"/>
    </row>
    <row r="15" spans="1:12" x14ac:dyDescent="0.45">
      <c r="A15" s="49">
        <v>1</v>
      </c>
      <c r="B15" s="501" t="s">
        <v>149</v>
      </c>
      <c r="C15" s="502"/>
      <c r="D15" s="502"/>
      <c r="E15" s="502"/>
      <c r="F15" s="502"/>
      <c r="G15" s="503"/>
      <c r="H15" s="504" t="e">
        <f>ปร.4!L131</f>
        <v>#REF!</v>
      </c>
      <c r="I15" s="505"/>
      <c r="J15" s="108" t="s">
        <v>2</v>
      </c>
      <c r="K15" s="61"/>
      <c r="L15" s="32"/>
    </row>
    <row r="16" spans="1:12" x14ac:dyDescent="0.45">
      <c r="A16" s="49"/>
      <c r="B16" s="510"/>
      <c r="C16" s="511"/>
      <c r="D16" s="511"/>
      <c r="E16" s="511"/>
      <c r="F16" s="511"/>
      <c r="G16" s="512"/>
      <c r="H16" s="508"/>
      <c r="I16" s="509"/>
      <c r="J16" s="108" t="s">
        <v>80</v>
      </c>
      <c r="L16" s="149" t="e">
        <f>#REF!/100</f>
        <v>#REF!</v>
      </c>
    </row>
    <row r="17" spans="1:16" x14ac:dyDescent="0.45">
      <c r="A17" s="41"/>
      <c r="B17" s="510"/>
      <c r="C17" s="511"/>
      <c r="D17" s="511"/>
      <c r="E17" s="511"/>
      <c r="F17" s="511"/>
      <c r="G17" s="512"/>
      <c r="H17" s="508"/>
      <c r="I17" s="509"/>
      <c r="J17" s="108" t="s">
        <v>81</v>
      </c>
      <c r="L17" s="149" t="e">
        <f>#REF!/100</f>
        <v>#REF!</v>
      </c>
    </row>
    <row r="18" spans="1:16" x14ac:dyDescent="0.45">
      <c r="A18" s="41"/>
      <c r="B18" s="510"/>
      <c r="C18" s="511"/>
      <c r="D18" s="511"/>
      <c r="E18" s="511"/>
      <c r="F18" s="511"/>
      <c r="G18" s="512"/>
      <c r="H18" s="508"/>
      <c r="I18" s="509"/>
      <c r="J18" s="108" t="s">
        <v>82</v>
      </c>
      <c r="L18" s="149" t="e">
        <f>#REF!/100</f>
        <v>#REF!</v>
      </c>
    </row>
    <row r="19" spans="1:16" x14ac:dyDescent="0.45">
      <c r="A19" s="41"/>
      <c r="B19" s="510"/>
      <c r="C19" s="511"/>
      <c r="D19" s="511"/>
      <c r="E19" s="511"/>
      <c r="F19" s="511"/>
      <c r="G19" s="512"/>
      <c r="H19" s="508"/>
      <c r="I19" s="509"/>
      <c r="J19" s="108" t="s">
        <v>83</v>
      </c>
      <c r="K19" s="150" t="e">
        <f>#REF!</f>
        <v>#REF!</v>
      </c>
      <c r="L19" s="32"/>
    </row>
    <row r="20" spans="1:16" x14ac:dyDescent="0.45">
      <c r="A20" s="51"/>
      <c r="B20" s="513"/>
      <c r="C20" s="514"/>
      <c r="D20" s="514"/>
      <c r="E20" s="514"/>
      <c r="F20" s="514"/>
      <c r="G20" s="515"/>
      <c r="H20" s="516"/>
      <c r="I20" s="517"/>
      <c r="J20" s="106"/>
      <c r="K20" s="16"/>
      <c r="L20" s="104"/>
    </row>
    <row r="21" spans="1:16" x14ac:dyDescent="0.45">
      <c r="A21" s="41" t="s">
        <v>84</v>
      </c>
      <c r="B21" s="41" t="s">
        <v>150</v>
      </c>
      <c r="H21" s="490" t="e">
        <f>H15</f>
        <v>#REF!</v>
      </c>
      <c r="I21" s="491"/>
      <c r="J21" s="107"/>
      <c r="K21" s="61"/>
      <c r="L21" s="62"/>
    </row>
    <row r="22" spans="1:16" ht="21.75" thickBot="1" x14ac:dyDescent="0.5">
      <c r="A22" s="41"/>
      <c r="B22" s="41" t="s">
        <v>151</v>
      </c>
      <c r="H22" s="506" t="e">
        <f>IF(H21&lt;10000000,ROUNDDOWN(H21,-4),ROUNDDOWN(H21,-4))</f>
        <v>#REF!</v>
      </c>
      <c r="I22" s="507"/>
      <c r="J22" s="108"/>
      <c r="L22" s="32"/>
      <c r="O22" s="17">
        <v>32750000</v>
      </c>
      <c r="P22" s="96">
        <f>O22-I22</f>
        <v>32750000</v>
      </c>
    </row>
    <row r="23" spans="1:16" ht="21.75" thickTop="1" x14ac:dyDescent="0.45">
      <c r="A23" s="51"/>
      <c r="B23" s="130" t="e">
        <f xml:space="preserve"> "("&amp;BAHTTEXT($H$22)&amp;")"</f>
        <v>#REF!</v>
      </c>
      <c r="C23" s="131"/>
      <c r="D23" s="52"/>
      <c r="E23" s="52"/>
      <c r="F23" s="52"/>
      <c r="G23" s="52"/>
      <c r="H23" s="52"/>
      <c r="I23" s="168"/>
      <c r="J23" s="109"/>
      <c r="K23" s="52"/>
      <c r="L23" s="105"/>
    </row>
    <row r="24" spans="1:16" x14ac:dyDescent="0.45">
      <c r="B24" s="17" t="s">
        <v>85</v>
      </c>
      <c r="D24" s="492" t="e">
        <f>F10</f>
        <v>#REF!</v>
      </c>
      <c r="E24" s="492"/>
      <c r="F24" s="17" t="s">
        <v>29</v>
      </c>
    </row>
    <row r="25" spans="1:16" x14ac:dyDescent="0.45">
      <c r="B25" s="17" t="s">
        <v>86</v>
      </c>
      <c r="D25" s="493" t="e">
        <f>H22/F10</f>
        <v>#REF!</v>
      </c>
      <c r="E25" s="493"/>
      <c r="F25" s="17" t="s">
        <v>31</v>
      </c>
    </row>
    <row r="26" spans="1:16" ht="23.25" x14ac:dyDescent="0.5">
      <c r="D26" s="110"/>
      <c r="E26" s="110"/>
      <c r="I26" s="111" t="s">
        <v>87</v>
      </c>
    </row>
    <row r="27" spans="1:16" s="55" customFormat="1" ht="31.5" customHeight="1" x14ac:dyDescent="0.45">
      <c r="B27" s="161" t="s">
        <v>139</v>
      </c>
      <c r="C27" s="161"/>
      <c r="D27" s="161"/>
      <c r="E27" s="161"/>
      <c r="H27" s="112" t="s">
        <v>88</v>
      </c>
      <c r="I27" s="55" t="s">
        <v>89</v>
      </c>
      <c r="K27" s="63" t="s">
        <v>90</v>
      </c>
    </row>
    <row r="28" spans="1:16" s="55" customFormat="1" x14ac:dyDescent="0.45">
      <c r="B28" s="161"/>
      <c r="C28" s="161" t="e">
        <f>CONCATENATE("( ",#REF!," )"," ",#REF!)</f>
        <v>#REF!</v>
      </c>
      <c r="D28" s="161"/>
      <c r="E28" s="161"/>
      <c r="I28" s="67" t="s">
        <v>91</v>
      </c>
    </row>
    <row r="29" spans="1:16" s="55" customFormat="1" ht="31.5" customHeight="1" x14ac:dyDescent="0.45">
      <c r="B29" s="55" t="s">
        <v>138</v>
      </c>
      <c r="H29" s="112" t="s">
        <v>88</v>
      </c>
      <c r="I29" s="55" t="s">
        <v>89</v>
      </c>
      <c r="K29" s="55" t="s">
        <v>92</v>
      </c>
    </row>
    <row r="30" spans="1:16" s="55" customFormat="1" x14ac:dyDescent="0.45">
      <c r="B30" s="159" t="e">
        <f>CONCATENATE("( ",#REF!," )"," ",)</f>
        <v>#REF!</v>
      </c>
      <c r="I30" s="67" t="s">
        <v>91</v>
      </c>
      <c r="J30" s="113"/>
    </row>
    <row r="31" spans="1:16" s="55" customFormat="1" ht="19.5" customHeight="1" x14ac:dyDescent="0.45">
      <c r="B31" s="160" t="e">
        <f>#REF!</f>
        <v>#REF!</v>
      </c>
      <c r="I31" s="64"/>
      <c r="J31" s="113"/>
    </row>
    <row r="32" spans="1:16" x14ac:dyDescent="0.45">
      <c r="B32" s="65"/>
      <c r="C32" s="55"/>
      <c r="D32" s="55"/>
      <c r="E32" s="55"/>
      <c r="F32" s="55"/>
      <c r="G32" s="55"/>
      <c r="H32" s="112" t="s">
        <v>88</v>
      </c>
      <c r="I32" s="55" t="s">
        <v>89</v>
      </c>
      <c r="J32" s="55"/>
      <c r="K32" s="55" t="s">
        <v>92</v>
      </c>
      <c r="L32" s="55"/>
    </row>
    <row r="33" spans="2:10" x14ac:dyDescent="0.45">
      <c r="B33" s="55" t="s">
        <v>142</v>
      </c>
      <c r="C33" s="55"/>
      <c r="D33" s="55"/>
      <c r="F33" s="64"/>
      <c r="G33" s="55"/>
      <c r="I33" s="67" t="s">
        <v>91</v>
      </c>
      <c r="J33" s="113"/>
    </row>
    <row r="34" spans="2:10" x14ac:dyDescent="0.45">
      <c r="B34" s="157" t="s">
        <v>140</v>
      </c>
      <c r="E34" s="65"/>
      <c r="F34" s="65"/>
    </row>
    <row r="35" spans="2:10" x14ac:dyDescent="0.45">
      <c r="B35" s="158" t="s">
        <v>141</v>
      </c>
      <c r="C35" s="19"/>
    </row>
    <row r="36" spans="2:10" x14ac:dyDescent="0.45">
      <c r="C36" s="67"/>
    </row>
  </sheetData>
  <mergeCells count="22">
    <mergeCell ref="B16:G16"/>
    <mergeCell ref="H16:I16"/>
    <mergeCell ref="B17:G17"/>
    <mergeCell ref="B20:G20"/>
    <mergeCell ref="H20:I20"/>
    <mergeCell ref="H19:I19"/>
    <mergeCell ref="H21:I21"/>
    <mergeCell ref="D24:E24"/>
    <mergeCell ref="D25:E25"/>
    <mergeCell ref="A1:L1"/>
    <mergeCell ref="A2:L2"/>
    <mergeCell ref="J14:L14"/>
    <mergeCell ref="G7:H7"/>
    <mergeCell ref="B14:G14"/>
    <mergeCell ref="H14:I14"/>
    <mergeCell ref="B15:G15"/>
    <mergeCell ref="H15:I15"/>
    <mergeCell ref="H22:I22"/>
    <mergeCell ref="H17:I17"/>
    <mergeCell ref="B18:G18"/>
    <mergeCell ref="H18:I18"/>
    <mergeCell ref="B19:G19"/>
  </mergeCells>
  <phoneticPr fontId="0" type="noConversion"/>
  <pageMargins left="0.75" right="0.54" top="0.83" bottom="0.75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8</vt:i4>
      </vt:variant>
      <vt:variant>
        <vt:lpstr>ช่วงที่มีชื่อ</vt:lpstr>
      </vt:variant>
      <vt:variant>
        <vt:i4>3</vt:i4>
      </vt:variant>
    </vt:vector>
  </HeadingPairs>
  <TitlesOfParts>
    <vt:vector size="11" baseType="lpstr">
      <vt:lpstr>ปก</vt:lpstr>
      <vt:lpstr>Data</vt:lpstr>
      <vt:lpstr>ปร.5 (2)</vt:lpstr>
      <vt:lpstr>ปร.4 (2)</vt:lpstr>
      <vt:lpstr>F 7% ทาง(โม)</vt:lpstr>
      <vt:lpstr>S3</vt:lpstr>
      <vt:lpstr>ปร.4</vt:lpstr>
      <vt:lpstr>ปร.5</vt:lpstr>
      <vt:lpstr>'ปร.4 (2)'!Print_Area</vt:lpstr>
      <vt:lpstr>'ปร.5 (2)'!Print_Area</vt:lpstr>
      <vt:lpstr>'ปร.4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Admin</cp:lastModifiedBy>
  <cp:lastPrinted>2024-01-29T05:30:14Z</cp:lastPrinted>
  <dcterms:created xsi:type="dcterms:W3CDTF">1999-01-11T08:20:28Z</dcterms:created>
  <dcterms:modified xsi:type="dcterms:W3CDTF">2024-02-20T10:20:35Z</dcterms:modified>
</cp:coreProperties>
</file>