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800" tabRatio="730" activeTab="1"/>
  </bookViews>
  <sheets>
    <sheet name="ข้อมูล" sheetId="1" r:id="rId1"/>
    <sheet name="สรุปราคากลาง" sheetId="3" r:id="rId2"/>
    <sheet name="Sheet2" sheetId="11" r:id="rId3"/>
    <sheet name="Sheet1" sheetId="8" r:id="rId4"/>
    <sheet name="งานดิน" sheetId="7" r:id="rId5"/>
    <sheet name="ข้อมูลคอนกรีต" sheetId="4" r:id="rId6"/>
    <sheet name="ราคาวัสดุ" sheetId="5" r:id="rId7"/>
    <sheet name="ไม้แบบ" sheetId="6" r:id="rId8"/>
    <sheet name="ราคาต้นทุนต่อหน่วย" sheetId="2" r:id="rId9"/>
    <sheet name="บ่อพัก" sheetId="9" r:id="rId10"/>
    <sheet name="ค่าระดับ" sheetId="10" r:id="rId11"/>
  </sheets>
  <externalReferences>
    <externalReference r:id="rId12"/>
    <externalReference r:id="rId13"/>
    <externalReference r:id="rId14"/>
  </externalReferences>
  <definedNames>
    <definedName name="_xlnm.Print_Area" localSheetId="3">Sheet1!$A$1:$K$8</definedName>
    <definedName name="_xlnm.Print_Area" localSheetId="0">ข้อมูล!$A$1:$I$27</definedName>
    <definedName name="_xlnm.Print_Area" localSheetId="5">ข้อมูลคอนกรีต!$A$1:$M$39</definedName>
    <definedName name="_xlnm.Print_Area" localSheetId="10">ค่าระดับ!$A$1:$H$40</definedName>
    <definedName name="_xlnm.Print_Area" localSheetId="8">ราคาต้นทุนต่อหน่วย!$A$1:$L$184</definedName>
    <definedName name="_xlnm.Print_Area" localSheetId="1">สรุปราคากลาง!$A$1:$K$76</definedName>
    <definedName name="_xlnm.Print_Titles" localSheetId="10">ค่าระดับ!$1:$6</definedName>
    <definedName name="_xlnm.Print_Titles" localSheetId="1">สรุปราคากลาง!$1:$9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2" i="3" l="1"/>
  <c r="F64" i="2"/>
  <c r="K61" i="2"/>
  <c r="I43" i="2"/>
  <c r="H35" i="2"/>
  <c r="H34" i="2"/>
  <c r="H44" i="3" l="1"/>
  <c r="J44" i="3" s="1"/>
  <c r="K44" i="3" s="1"/>
  <c r="I44" i="3"/>
  <c r="G44" i="3"/>
  <c r="K186" i="2"/>
  <c r="K185" i="2"/>
  <c r="K184" i="2"/>
  <c r="K183" i="2"/>
  <c r="K182" i="2"/>
  <c r="H184" i="2"/>
  <c r="H183" i="2"/>
  <c r="H182" i="2"/>
  <c r="D184" i="2"/>
  <c r="D183" i="2"/>
  <c r="D182" i="2"/>
  <c r="D61" i="9"/>
  <c r="I54" i="9"/>
  <c r="C52" i="9"/>
  <c r="F50" i="9"/>
  <c r="F45" i="9"/>
  <c r="F42" i="9"/>
  <c r="F37" i="9"/>
  <c r="I53" i="9"/>
  <c r="I52" i="9"/>
  <c r="F47" i="9"/>
  <c r="F48" i="9" s="1"/>
  <c r="F39" i="9"/>
  <c r="H61" i="9" l="1"/>
  <c r="D84" i="2"/>
  <c r="J155" i="2"/>
  <c r="H32" i="2"/>
  <c r="H33" i="2" s="1"/>
  <c r="I42" i="2"/>
  <c r="I45" i="2" s="1"/>
  <c r="H169" i="2"/>
  <c r="K59" i="2" l="1"/>
  <c r="E9" i="5" l="1"/>
  <c r="I37" i="3" l="1"/>
  <c r="F88" i="2"/>
  <c r="H86" i="2"/>
  <c r="H84" i="2"/>
  <c r="D86" i="2"/>
  <c r="K86" i="2" s="1"/>
  <c r="D85" i="2"/>
  <c r="K85" i="2" s="1"/>
  <c r="F19" i="6"/>
  <c r="F18" i="6"/>
  <c r="F17" i="6"/>
  <c r="F16" i="6"/>
  <c r="H174" i="2"/>
  <c r="H173" i="2"/>
  <c r="H172" i="2"/>
  <c r="K169" i="2"/>
  <c r="J152" i="2"/>
  <c r="J149" i="2"/>
  <c r="J32" i="5"/>
  <c r="D101" i="2"/>
  <c r="H97" i="2"/>
  <c r="H96" i="2"/>
  <c r="D97" i="2"/>
  <c r="D96" i="2"/>
  <c r="F27" i="3"/>
  <c r="F17" i="3"/>
  <c r="G17" i="3"/>
  <c r="K84" i="2" l="1"/>
  <c r="K87" i="2" s="1"/>
  <c r="D88" i="2" s="1"/>
  <c r="K97" i="2"/>
  <c r="G9" i="1"/>
  <c r="L6" i="5" s="1"/>
  <c r="H35" i="7"/>
  <c r="H34" i="7"/>
  <c r="H12" i="7"/>
  <c r="G40" i="10"/>
  <c r="C4" i="10"/>
  <c r="C3" i="10"/>
  <c r="E9" i="10" l="1"/>
  <c r="G27" i="10" l="1"/>
  <c r="G31" i="10"/>
  <c r="G35" i="10"/>
  <c r="G30" i="10"/>
  <c r="G34" i="10"/>
  <c r="G28" i="10"/>
  <c r="G32" i="10"/>
  <c r="G36" i="10"/>
  <c r="G29" i="10"/>
  <c r="G33" i="10"/>
  <c r="G37" i="10"/>
  <c r="G11" i="10"/>
  <c r="G16" i="10"/>
  <c r="G22" i="10"/>
  <c r="G14" i="10"/>
  <c r="G19" i="10"/>
  <c r="G24" i="10"/>
  <c r="G10" i="10"/>
  <c r="G15" i="10"/>
  <c r="G20" i="10"/>
  <c r="G26" i="10"/>
  <c r="G12" i="10"/>
  <c r="G18" i="10"/>
  <c r="G23" i="10"/>
  <c r="G13" i="10"/>
  <c r="G17" i="10"/>
  <c r="G21" i="10"/>
  <c r="G25" i="10"/>
  <c r="D3" i="3" l="1"/>
  <c r="G8" i="1" l="1"/>
  <c r="B6" i="1"/>
  <c r="B5" i="1"/>
  <c r="K53" i="2"/>
  <c r="C5" i="10" l="1"/>
  <c r="C4" i="2"/>
  <c r="C6" i="10"/>
  <c r="C5" i="2"/>
  <c r="I25" i="9"/>
  <c r="I24" i="9"/>
  <c r="F7" i="9"/>
  <c r="C6" i="9"/>
  <c r="I43" i="3"/>
  <c r="I42" i="3"/>
  <c r="I13" i="3"/>
  <c r="H13" i="3"/>
  <c r="J13" i="3" l="1"/>
  <c r="K13" i="3" s="1"/>
  <c r="K174" i="2"/>
  <c r="F31" i="9"/>
  <c r="D31" i="9"/>
  <c r="I22" i="9"/>
  <c r="D29" i="9" s="1"/>
  <c r="H29" i="9" s="1"/>
  <c r="D173" i="2" s="1"/>
  <c r="K173" i="2" s="1"/>
  <c r="I20" i="9"/>
  <c r="I19" i="9"/>
  <c r="F14" i="9"/>
  <c r="F15" i="9" s="1"/>
  <c r="F11" i="9"/>
  <c r="F12" i="9" s="1"/>
  <c r="F8" i="9"/>
  <c r="F9" i="9" s="1"/>
  <c r="F5" i="9"/>
  <c r="K178" i="2"/>
  <c r="K177" i="2"/>
  <c r="D175" i="2"/>
  <c r="K175" i="2" s="1"/>
  <c r="J162" i="2"/>
  <c r="D163" i="2" s="1"/>
  <c r="J163" i="2" s="1"/>
  <c r="J160" i="2"/>
  <c r="J159" i="2"/>
  <c r="D153" i="2"/>
  <c r="J153" i="2" s="1"/>
  <c r="J148" i="2"/>
  <c r="F17" i="9" l="1"/>
  <c r="H31" i="9"/>
  <c r="H33" i="9" s="1"/>
  <c r="D176" i="2" s="1"/>
  <c r="K176" i="2" s="1"/>
  <c r="D28" i="9"/>
  <c r="H28" i="9" s="1"/>
  <c r="D172" i="2" s="1"/>
  <c r="K172" i="2" s="1"/>
  <c r="D171" i="2"/>
  <c r="J165" i="2"/>
  <c r="J166" i="2" s="1"/>
  <c r="I17" i="3" l="1"/>
  <c r="C9" i="2" l="1"/>
  <c r="C6" i="2"/>
  <c r="D6" i="3"/>
  <c r="I19" i="4" l="1"/>
  <c r="J19" i="4" s="1"/>
  <c r="J12" i="5"/>
  <c r="G13" i="5"/>
  <c r="J13" i="5" s="1"/>
  <c r="H16" i="5"/>
  <c r="H17" i="5" s="1"/>
  <c r="H18" i="5" s="1"/>
  <c r="H19" i="5" s="1"/>
  <c r="H20" i="5" s="1"/>
  <c r="H15" i="5"/>
  <c r="H13" i="5"/>
  <c r="H14" i="5"/>
  <c r="G14" i="5" l="1"/>
  <c r="C7" i="2"/>
  <c r="J14" i="5" l="1"/>
  <c r="G15" i="5"/>
  <c r="G16" i="5" l="1"/>
  <c r="J15" i="5"/>
  <c r="I36" i="3"/>
  <c r="I35" i="3"/>
  <c r="G17" i="5" l="1"/>
  <c r="J16" i="5"/>
  <c r="C4" i="8"/>
  <c r="C3" i="8"/>
  <c r="C3" i="2" s="1"/>
  <c r="G18" i="5" l="1"/>
  <c r="J17" i="5"/>
  <c r="B114" i="2"/>
  <c r="H114" i="2"/>
  <c r="H118" i="2"/>
  <c r="H119" i="2" s="1"/>
  <c r="D125" i="2"/>
  <c r="K125" i="2" s="1"/>
  <c r="D126" i="2"/>
  <c r="K126" i="2" s="1"/>
  <c r="D127" i="2"/>
  <c r="H127" i="2"/>
  <c r="H128" i="2"/>
  <c r="K128" i="2" s="1"/>
  <c r="H129" i="2"/>
  <c r="H131" i="2"/>
  <c r="K131" i="2" s="1"/>
  <c r="K132" i="2"/>
  <c r="K133" i="2"/>
  <c r="H13" i="2"/>
  <c r="E144" i="2"/>
  <c r="K141" i="2"/>
  <c r="C142" i="2" s="1"/>
  <c r="K142" i="2" s="1"/>
  <c r="C144" i="2" s="1"/>
  <c r="G19" i="5" l="1"/>
  <c r="J18" i="5"/>
  <c r="H121" i="2"/>
  <c r="H122" i="2" s="1"/>
  <c r="K144" i="2"/>
  <c r="K127" i="2"/>
  <c r="D119" i="2"/>
  <c r="C5" i="7"/>
  <c r="C4" i="7"/>
  <c r="F21" i="7"/>
  <c r="F20" i="7"/>
  <c r="F19" i="7"/>
  <c r="F18" i="7"/>
  <c r="F17" i="7"/>
  <c r="F15" i="7"/>
  <c r="C15" i="7"/>
  <c r="F14" i="7"/>
  <c r="C14" i="7"/>
  <c r="F13" i="7"/>
  <c r="C13" i="7"/>
  <c r="F12" i="7"/>
  <c r="C12" i="7"/>
  <c r="F11" i="7"/>
  <c r="C11" i="7"/>
  <c r="F10" i="7"/>
  <c r="C10" i="7"/>
  <c r="G20" i="5" l="1"/>
  <c r="J20" i="5" s="1"/>
  <c r="J19" i="5"/>
  <c r="H16" i="7"/>
  <c r="H17" i="3"/>
  <c r="J17" i="3" s="1"/>
  <c r="K17" i="3" s="1"/>
  <c r="H11" i="7"/>
  <c r="H20" i="7"/>
  <c r="H18" i="7"/>
  <c r="H13" i="7"/>
  <c r="H15" i="7"/>
  <c r="H10" i="7"/>
  <c r="H17" i="7"/>
  <c r="H19" i="7"/>
  <c r="H14" i="7"/>
  <c r="H21" i="7"/>
  <c r="I19" i="6" l="1"/>
  <c r="I18" i="6"/>
  <c r="I17" i="6"/>
  <c r="I16" i="6"/>
  <c r="I7" i="6"/>
  <c r="I6" i="6"/>
  <c r="I5" i="6"/>
  <c r="I4" i="6"/>
  <c r="I8" i="6" l="1"/>
  <c r="E9" i="6"/>
  <c r="I9" i="6" s="1"/>
  <c r="I12" i="6" s="1"/>
  <c r="I20" i="6"/>
  <c r="E21" i="6" s="1"/>
  <c r="I21" i="6" s="1"/>
  <c r="I24" i="6" s="1"/>
  <c r="H79" i="2" s="1"/>
  <c r="E3" i="5" l="1"/>
  <c r="J31" i="5"/>
  <c r="J30" i="5"/>
  <c r="J29" i="5"/>
  <c r="J23" i="5"/>
  <c r="J22" i="5"/>
  <c r="J21" i="5"/>
  <c r="F62" i="2" s="1"/>
  <c r="H73" i="2"/>
  <c r="K73" i="2" s="1"/>
  <c r="E5" i="5"/>
  <c r="K49" i="4"/>
  <c r="J49" i="4"/>
  <c r="I49" i="4"/>
  <c r="M19" i="4"/>
  <c r="L19" i="4"/>
  <c r="K19" i="4"/>
  <c r="M9" i="4"/>
  <c r="L9" i="4"/>
  <c r="K9" i="4"/>
  <c r="J9" i="4"/>
  <c r="E2" i="5"/>
  <c r="I33" i="3"/>
  <c r="I27" i="3"/>
  <c r="Q145" i="2"/>
  <c r="Q143" i="2"/>
  <c r="Q142" i="2"/>
  <c r="R139" i="2"/>
  <c r="Q139" i="2"/>
  <c r="R138" i="2"/>
  <c r="S138" i="2" s="1"/>
  <c r="T138" i="2" s="1"/>
  <c r="Q138" i="2"/>
  <c r="R137" i="2"/>
  <c r="Q137" i="2"/>
  <c r="T134" i="2"/>
  <c r="R133" i="2"/>
  <c r="S133" i="2" s="1"/>
  <c r="T133" i="2" s="1"/>
  <c r="R132" i="2"/>
  <c r="Q132" i="2"/>
  <c r="Q128" i="2"/>
  <c r="Q127" i="2"/>
  <c r="Q126" i="2"/>
  <c r="D109" i="2"/>
  <c r="K109" i="2" s="1"/>
  <c r="D108" i="2"/>
  <c r="K108" i="2" s="1"/>
  <c r="H107" i="2"/>
  <c r="D107" i="2"/>
  <c r="F103" i="2"/>
  <c r="K101" i="2"/>
  <c r="D100" i="2"/>
  <c r="K100" i="2" s="1"/>
  <c r="D99" i="2"/>
  <c r="K99" i="2" s="1"/>
  <c r="D98" i="2"/>
  <c r="K98" i="2" s="1"/>
  <c r="K96" i="2"/>
  <c r="F81" i="2"/>
  <c r="D79" i="2"/>
  <c r="K79" i="2" s="1"/>
  <c r="K78" i="2"/>
  <c r="D77" i="2"/>
  <c r="K77" i="2" s="1"/>
  <c r="D76" i="2"/>
  <c r="K76" i="2" s="1"/>
  <c r="K75" i="2"/>
  <c r="D74" i="2"/>
  <c r="K74" i="2" s="1"/>
  <c r="H64" i="2"/>
  <c r="K64" i="2" s="1"/>
  <c r="F58" i="2"/>
  <c r="G54" i="2"/>
  <c r="K54" i="2" s="1"/>
  <c r="K52" i="2"/>
  <c r="D58" i="2" s="1"/>
  <c r="D34" i="2"/>
  <c r="H23" i="2"/>
  <c r="H26" i="2" s="1"/>
  <c r="H27" i="2" s="1"/>
  <c r="H22" i="2"/>
  <c r="F21" i="2"/>
  <c r="H17" i="2"/>
  <c r="C8" i="2"/>
  <c r="S137" i="2" l="1"/>
  <c r="T137" i="2" s="1"/>
  <c r="F17" i="4"/>
  <c r="H17" i="4" s="1"/>
  <c r="L17" i="4" s="1"/>
  <c r="F7" i="4"/>
  <c r="F46" i="4" s="1"/>
  <c r="H46" i="4" s="1"/>
  <c r="F18" i="4"/>
  <c r="H18" i="4" s="1"/>
  <c r="F8" i="4"/>
  <c r="F16" i="4"/>
  <c r="H16" i="4" s="1"/>
  <c r="I16" i="4" s="1"/>
  <c r="F6" i="4"/>
  <c r="S139" i="2"/>
  <c r="T139" i="2" s="1"/>
  <c r="T140" i="2" s="1"/>
  <c r="K58" i="2"/>
  <c r="D59" i="2" s="1"/>
  <c r="F57" i="2"/>
  <c r="F68" i="2"/>
  <c r="H36" i="2"/>
  <c r="H37" i="2" s="1"/>
  <c r="G27" i="3" s="1"/>
  <c r="H27" i="3" s="1"/>
  <c r="K57" i="2"/>
  <c r="C63" i="2" s="1"/>
  <c r="K63" i="2" s="1"/>
  <c r="Q129" i="2"/>
  <c r="S132" i="2"/>
  <c r="T132" i="2" s="1"/>
  <c r="T135" i="2" s="1"/>
  <c r="F47" i="4"/>
  <c r="H47" i="4" s="1"/>
  <c r="L47" i="4" s="1"/>
  <c r="H8" i="4"/>
  <c r="K107" i="2"/>
  <c r="K110" i="2" s="1"/>
  <c r="D111" i="2" s="1"/>
  <c r="K111" i="2" s="1"/>
  <c r="K80" i="2"/>
  <c r="K62" i="2"/>
  <c r="M17" i="4"/>
  <c r="H7" i="4"/>
  <c r="D60" i="3"/>
  <c r="K102" i="2"/>
  <c r="D103" i="2" s="1"/>
  <c r="K103" i="2" s="1"/>
  <c r="G36" i="3" s="1"/>
  <c r="H36" i="3" s="1"/>
  <c r="J36" i="3" s="1"/>
  <c r="K36" i="3" s="1"/>
  <c r="H65" i="2"/>
  <c r="K65" i="2" s="1"/>
  <c r="L16" i="4" l="1"/>
  <c r="J7" i="4"/>
  <c r="L7" i="4"/>
  <c r="M7" i="4"/>
  <c r="I7" i="4"/>
  <c r="K7" i="4"/>
  <c r="F45" i="4"/>
  <c r="H45" i="4" s="1"/>
  <c r="H6" i="4"/>
  <c r="I6" i="4" s="1"/>
  <c r="J8" i="4"/>
  <c r="K8" i="4"/>
  <c r="M8" i="4"/>
  <c r="I8" i="4"/>
  <c r="L8" i="4"/>
  <c r="D81" i="2"/>
  <c r="K81" i="2" s="1"/>
  <c r="G35" i="3" s="1"/>
  <c r="H35" i="3" s="1"/>
  <c r="J35" i="3" s="1"/>
  <c r="K35" i="3" s="1"/>
  <c r="K88" i="2"/>
  <c r="G37" i="3" s="1"/>
  <c r="H37" i="3" s="1"/>
  <c r="J37" i="3" s="1"/>
  <c r="K37" i="3" s="1"/>
  <c r="H61" i="2"/>
  <c r="K17" i="4"/>
  <c r="J17" i="4"/>
  <c r="I17" i="4"/>
  <c r="K16" i="4"/>
  <c r="J16" i="4"/>
  <c r="M16" i="4"/>
  <c r="J27" i="3"/>
  <c r="K27" i="3" s="1"/>
  <c r="I18" i="4"/>
  <c r="I21" i="4" s="1"/>
  <c r="J18" i="4"/>
  <c r="H66" i="2"/>
  <c r="K66" i="2" s="1"/>
  <c r="D129" i="2"/>
  <c r="K129" i="2"/>
  <c r="D130" i="2"/>
  <c r="K130" i="2" s="1"/>
  <c r="L46" i="4"/>
  <c r="M46" i="4"/>
  <c r="M18" i="4"/>
  <c r="L18" i="4"/>
  <c r="L21" i="4" s="1"/>
  <c r="K18" i="4"/>
  <c r="M47" i="4"/>
  <c r="M6" i="4"/>
  <c r="J6" i="4"/>
  <c r="L45" i="4"/>
  <c r="M45" i="4"/>
  <c r="J21" i="3"/>
  <c r="K21" i="3" s="1"/>
  <c r="K6" i="4" l="1"/>
  <c r="K11" i="4" s="1"/>
  <c r="L6" i="4"/>
  <c r="M21" i="4"/>
  <c r="J21" i="4"/>
  <c r="K21" i="4"/>
  <c r="L49" i="4"/>
  <c r="K134" i="2"/>
  <c r="L11" i="4"/>
  <c r="H171" i="2" s="1"/>
  <c r="J11" i="4"/>
  <c r="I11" i="4"/>
  <c r="M11" i="4"/>
  <c r="H170" i="2" s="1"/>
  <c r="M49" i="4"/>
  <c r="K170" i="2" l="1"/>
  <c r="H155" i="2"/>
  <c r="K171" i="2"/>
  <c r="K56" i="2"/>
  <c r="F59" i="2" s="1"/>
  <c r="K179" i="2" l="1"/>
  <c r="J156" i="2"/>
  <c r="J157" i="2" s="1"/>
  <c r="K67" i="2"/>
  <c r="D68" i="2" s="1"/>
  <c r="K68" i="2" s="1"/>
  <c r="B12" i="1"/>
  <c r="G43" i="3" l="1"/>
  <c r="H43" i="3" s="1"/>
  <c r="J43" i="3" s="1"/>
  <c r="K43" i="3" s="1"/>
  <c r="G42" i="3"/>
  <c r="H42" i="3" s="1"/>
  <c r="J42" i="3" s="1"/>
  <c r="K42" i="3" s="1"/>
  <c r="G33" i="3"/>
  <c r="H33" i="3" s="1"/>
  <c r="H52" i="3" l="1"/>
  <c r="J33" i="3"/>
  <c r="K33" i="3" s="1"/>
  <c r="M52" i="3" s="1"/>
  <c r="M53" i="3" s="1"/>
  <c r="J59" i="3" l="1"/>
  <c r="M35" i="3"/>
  <c r="M27" i="3"/>
  <c r="M33" i="3"/>
  <c r="M48" i="3"/>
  <c r="M47" i="3"/>
  <c r="M36" i="3"/>
  <c r="M49" i="3"/>
  <c r="M16" i="3"/>
  <c r="H54" i="3"/>
  <c r="M30" i="3"/>
  <c r="B11" i="1" l="1"/>
  <c r="C6" i="8" s="1"/>
  <c r="C7" i="8" s="1"/>
  <c r="D61" i="3"/>
  <c r="E59" i="3"/>
</calcChain>
</file>

<file path=xl/comments1.xml><?xml version="1.0" encoding="utf-8"?>
<comments xmlns="http://schemas.openxmlformats.org/spreadsheetml/2006/main">
  <authors>
    <author>Windows8.1</author>
  </authors>
  <commentList>
    <comment ref="I9" authorId="0">
      <text>
        <r>
          <rPr>
            <sz val="9"/>
            <color indexed="81"/>
            <rFont val="Tahoma"/>
            <family val="2"/>
          </rPr>
          <t xml:space="preserve">ค่าแรงผสมใช้ค่าดำเนินการ ค่าเสื่อมราคา ของงานผิวทางคอนกรีต เปลี่ยนแปลงตามราคาน้ำมัน
ส่วนงานโครงสร้างอื่นๆให้พิจารณาตามหลักเกณฑ์
</t>
        </r>
      </text>
    </comment>
    <comment ref="I10" authorId="0">
      <text>
        <r>
          <rPr>
            <sz val="9"/>
            <color indexed="81"/>
            <rFont val="Tahoma"/>
            <family val="2"/>
          </rPr>
          <t xml:space="preserve">ไม่มีค่าแรงเท สำหรับงานผิวทางคอนกรีต เนื่องจากอยู่ในงาน ค่าปูผิวแล้ว
</t>
        </r>
      </text>
    </comment>
    <comment ref="I19" authorId="0">
      <text>
        <r>
          <rPr>
            <sz val="9"/>
            <color indexed="81"/>
            <rFont val="Tahoma"/>
            <family val="2"/>
          </rPr>
          <t xml:space="preserve">ค่าแรงผสมใช้ค่าดำเนินการ ค่าเสื่อมราคา ของงานผิวทางคอนกรีต เปลี่ยนแปลงตามราคาน้ำมัน
</t>
        </r>
      </text>
    </comment>
    <comment ref="I20" authorId="0">
      <text>
        <r>
          <rPr>
            <sz val="9"/>
            <color indexed="81"/>
            <rFont val="Tahoma"/>
            <family val="2"/>
          </rPr>
          <t xml:space="preserve">ไม่มีค่าแรงเท สำหรับงานผิวทางคอนกรีต เนื่องจากอยู่ในงาน ค่าปูผิวแล้ว
</t>
        </r>
      </text>
    </comment>
  </commentList>
</comments>
</file>

<file path=xl/comments2.xml><?xml version="1.0" encoding="utf-8"?>
<comments xmlns="http://schemas.openxmlformats.org/spreadsheetml/2006/main">
  <authors>
    <author>worawit</author>
    <author>Windows8.1</author>
    <author>KKD Windows7 V.11_x64</author>
    <author>D</author>
  </authors>
  <commentList>
    <comment ref="H12" authorId="0">
      <text>
        <r>
          <rPr>
            <b/>
            <sz val="9"/>
            <color indexed="81"/>
            <rFont val="Tahoma"/>
            <family val="2"/>
          </rPr>
          <t>worawit:</t>
        </r>
        <r>
          <rPr>
            <sz val="9"/>
            <color indexed="81"/>
            <rFont val="Tahoma"/>
            <family val="2"/>
          </rPr>
          <t xml:space="preserve">
ตารางค่าเสื่อมราคา น้ำมัน 30.29</t>
        </r>
      </text>
    </comment>
    <comment ref="H16" authorId="0">
      <text>
        <r>
          <rPr>
            <b/>
            <sz val="9"/>
            <color indexed="81"/>
            <rFont val="Tahoma"/>
            <family val="2"/>
          </rPr>
          <t>worawit:</t>
        </r>
        <r>
          <rPr>
            <sz val="9"/>
            <color indexed="81"/>
            <rFont val="Tahoma"/>
            <family val="2"/>
          </rPr>
          <t xml:space="preserve">
ตารางค่าเสื่อมราคา น้ำมัน 30.29</t>
        </r>
      </text>
    </comment>
    <comment ref="H20" authorId="1">
      <text>
        <r>
          <rPr>
            <sz val="9"/>
            <color indexed="81"/>
            <rFont val="Tahoma"/>
            <family val="2"/>
          </rPr>
          <t xml:space="preserve">สืบจากแหล่งผลิต
</t>
        </r>
      </text>
    </comment>
    <comment ref="D21" authorId="1">
      <text>
        <r>
          <rPr>
            <sz val="9"/>
            <color indexed="81"/>
            <rFont val="Tahoma"/>
            <family val="2"/>
          </rPr>
          <t xml:space="preserve">ระยะทาจากแหล่ง ถึง กึ่งกลางโครงการก่อสร้าง
</t>
        </r>
      </text>
    </comment>
    <comment ref="F21" authorId="1">
      <text>
        <r>
          <rPr>
            <sz val="9"/>
            <color indexed="81"/>
            <rFont val="Tahoma"/>
            <family val="2"/>
          </rPr>
          <t>ค่าขนส่งรถสิบล้อ</t>
        </r>
      </text>
    </comment>
    <comment ref="F23" authorId="1">
      <text>
        <r>
          <rPr>
            <sz val="9"/>
            <color indexed="81"/>
            <rFont val="Tahoma"/>
            <family val="2"/>
          </rPr>
          <t xml:space="preserve">ค่ายุบตัวตามหลักเกณฑ์
</t>
        </r>
      </text>
    </comment>
    <comment ref="H31" authorId="1">
      <text>
        <r>
          <rPr>
            <sz val="9"/>
            <color indexed="81"/>
            <rFont val="Tahoma"/>
            <family val="2"/>
          </rPr>
          <t xml:space="preserve">ราคาพานิชย์ ชร
</t>
        </r>
      </text>
    </comment>
    <comment ref="F32" authorId="1">
      <text>
        <r>
          <rPr>
            <sz val="9"/>
            <color indexed="81"/>
            <rFont val="Tahoma"/>
            <family val="2"/>
          </rPr>
          <t xml:space="preserve">เปิดตารางค่าขนส่งรถสิบล้อ
</t>
        </r>
      </text>
    </comment>
    <comment ref="F56" authorId="2">
      <text>
        <r>
          <rPr>
            <sz val="9"/>
            <color indexed="81"/>
            <rFont val="Tahoma"/>
            <family val="2"/>
          </rPr>
          <t xml:space="preserve">ใช้ ค4. 
</t>
        </r>
      </text>
    </comment>
    <comment ref="D61" authorId="1">
      <text>
        <r>
          <rPr>
            <sz val="9"/>
            <color indexed="81"/>
            <rFont val="Tahoma"/>
            <family val="2"/>
          </rPr>
          <t xml:space="preserve">ระยะทางขนส่ง L/4
</t>
        </r>
      </text>
    </comment>
    <comment ref="F61" authorId="1">
      <text>
        <r>
          <rPr>
            <sz val="9"/>
            <color indexed="81"/>
            <rFont val="Tahoma"/>
            <family val="2"/>
          </rPr>
          <t>จากตารางค่าดำเนินการ 
 ค่าขนส่งคอนกรีต</t>
        </r>
      </text>
    </comment>
    <comment ref="D73" authorId="3">
      <text>
        <r>
          <rPr>
            <sz val="8"/>
            <color indexed="81"/>
            <rFont val="Tahoma"/>
            <family val="2"/>
          </rPr>
          <t xml:space="preserve">RB 19 ยาว 0.50
@ 0.50 ม.
</t>
        </r>
      </text>
    </comment>
    <comment ref="H74" authorId="3">
      <text>
        <r>
          <rPr>
            <sz val="8"/>
            <color indexed="81"/>
            <rFont val="Tahoma"/>
            <family val="2"/>
          </rPr>
          <t xml:space="preserve">คำแนะนำในหลักเกณฑ์ 
</t>
        </r>
      </text>
    </comment>
    <comment ref="H75" authorId="3">
      <text>
        <r>
          <rPr>
            <sz val="8"/>
            <color indexed="81"/>
            <rFont val="Tahoma"/>
            <family val="2"/>
          </rPr>
          <t xml:space="preserve">ราคาแผ่นโฟม ต่อ ตร.ม.
</t>
        </r>
      </text>
    </comment>
    <comment ref="H76" authorId="3">
      <text>
        <r>
          <rPr>
            <sz val="8"/>
            <color indexed="81"/>
            <rFont val="Tahoma"/>
            <family val="2"/>
          </rPr>
          <t xml:space="preserve">คำแนะนำในหลักเกณฑ์ 
</t>
        </r>
      </text>
    </comment>
    <comment ref="H77" authorId="3">
      <text>
        <r>
          <rPr>
            <sz val="8"/>
            <color indexed="81"/>
            <rFont val="Tahoma"/>
            <family val="2"/>
          </rPr>
          <t>จากดำเนินการ+ค่าเสื่อมราคา
(ค่าหยอดยางรอยต่อคอนกรีต)</t>
        </r>
      </text>
    </comment>
    <comment ref="H79" authorId="3">
      <text>
        <r>
          <rPr>
            <sz val="8"/>
            <color indexed="81"/>
            <rFont val="Tahoma"/>
            <family val="2"/>
          </rPr>
          <t xml:space="preserve">งานไม้แบบอย่างง่าย
</t>
        </r>
      </text>
    </comment>
    <comment ref="D84" authorId="3">
      <text>
        <r>
          <rPr>
            <sz val="8"/>
            <color indexed="81"/>
            <rFont val="Tahoma"/>
            <family val="2"/>
          </rPr>
          <t xml:space="preserve">RB 19 ยาว 0.50
@ 0.50 ม.
</t>
        </r>
      </text>
    </comment>
    <comment ref="H85" authorId="3">
      <text>
        <r>
          <rPr>
            <sz val="8"/>
            <color indexed="81"/>
            <rFont val="Tahoma"/>
            <family val="2"/>
          </rPr>
          <t xml:space="preserve">คำแนะนำในหลักเกณฑ์ 
</t>
        </r>
      </text>
    </comment>
    <comment ref="H86" authorId="3">
      <text>
        <r>
          <rPr>
            <sz val="8"/>
            <color indexed="81"/>
            <rFont val="Tahoma"/>
            <family val="2"/>
          </rPr>
          <t>จากดำเนินการ+ค่าเสื่อมราคา
(ค่าหยอดยางรอยต่อคอนกรีต)</t>
        </r>
      </text>
    </comment>
    <comment ref="D96" authorId="3">
      <text>
        <r>
          <rPr>
            <sz val="8"/>
            <color indexed="81"/>
            <rFont val="Tahoma"/>
            <family val="2"/>
          </rPr>
          <t xml:space="preserve">RB 15 ยาว 0.50
@ 0.50 ม.
</t>
        </r>
      </text>
    </comment>
    <comment ref="H96" authorId="3">
      <text>
        <r>
          <rPr>
            <sz val="8"/>
            <color indexed="81"/>
            <rFont val="Tahoma"/>
            <family val="2"/>
          </rPr>
          <t xml:space="preserve">ค่าวัสดุเหล็ก RB15
</t>
        </r>
      </text>
    </comment>
    <comment ref="H98" authorId="3">
      <text>
        <r>
          <rPr>
            <sz val="8"/>
            <color indexed="81"/>
            <rFont val="Tahoma"/>
            <family val="2"/>
          </rPr>
          <t>จากดำเนินการ+ค่าเสื่อมราคา
(ค่าตัดรอยต่อคอนกรีตและหยอดยาง)</t>
        </r>
      </text>
    </comment>
    <comment ref="H99" authorId="3">
      <text>
        <r>
          <rPr>
            <sz val="8"/>
            <color indexed="81"/>
            <rFont val="Tahoma"/>
            <family val="2"/>
          </rPr>
          <t xml:space="preserve">คำแนะนำในหลักเกณฑ์ 
</t>
        </r>
      </text>
    </comment>
    <comment ref="H100" authorId="3">
      <text>
        <r>
          <rPr>
            <sz val="8"/>
            <color indexed="81"/>
            <rFont val="Tahoma"/>
            <family val="2"/>
          </rPr>
          <t xml:space="preserve">คำแนะนำในหลักเกณฑ์ 
</t>
        </r>
      </text>
    </comment>
    <comment ref="D107" authorId="3">
      <text>
        <r>
          <rPr>
            <sz val="8"/>
            <color indexed="81"/>
            <rFont val="Tahoma"/>
            <family val="2"/>
          </rPr>
          <t xml:space="preserve">DB 12 ยาว 0.50
@ 0.50 ม.
</t>
        </r>
      </text>
    </comment>
    <comment ref="H107" authorId="3">
      <text>
        <r>
          <rPr>
            <sz val="8"/>
            <color indexed="81"/>
            <rFont val="Tahoma"/>
            <family val="2"/>
          </rPr>
          <t xml:space="preserve">ค่าวัสดุเหล็ก dB12
ราคาจาก กทม. รวมค่าขนส่ง ค่าขนขึ้นลง
</t>
        </r>
      </text>
    </comment>
    <comment ref="H108" authorId="3">
      <text>
        <r>
          <rPr>
            <sz val="8"/>
            <color indexed="81"/>
            <rFont val="Tahoma"/>
            <family val="2"/>
          </rPr>
          <t>จากดำเนินการ+ค่าเสื่อมราคา
(ค่าตัดรอยต่อคอนกรีตและหยอดยาง)</t>
        </r>
      </text>
    </comment>
    <comment ref="H109" authorId="3">
      <text>
        <r>
          <rPr>
            <sz val="8"/>
            <color indexed="81"/>
            <rFont val="Tahoma"/>
            <family val="2"/>
          </rPr>
          <t xml:space="preserve">คำแนะนำในหลักเกณฑ์ 
</t>
        </r>
      </text>
    </comment>
    <comment ref="F114" authorId="1">
      <text>
        <r>
          <rPr>
            <sz val="9"/>
            <color indexed="81"/>
            <rFont val="Tahoma"/>
            <family val="2"/>
          </rPr>
          <t xml:space="preserve">ค่าเสื่อมราคางานขุดดินด้วยเครื่องจักร งานชลประทาน
</t>
        </r>
      </text>
    </comment>
    <comment ref="H125" authorId="1">
      <text>
        <r>
          <rPr>
            <sz val="9"/>
            <color indexed="81"/>
            <rFont val="Tahoma"/>
            <family val="2"/>
          </rPr>
          <t xml:space="preserve">ค่าเสื่อมราคางานขุดดินด้วยเครื่องจักร งานชลประทาน
</t>
        </r>
      </text>
    </comment>
    <comment ref="J149" authorId="0">
      <text>
        <r>
          <rPr>
            <b/>
            <sz val="9"/>
            <color indexed="81"/>
            <rFont val="Tahoma"/>
            <family val="2"/>
          </rPr>
          <t>worawit:</t>
        </r>
        <r>
          <rPr>
            <sz val="9"/>
            <color indexed="81"/>
            <rFont val="Tahoma"/>
            <family val="2"/>
          </rPr>
          <t xml:space="preserve">
ราคา พณ ชร.</t>
        </r>
      </text>
    </comment>
    <comment ref="J160" authorId="0">
      <text>
        <r>
          <rPr>
            <b/>
            <sz val="9"/>
            <color indexed="81"/>
            <rFont val="Tahoma"/>
            <family val="2"/>
          </rPr>
          <t>worawit:</t>
        </r>
        <r>
          <rPr>
            <sz val="9"/>
            <color indexed="81"/>
            <rFont val="Tahoma"/>
            <family val="2"/>
          </rPr>
          <t xml:space="preserve">
ราคา พณ ชร.</t>
        </r>
      </text>
    </comment>
  </commentList>
</comments>
</file>

<file path=xl/sharedStrings.xml><?xml version="1.0" encoding="utf-8"?>
<sst xmlns="http://schemas.openxmlformats.org/spreadsheetml/2006/main" count="1403" uniqueCount="505">
  <si>
    <t>หลักเกณฑ์การประเมินราคาต้นทุนต่อหน่วย</t>
  </si>
  <si>
    <t>งานก่อสร้างทาง สะพาน และท่อเหลี่ยม</t>
  </si>
  <si>
    <t>โครงการ</t>
  </si>
  <si>
    <t>สถานที่</t>
  </si>
  <si>
    <t>ขนาด</t>
  </si>
  <si>
    <t>เมตร</t>
  </si>
  <si>
    <t>ตารางเมตร</t>
  </si>
  <si>
    <t>แบบ</t>
  </si>
  <si>
    <t>รายละเอียดตามแบบแปลนและรายการที่เทศบาลตำบลแม่ลาวกำหนด</t>
  </si>
  <si>
    <t>คำนวณราคากลางโดย</t>
  </si>
  <si>
    <t>เมื่อ</t>
  </si>
  <si>
    <t xml:space="preserve">ราคาน้ำมันดีเซล  ณ  อ.เมือง   </t>
  </si>
  <si>
    <t>-</t>
  </si>
  <si>
    <t>บาท / ลิตร</t>
  </si>
  <si>
    <t>เฉลี่ย</t>
  </si>
  <si>
    <t>งบประมาณค่าก่อสร้าง</t>
  </si>
  <si>
    <t>บาท</t>
  </si>
  <si>
    <t>1/3</t>
  </si>
  <si>
    <t>รายละเอียดการคำนวณค่างานต้นทุนต่อหน่วย  งานก่อสร้างทาง สะพาน และท่อเหลี่ยม</t>
  </si>
  <si>
    <t>ชื่อโครงการ</t>
  </si>
  <si>
    <t>หน่วยงานรับผิดชอบ</t>
  </si>
  <si>
    <t>ประมาณการเมื่อ</t>
  </si>
  <si>
    <t>*ราคาน้ำมันดีเซล บาท/ลิตร</t>
  </si>
  <si>
    <t>=</t>
  </si>
  <si>
    <t>งานรื้อชั้นทางเดิมและก่อสร้างใหม่  (SCARIFICATION &amp; RECONSTRUCTION OF EXISTING BASE) หินคลุกหนา  10  ซม.</t>
  </si>
  <si>
    <t>ค่าดำเนินการ + ค่าเสื่อมราคา (งานขุดรื้อคันทางเดิมและบดทับ)</t>
  </si>
  <si>
    <t>บาท / ตร.ม.</t>
  </si>
  <si>
    <t>ค่างานต้นทุน</t>
  </si>
  <si>
    <t xml:space="preserve">งานพื้นทางหินคลุก (Crushed Rock Soil Aggregate  Type Base)  </t>
  </si>
  <si>
    <t>ค่าวัสดุจากปากโม่(รวมค่าตัก)</t>
  </si>
  <si>
    <t>บาท/ลบ.ม.</t>
  </si>
  <si>
    <t xml:space="preserve">ค่าขนส่ง </t>
  </si>
  <si>
    <t>กม.</t>
  </si>
  <si>
    <t>รวม</t>
  </si>
  <si>
    <t xml:space="preserve">ส่วนยุบตัว  </t>
  </si>
  <si>
    <t>x</t>
  </si>
  <si>
    <t>ค่าดำเนินการ + ค่าเสื่อมราคา (ผสม)</t>
  </si>
  <si>
    <t>ค่าดำเนินการ + ค่าเสื่อมราคา (บดทับ )</t>
  </si>
  <si>
    <t>ค่าใช้จ่ายรวม</t>
  </si>
  <si>
    <t>งานทรายรองใต้ผิวทางคอนกรีต  (Sand  Cushion  Under  Concrete  Pavement)</t>
  </si>
  <si>
    <t>ค่าวัสดุจากแหล่ง (ทรายคอนกรีต)</t>
  </si>
  <si>
    <t>ค่าดำเนินการ + ค่าเสื่อมราคา (บดทับ  75 % ) (งานดินคันทาง:บดทับ)</t>
  </si>
  <si>
    <t>2/3</t>
  </si>
  <si>
    <t>ผิวทางปอร์ตแลนด์ซีเมนต์คอนกรีต  (Portland  Cement  Concrete  Pavement)</t>
  </si>
  <si>
    <t>หนา</t>
  </si>
  <si>
    <t>ซม.</t>
  </si>
  <si>
    <t>ขนาดกว้าง</t>
  </si>
  <si>
    <t>ยาว</t>
  </si>
  <si>
    <t xml:space="preserve">  =</t>
  </si>
  <si>
    <t>ตร.ม.</t>
  </si>
  <si>
    <t>ปริมาณงานทั้งโครงการ</t>
  </si>
  <si>
    <t>ลบ.ม.</t>
  </si>
  <si>
    <t xml:space="preserve">ค่าติดตั้งเครื่องผสม  =  </t>
  </si>
  <si>
    <t>/</t>
  </si>
  <si>
    <t>กรณีที่ปริมาณงานทั้งโครงการน้อยกว่า 5,000 ลบ.ม. ให้ใช้ปริมาณงาน 5,000 ลบ.ม.</t>
  </si>
  <si>
    <t>ค่าคอนกรีต + ค่าติดตั้งเครื่องผสม</t>
  </si>
  <si>
    <t>+</t>
  </si>
  <si>
    <t>คิดจากพื้นที่</t>
  </si>
  <si>
    <t xml:space="preserve"> ตร.ม.</t>
  </si>
  <si>
    <t>ปริมาตรคอนกรีต</t>
  </si>
  <si>
    <t>@</t>
  </si>
  <si>
    <t>ค่าตะแกรงเหล็ก</t>
  </si>
  <si>
    <t>บาท/ตร.ม.</t>
  </si>
  <si>
    <t>ค่าวางตะแกรงเหล็ก</t>
  </si>
  <si>
    <t>ค่าแบบเหล็ก (ค่าแบบข้างติดตามยาว 2 ข้าง)</t>
  </si>
  <si>
    <t>ค่าปูผิวคอนกรีต  (ค่าปูผิวคอนกรีต)</t>
  </si>
  <si>
    <t>ค่าบ่ม (ค่าบ่มผิวทางคอนกรีต)</t>
  </si>
  <si>
    <t>รอยต่อเผื่อขยายตามขวาง  Expantion  Joint)</t>
  </si>
  <si>
    <t>คิดจากความยาว</t>
  </si>
  <si>
    <t xml:space="preserve"> ม.</t>
  </si>
  <si>
    <t>ค่าเหล็ก Dowel Bar</t>
  </si>
  <si>
    <t>กก.</t>
  </si>
  <si>
    <t>บาท/กก.</t>
  </si>
  <si>
    <t>Metalcap+ทาสี+จาระบี</t>
  </si>
  <si>
    <t>ชุด</t>
  </si>
  <si>
    <t>JOINT FILLER</t>
  </si>
  <si>
    <t>JOINT SEALER</t>
  </si>
  <si>
    <t>ลิตร</t>
  </si>
  <si>
    <t xml:space="preserve">ค่าหยอดยาง </t>
  </si>
  <si>
    <t>ม.</t>
  </si>
  <si>
    <t>แผ่นพลาสติก</t>
  </si>
  <si>
    <t>ไม้แบบ</t>
  </si>
  <si>
    <t>บาท/เมตร</t>
  </si>
  <si>
    <t>3/3</t>
  </si>
  <si>
    <t>รอยต่อเผื่อหดตามขวาง  (Contraction  Joint)</t>
  </si>
  <si>
    <t>ค่าตัด Joint และหยอดยาง</t>
  </si>
  <si>
    <t>ทาสี + จาระบี</t>
  </si>
  <si>
    <t>รอยต่อเผื่อหดตามขวาง  (Longitudinal  Joint)</t>
  </si>
  <si>
    <t>ขุดดิน</t>
  </si>
  <si>
    <t xml:space="preserve">ลบ.ม. </t>
  </si>
  <si>
    <t>บาท/ม.</t>
  </si>
  <si>
    <t>ค่าท่อ</t>
  </si>
  <si>
    <t>ค่าขนส่งคิดจากการขนโดยรถบรรทุก 10 ล้อ เที่ยวละ 13 ตัน</t>
  </si>
  <si>
    <t>ค่าขนท่อขึ้น - ลง คิดเที่ยวละ 300 บาท</t>
  </si>
  <si>
    <t>ค่าขนส่ง</t>
  </si>
  <si>
    <t>กม.= (</t>
  </si>
  <si>
    <t>X13)</t>
  </si>
  <si>
    <t>+300</t>
  </si>
  <si>
    <t>บาท/เที่ยวค่าขนส่ง</t>
  </si>
  <si>
    <t>ค่าขนส่งเฉลี่ย</t>
  </si>
  <si>
    <t>/ 32</t>
  </si>
  <si>
    <t>ค่าวาง และกลบกลับ = 140  บาท/ม.</t>
  </si>
  <si>
    <t>งานบ่อพักคอนกรีตเสริมเหล็ก (R.C.MANHOLE) ขนาด 1.40x0.87 ม. หนา 0.12 ม. สูงเฉลี่ย 1.60 ม. ฝาบ่อคสล.หนา 0.10 ม.</t>
  </si>
  <si>
    <t>งานขุดดินด้วยเครื่องจักร</t>
  </si>
  <si>
    <t>รายการคอนกรีต</t>
  </si>
  <si>
    <t>ทรายหยาบ</t>
  </si>
  <si>
    <t>1 พื้น</t>
  </si>
  <si>
    <t>คอนกรีตหยาบ 1:3:5</t>
  </si>
  <si>
    <t>2 ผนัง</t>
  </si>
  <si>
    <t>คอนกรีต 1:2:4</t>
  </si>
  <si>
    <t>3 ฝา</t>
  </si>
  <si>
    <t>เหล็กเสริม RB 9 มม. @0.20#</t>
  </si>
  <si>
    <t>ลวดผูกเหล็ก</t>
  </si>
  <si>
    <t>รายการเหล็กเสริม</t>
  </si>
  <si>
    <t>ไม้แบบ (ไม้แบบทั่วไป)</t>
  </si>
  <si>
    <t>เหล็กตามแนวนอน ( ยาว )</t>
  </si>
  <si>
    <t>จำนวน</t>
  </si>
  <si>
    <t xml:space="preserve">  ม.</t>
  </si>
  <si>
    <t>เหล็กฉาก 75x75x3 มม.</t>
  </si>
  <si>
    <t>ท่อน</t>
  </si>
  <si>
    <t>บาท/ท่อน</t>
  </si>
  <si>
    <t>เหล็ก RB 9</t>
  </si>
  <si>
    <t xml:space="preserve">ท่อ PVC  2 นิ้ว </t>
  </si>
  <si>
    <t>หักส่วน ท่อ 0.4</t>
  </si>
  <si>
    <t>ค่างานต้นทุนบ่อพัก จำนวน 1 บ่อ</t>
  </si>
  <si>
    <t>ฝา</t>
  </si>
  <si>
    <t>เหล็กตามแนวตั้ง ( ยาว )</t>
  </si>
  <si>
    <t>หักส่วน ท่อ 0.40</t>
  </si>
  <si>
    <t>รายการไม้แบบ</t>
  </si>
  <si>
    <t>ด้านนอก</t>
  </si>
  <si>
    <t>ตร.ม</t>
  </si>
  <si>
    <t>ด้านใน</t>
  </si>
  <si>
    <t>ลบ ส่วนท่อ</t>
  </si>
  <si>
    <t>แบบสรุปราคากลางงานก่อสร้างทาง สะพาน และท่อเหลี่ยม</t>
  </si>
  <si>
    <t>ชื่อโครงการก่อสร้าง</t>
  </si>
  <si>
    <t>สถานที่ก่อสร้าง</t>
  </si>
  <si>
    <t>หน่วยงานเจ้าของโครงการ</t>
  </si>
  <si>
    <t>เทศบาลตำบลแม่ลาว</t>
  </si>
  <si>
    <t>แบบเลขที่</t>
  </si>
  <si>
    <t>คำนวณราคากลางเมื่อวันที่</t>
  </si>
  <si>
    <t>ลำดับ</t>
  </si>
  <si>
    <t>รายการ</t>
  </si>
  <si>
    <t>หน่วย</t>
  </si>
  <si>
    <t>ปริมาณ</t>
  </si>
  <si>
    <t>ราคาต่อหน่วย</t>
  </si>
  <si>
    <t>ราคาทุน</t>
  </si>
  <si>
    <t>Factor</t>
  </si>
  <si>
    <t xml:space="preserve">ราคาต่อหน่วย </t>
  </si>
  <si>
    <t>ราคากลาง</t>
  </si>
  <si>
    <t>งาน</t>
  </si>
  <si>
    <t>(  บาท  )</t>
  </si>
  <si>
    <t>F</t>
  </si>
  <si>
    <t>x FF</t>
  </si>
  <si>
    <t>งานรื้อผิวคอนกรีตเดิม</t>
  </si>
  <si>
    <t>งานดิน</t>
  </si>
  <si>
    <t>งานถางป่าและขุดตอ</t>
  </si>
  <si>
    <t>งานทรายถมคันทาง</t>
  </si>
  <si>
    <t>งานวัสดุคัดเลือกประเภท ก</t>
  </si>
  <si>
    <t>งานรองพื้นทางและพื้นทาง</t>
  </si>
  <si>
    <t>งานรื้อชั้นทางเดิมและก่อสร้างใหม่</t>
  </si>
  <si>
    <t>หนา 10 ซม. ชั้นพื้นทางหินคลุก/กรวดโม่</t>
  </si>
  <si>
    <t>หนา 10 ซม. ชั้นรองพื้นทางวัสดุมวลรวม</t>
  </si>
  <si>
    <t>งานรองพื้นทางวัสดุมวลรวม</t>
  </si>
  <si>
    <t>งานพื้นทางหินคลุก</t>
  </si>
  <si>
    <t>งานทรายรองใต้ผิวทางคอนกรีต</t>
  </si>
  <si>
    <t xml:space="preserve">งานปรับปรุงชั้นทางเดิมในที่ ขุดลึกเฉลี่ย </t>
  </si>
  <si>
    <t>20 ซม. ชั้นพื้นทางหินคลุก/กรวดโม่</t>
  </si>
  <si>
    <t>งานไหล่ทางหินคลุก</t>
  </si>
  <si>
    <t>งานผิวทาง</t>
  </si>
  <si>
    <t>0.15 เมตร (ใช้ตะแกรงเหล็ก)</t>
  </si>
  <si>
    <t>รอยต่อเผื่อขยายตามขวาง (Expansion Joint)</t>
  </si>
  <si>
    <t>รอยต่อตามยาว (Longitudinal Joint)</t>
  </si>
  <si>
    <t>รอยต่อตามขอบถนนคอนกรีตกับลาดยาง</t>
  </si>
  <si>
    <t>งานโครงสร้าง</t>
  </si>
  <si>
    <t>บ่อ</t>
  </si>
  <si>
    <t xml:space="preserve">งานท่อกลมคสล.ขนาด Ø  0.40 ม.  </t>
  </si>
  <si>
    <t>งานเบ็ดเตล็ด</t>
  </si>
  <si>
    <t xml:space="preserve">งานตีเส้นจราจร THERMOPLASTIC  PANT </t>
  </si>
  <si>
    <t>(สีเหลืองและสีขาว)</t>
  </si>
  <si>
    <t>งานจัดการเครื่องหมายจราจรระหว่างการก่อสร้าง</t>
  </si>
  <si>
    <t>L.S.</t>
  </si>
  <si>
    <t>TOTAL</t>
  </si>
  <si>
    <t>ผลรวมค่างานต้นทุนงานก่อสร้างทาง</t>
  </si>
  <si>
    <t>ผลรวมค่างานต้นทุนงานก่อสร้างสะพานและท่อเหลี่ยม</t>
  </si>
  <si>
    <t>ผลรวมค่าใช้จ่ายพิเศษตามข้อกำหนดและค่าใช้จ่ายอื่นๆ</t>
  </si>
  <si>
    <t>ค่า FACTOR   F งานก่อสร้างทาง</t>
  </si>
  <si>
    <t>ค่า FACTOR   F งานก่อสร้างสะพานและท่อเหลี่ยม</t>
  </si>
  <si>
    <t>ปรับราคาค่าก่อสร้างเพียง</t>
  </si>
  <si>
    <t>ขนาดหรือเนื้อที่</t>
  </si>
  <si>
    <t>เฉลี่ยราคา</t>
  </si>
  <si>
    <t>เสนอ........................................................................ผู้อำนวยการกองช่าง</t>
  </si>
  <si>
    <t>อนุมัติ.....................................................................นายกเทศมนตรีตำบลแม่ลาว</t>
  </si>
  <si>
    <t>ข้อมูลงานคอนกรีต</t>
  </si>
  <si>
    <t>ข้อมูลงานคอนกรีต Class ต่างๆ ตามมาตรฐานกรมทางหลวงชนบท</t>
  </si>
  <si>
    <t>กรณีทรายและหินมีหน่วยเป็นน้ำหนัก(สภาพอิ่มตัวผิวแห้ง)</t>
  </si>
  <si>
    <t>240 ksc.cube</t>
  </si>
  <si>
    <t>210 ksc.cube</t>
  </si>
  <si>
    <t>180 ksc.cube</t>
  </si>
  <si>
    <t>Class  of  Concrete</t>
  </si>
  <si>
    <t>ค4</t>
  </si>
  <si>
    <t>ค3</t>
  </si>
  <si>
    <t>ค2</t>
  </si>
  <si>
    <t>ค1</t>
  </si>
  <si>
    <t>Lean 1 : 3 : 5</t>
  </si>
  <si>
    <t>ส่วนผสมคอนกรีต</t>
  </si>
  <si>
    <t>350:800:1030</t>
  </si>
  <si>
    <t>320:835:1070</t>
  </si>
  <si>
    <t>290:868:1015</t>
  </si>
  <si>
    <t>240:728:1218</t>
  </si>
  <si>
    <t>ปูนซีเมนต์ซีเมนต์</t>
  </si>
  <si>
    <t>ทราย</t>
  </si>
  <si>
    <t>หิน</t>
  </si>
  <si>
    <t xml:space="preserve">ค่าแรงผสม </t>
  </si>
  <si>
    <t>ค่าแรงเท</t>
  </si>
  <si>
    <t>กรณีทรายและหินมีหน่วยเป็นปริมาตร</t>
  </si>
  <si>
    <t>350:572:736</t>
  </si>
  <si>
    <t>320:596:764</t>
  </si>
  <si>
    <t>290:620:725</t>
  </si>
  <si>
    <t>240:520:870</t>
  </si>
  <si>
    <t>หมายเหตุ</t>
  </si>
  <si>
    <t>ในส่วนของข้อมูลงานคอนกรีตนี้ ผู้มีหน้าที่คำนวณราคากลางสามารถปรับใช้ตามตารางข้อมูลงานคอนกรีต Class ต่างๆ ตามมาตรฐานของกรมทางหลวงหรือกรมทางหลวง</t>
  </si>
  <si>
    <t>ชนบท ได้ตามข้อมูล/ข้อเท็จจริงสำหรับโครงการ/งานก่อสร้างนั้น ส่วนกรณีที่เป็นกำลังคอนกรีตอื่นนอกเหนือจากมาตรฐานของกรมทางหลวงหรือกรมทางหลวงชนบทตาม</t>
  </si>
  <si>
    <t>ตารางดังกล่าวให้ผู้ออกแบบโครงการ/งานก่อสร้างนั้น กำหนดสัดส่วนหรืออัตราส่วนผสมขึ้นใหม่ตามหลักการทางวิศวกรรม โดยต้องระบุปริมาณปูนซีเมนต์และหรือวัสดุที่ให้ใช้</t>
  </si>
  <si>
    <t>ขั้นต่ำในขั้นตอนการก่อสร้างไว้ด้วย และให้ผู้มีหน้าที่ในการคำนวณราคากลางใช้ปริมาณปูนซีเมนต์และหรือวัสดุขั้นต่ำนั้นในการกำหนดข้อมูลเพื่อคำนวณราคากลาง</t>
  </si>
  <si>
    <t>ที่มา : ตารางและข้อมูลงาน Class ต่างๆ ตามมาตรฐานทางหลวงชนบท  อ้างอิงหรือศึกษาได้จากหลักเกณฑ์การคำนวณราคากลางงานก่อสร้างทาง  สะพาน  และท่อเหลี่ยม</t>
  </si>
  <si>
    <t>ข้อมูลงานคอนกรีต Class ต่างๆ สำหรับงานบ่อพักคสล.</t>
  </si>
  <si>
    <t>1 : 2 : 4</t>
  </si>
  <si>
    <t>300:299:652</t>
  </si>
  <si>
    <t>240:429:767</t>
  </si>
  <si>
    <t>ค่าแรงผสมและค่าเทคอนกรีต</t>
  </si>
  <si>
    <t>แบบสรุปข้อมูลวัสดุ และค่าดำเนินการ  งานก่อสร้างทาง  สะพาน  และท่อเหลี่ยม</t>
  </si>
  <si>
    <t>อยู่ในท้องที่จังหวัด</t>
  </si>
  <si>
    <t>เชียงราย</t>
  </si>
  <si>
    <t>เขตฝนตก</t>
  </si>
  <si>
    <t>ราคาน้ำมันโซล่า</t>
  </si>
  <si>
    <t>บาท /ลิตร</t>
  </si>
  <si>
    <t>เงินล่วงหน้าจ่าย</t>
  </si>
  <si>
    <t>%</t>
  </si>
  <si>
    <t>ดอกเบี้ยเงินกู้</t>
  </si>
  <si>
    <t>เงินประกันผลงานหัก</t>
  </si>
  <si>
    <t>ค่าภาษีมูลค่าเพิ่ม (VAT)</t>
  </si>
  <si>
    <t>ลำดับที่</t>
  </si>
  <si>
    <t>ชนิดของวัสดุ</t>
  </si>
  <si>
    <t xml:space="preserve">ค่าวัสดุ </t>
  </si>
  <si>
    <t xml:space="preserve">ระยะขนส่ง </t>
  </si>
  <si>
    <t xml:space="preserve">ค่าขนขึ้นลง </t>
  </si>
  <si>
    <t>ค่าตัด / ดัด</t>
  </si>
  <si>
    <t xml:space="preserve">รวม </t>
  </si>
  <si>
    <t>ขนส่งด้วยรถบรรทุก</t>
  </si>
  <si>
    <t>(บาท)</t>
  </si>
  <si>
    <t>(กม.)</t>
  </si>
  <si>
    <t>การอ้างอิงราคา หรือ แหล่งวัสดุ</t>
  </si>
  <si>
    <t>เหล็ก  RB  ø  6  มม.</t>
  </si>
  <si>
    <t>บ./ตัน</t>
  </si>
  <si>
    <t>ราคาพานิชย์ จ.เชียงราย</t>
  </si>
  <si>
    <t>เหล็ก  RB  ø  9  มม.</t>
  </si>
  <si>
    <t>เหล็ก  RB  ø  12  มม.</t>
  </si>
  <si>
    <t>เหล็ก  RB  ø  15  มม.</t>
  </si>
  <si>
    <t>เหล็ก  RB  ø  19  มม.</t>
  </si>
  <si>
    <t>เหล็ก  DB  ø  12  มม. SD30</t>
  </si>
  <si>
    <t>เหล็ก  DB  ø  16  มม.</t>
  </si>
  <si>
    <t>เหล็ก  DB  ø  20  มม.</t>
  </si>
  <si>
    <t>เหล็ก  DB  ø  25  มม.</t>
  </si>
  <si>
    <t>Wire Mesh  ø 4 มม. @ 0.20X0.20 m.#</t>
  </si>
  <si>
    <t>บ./ตร.ม.</t>
  </si>
  <si>
    <t>บ./กก.</t>
  </si>
  <si>
    <t>ปูนซีเมนต์ประเภท  1</t>
  </si>
  <si>
    <t>รถบรรทุก 10 ล้อ + ลากพ่วง</t>
  </si>
  <si>
    <t>ยาง  AC 60/70</t>
  </si>
  <si>
    <t>ยาง CSS- 1</t>
  </si>
  <si>
    <t xml:space="preserve">ยาง  PARA AC </t>
  </si>
  <si>
    <t>หินผสมแอสฟัลท์คอนกรีต</t>
  </si>
  <si>
    <t>บ./ลบ.ม.</t>
  </si>
  <si>
    <t>หินคลุก</t>
  </si>
  <si>
    <t>หินย่อยผสมคอนกรีต</t>
  </si>
  <si>
    <t>ทรายผสมคอนกรีต</t>
  </si>
  <si>
    <t>วัสดุคัดเลือก  " ก "</t>
  </si>
  <si>
    <t>ดินถมคันทาง</t>
  </si>
  <si>
    <t>ท่อกลมขนาด  ø  0.30 ม.</t>
  </si>
  <si>
    <t xml:space="preserve">ท่อกลมขนาด  ø  0.40 ม. </t>
  </si>
  <si>
    <t>ท่อกลมขนาด  ø  0.60 ม</t>
  </si>
  <si>
    <t xml:space="preserve">ท่อกลมขนาด  ø  0.80 ม. </t>
  </si>
  <si>
    <t xml:space="preserve">ท่อกลมขนาด  ø  1.00 ม. </t>
  </si>
  <si>
    <t xml:space="preserve">ไม้กระบาก   1" x 8" </t>
  </si>
  <si>
    <t>ลบ.ฟ.</t>
  </si>
  <si>
    <t xml:space="preserve">ไม้อัดยาง  หนา     4  มม.      </t>
  </si>
  <si>
    <t>แผ่น</t>
  </si>
  <si>
    <t xml:space="preserve">ไม้คร่าว   1 1"/2 x 3"      </t>
  </si>
  <si>
    <t>ไม้ค้ำยัน  ø  3" x 3.00  ม.</t>
  </si>
  <si>
    <t>ต้น</t>
  </si>
  <si>
    <t>ไม้ค้ำยัน  ø  4" x 3.00  ม.</t>
  </si>
  <si>
    <t>เหล็กฉาก  L 50 x 50 x 4  มม.</t>
  </si>
  <si>
    <t>แผ่นเหล็ก   4  มม. x  5  ซม.</t>
  </si>
  <si>
    <t>แผ่นเหล็ก   6  มม. x  5  ซม.</t>
  </si>
  <si>
    <t>แผ่นพื้นสำเร็จรูป ยาว 3 เมตร</t>
  </si>
  <si>
    <t>ท่อพีวีซี ชั้น 8.5 ยาว 4 เมตร</t>
  </si>
  <si>
    <t>คอนกรีตผสมเสร็จ 240 ksc</t>
  </si>
  <si>
    <t>คอนกรีตผสมเสร็จ 180 ksc</t>
  </si>
  <si>
    <t>ตะปู</t>
  </si>
  <si>
    <t>เหล็กฉาก  L 75 x 75 x 3  มม.</t>
  </si>
  <si>
    <t>เส้น</t>
  </si>
  <si>
    <t>งานป้ายจราจร แบบ ต75</t>
  </si>
  <si>
    <t>ไม้กระบากหรือไม้ยางหรือเทียบเท่า</t>
  </si>
  <si>
    <t>ลบ.ฟ. @</t>
  </si>
  <si>
    <t>ไม้คร่าว</t>
  </si>
  <si>
    <t xml:space="preserve">ไม้ค้ำยันแบบ </t>
  </si>
  <si>
    <t>ต้น @</t>
  </si>
  <si>
    <t xml:space="preserve">ตะปู   </t>
  </si>
  <si>
    <t>กก. @</t>
  </si>
  <si>
    <t>เนื่องจากใช้งานได้ 4 ครั้ง คิดจาก</t>
  </si>
  <si>
    <t>ค่าแรง</t>
  </si>
  <si>
    <t>น้ำมันทาผิวไม้</t>
  </si>
  <si>
    <t>เนื่องจากใช้งานได้ 5 ครั้ง คิดจาก</t>
  </si>
  <si>
    <t xml:space="preserve">Cross section  </t>
  </si>
  <si>
    <t>ระยะห่างระหว่าง</t>
  </si>
  <si>
    <t xml:space="preserve">พื้นที่ของ X- Section   </t>
  </si>
  <si>
    <t>พื้นที่เฉลี่ยของ X section ตารางเมตร</t>
  </si>
  <si>
    <t>ปริมาตรของดิน  ลบ.ม.</t>
  </si>
  <si>
    <t>Station</t>
  </si>
  <si>
    <t>at station  km</t>
  </si>
  <si>
    <t>แต่ละ x - section</t>
  </si>
  <si>
    <t>Actual Cut</t>
  </si>
  <si>
    <t>Actual Fill</t>
  </si>
  <si>
    <t>Average End</t>
  </si>
  <si>
    <t>no.</t>
  </si>
  <si>
    <t>ม</t>
  </si>
  <si>
    <t>Cut</t>
  </si>
  <si>
    <t>Fill</t>
  </si>
  <si>
    <t>ลบม.</t>
  </si>
  <si>
    <t>(นายวรวิทย์  ดอนชัย)</t>
  </si>
  <si>
    <t>วิศวกรโยธาปฏิบัติการ</t>
  </si>
  <si>
    <t>งานไหล่ทางวัสดุมวลรวม(SOIL AGGREGATE SHOULDER)</t>
  </si>
  <si>
    <t>ค่าวัสดุจากแหล่ง</t>
  </si>
  <si>
    <t>ค่าดำเนินการ+ค่าเสื่อมราคา (งานวัสดุคัดเลือก ลูกรังรองพื้นทาง) ขุด:ขน</t>
  </si>
  <si>
    <t>ส่วนยุบตัว   =</t>
  </si>
  <si>
    <t>x1.75</t>
  </si>
  <si>
    <t>ค่าดำเนินการ+ค่าเสื่อมราคา (งานไหล่ทางลูกรัง) ผสม - บดทับ:บดทับ</t>
  </si>
  <si>
    <t xml:space="preserve">ค่าใช้จ่ายรวม  = </t>
  </si>
  <si>
    <t xml:space="preserve"> +</t>
  </si>
  <si>
    <t>ผู้ประมาณราคา....................................................วิศวกรโยธาปฏิบัติการ</t>
  </si>
  <si>
    <t>ค่าดำเนินการ + ค่าเสื่อมราคา (งานถางป่าและขุดตอ:ขนาดเบา)</t>
  </si>
  <si>
    <t>ฝนชุก</t>
  </si>
  <si>
    <t>นายวรวิทย์  ดอนชัย</t>
  </si>
  <si>
    <t>ประมาณราคาค่าก่อสร้าง</t>
  </si>
  <si>
    <t xml:space="preserve">โครงการ </t>
  </si>
  <si>
    <t>งบประมาณ</t>
  </si>
  <si>
    <t>ลงชิ่อ……...............………………………………….คำนวณ</t>
  </si>
  <si>
    <t xml:space="preserve">          (นายวรวิทย์    ดอนชัย )</t>
  </si>
  <si>
    <t xml:space="preserve">                           (นางสุนิสา  ขัดสงคราม)</t>
  </si>
  <si>
    <t xml:space="preserve">           (นายอรรถพงษ์  โรจนพิบูลธรรม)</t>
  </si>
  <si>
    <t>งานบ่อพัก คสล. ขนาดท่อ Ø 0.40 ม.</t>
  </si>
  <si>
    <t>งานท่อกลมคอนกรีตเสริมเหล็ก (R.C.Pipe Curverts) ขนาด Ø 0.40 ม.</t>
  </si>
  <si>
    <r>
      <t xml:space="preserve">ไม้แบบสำหรับงานทั่วไป </t>
    </r>
    <r>
      <rPr>
        <sz val="14"/>
        <rFont val="TH Sarabun New"/>
        <family val="2"/>
      </rPr>
      <t>=  ไม้แบบ (1) พื้นที่ 1 ตารางเมตร</t>
    </r>
  </si>
  <si>
    <r>
      <t xml:space="preserve">ไม้แบบสำหรับงานอย่างง่าย </t>
    </r>
    <r>
      <rPr>
        <sz val="14"/>
        <rFont val="TH Sarabun New"/>
        <family val="2"/>
      </rPr>
      <t>=  ไม้แบบ (2) พื้นที่ 1 ตารางเมตร</t>
    </r>
  </si>
  <si>
    <t>ค่าขนส่งคอนกรีต.....1......กม. (ปกติคิดให้ L/4) (งานผิวทางคอนกรีต : ค่าขนส่งคอนกรีต)</t>
  </si>
  <si>
    <t>กรณีใช้คอนกรีตผสมเสร็จ โดยอ้างอิง / สืบราคาจากสำนักทางหลวง / สำนักงานทางหลวง / พาณิชย์จังหวัด สำหรับปริมาณคอนกรีตทั้งโครงการน้อยกว่า 5000 ลบ.ม.</t>
  </si>
  <si>
    <t>กรณีทรายและหินมีหน่วยน้ำหนัก (สภาพอิ่มตัวผิวแห้ง)</t>
  </si>
  <si>
    <t xml:space="preserve">Class of concrete </t>
  </si>
  <si>
    <t>special A</t>
  </si>
  <si>
    <t>A&amp;B</t>
  </si>
  <si>
    <t>สะพาน</t>
  </si>
  <si>
    <t>โครงสร้างอื่นๆ</t>
  </si>
  <si>
    <t>C</t>
  </si>
  <si>
    <t>lean1:3:6</t>
  </si>
  <si>
    <t>Motar 1:3</t>
  </si>
  <si>
    <t>400:726:1153</t>
  </si>
  <si>
    <t>350:843:1121</t>
  </si>
  <si>
    <t>350:808:1105</t>
  </si>
  <si>
    <t>336:600:1090</t>
  </si>
  <si>
    <t>220:660:1320</t>
  </si>
  <si>
    <t>500:1257</t>
  </si>
  <si>
    <t>ค่าแรงเทคอนกรีต</t>
  </si>
  <si>
    <t>ค่าคอนกรีตผสมเสร็จ</t>
  </si>
  <si>
    <t>280 ksc.cube</t>
  </si>
  <si>
    <t>…………………</t>
  </si>
  <si>
    <t>งานไหล่ทางวัสดุมวลรวม (ลบ.ม.แน่น)</t>
  </si>
  <si>
    <t xml:space="preserve">                       (นายสุรศักดิ์    ธรรมขันธา)</t>
  </si>
  <si>
    <t>เห็นชอบ.................................................................ปลัดเทศบาลตำบลแม่ลาว</t>
  </si>
  <si>
    <t>งานท่อกลมคอนกรีตเสริมเหล็ก (R.C. PIPE CULVERTS)</t>
  </si>
  <si>
    <t>บาท / ม.</t>
  </si>
  <si>
    <t>กม.              =</t>
  </si>
  <si>
    <t>บาท / เที่ยวค่าขนส่ง</t>
  </si>
  <si>
    <t xml:space="preserve">                  =</t>
  </si>
  <si>
    <t>ค่าวาง และกลบกลับ</t>
  </si>
  <si>
    <t>ค่าใช่จ่ายรวม</t>
  </si>
  <si>
    <t>ขนาด Ø 0.80 ม.</t>
  </si>
  <si>
    <t xml:space="preserve">งานบ่อพักคอนกรีตเสริมเหล็ก (R.C.MANHOLE) </t>
  </si>
  <si>
    <t>เหล็กเสริม DB 12 มม. @0.20#</t>
  </si>
  <si>
    <t>หักส่วน ท่อ1.00</t>
  </si>
  <si>
    <t>เหล็กฉาก 50x50x4 มม.</t>
  </si>
  <si>
    <t xml:space="preserve">ท่อเหล็กอาบสังกะสี  2 นิ้ว </t>
  </si>
  <si>
    <t>ท่อ PVC 4"</t>
  </si>
  <si>
    <t>เหล็ก DB 12</t>
  </si>
  <si>
    <t>คอนกรีต</t>
  </si>
  <si>
    <t>ฐาน</t>
  </si>
  <si>
    <t xml:space="preserve">กว้าง  </t>
  </si>
  <si>
    <t xml:space="preserve">ยาว </t>
  </si>
  <si>
    <t xml:space="preserve">หนา </t>
  </si>
  <si>
    <t>ปริมาณ คอนกรีต</t>
  </si>
  <si>
    <t xml:space="preserve">ลบ.ม </t>
  </si>
  <si>
    <t>ผนัง</t>
  </si>
  <si>
    <t>สูง</t>
  </si>
  <si>
    <t>หักพื้นที่ ท่อ 0.50 ม</t>
  </si>
  <si>
    <t xml:space="preserve">x </t>
  </si>
  <si>
    <t xml:space="preserve"> ด้าน</t>
  </si>
  <si>
    <t>เหล็กเสริม</t>
  </si>
  <si>
    <t>RB9mm</t>
  </si>
  <si>
    <t xml:space="preserve"> x</t>
  </si>
  <si>
    <t>แนว</t>
  </si>
  <si>
    <t xml:space="preserve"> =</t>
  </si>
  <si>
    <t>DB12mm</t>
  </si>
  <si>
    <t>สรุป</t>
  </si>
  <si>
    <t xml:space="preserve"> x </t>
  </si>
  <si>
    <t xml:space="preserve"> กก.</t>
  </si>
  <si>
    <t>เหล็กฉาก 50x50x3</t>
  </si>
  <si>
    <t xml:space="preserve">    +</t>
  </si>
  <si>
    <t>ผิวทางปอร์ตแลนด์ซีเมนต์คอนกรีต (280ksc cube) หนา</t>
  </si>
  <si>
    <t xml:space="preserve"> หมู่ 19 ตำบลดงมะดะ อำเภอแม่ลาว จังหวัดเชียงราย </t>
  </si>
  <si>
    <t>งานขุดตอตัดต้นไม้</t>
  </si>
  <si>
    <t>ตัด ขุด ต้นไม้</t>
  </si>
  <si>
    <t>ขนาด Ø 0.60 ม.</t>
  </si>
  <si>
    <t>ลบ.ม / ม.</t>
  </si>
  <si>
    <t>งานบ่อพัก คสล. ขนาดท่อ Ø 0.60 ม.</t>
  </si>
  <si>
    <t>งานบ่อพัก ขนาด 0.1.04x1.24  หนา 0.12</t>
  </si>
  <si>
    <t xml:space="preserve">โครงการวางท่อพร้อมขยายผิวจราจร ถนนบ้านแม่ลาว หมู่ 19 - บ้านสันต้นแหน
</t>
  </si>
  <si>
    <t>แบบรายการคำนวณค่าระดับ</t>
  </si>
  <si>
    <t>ส่วนราชการ</t>
  </si>
  <si>
    <t>รายละเอียด</t>
  </si>
  <si>
    <t>BM./TP</t>
  </si>
  <si>
    <t xml:space="preserve"> Sta.</t>
  </si>
  <si>
    <t>B.S.</t>
  </si>
  <si>
    <t>HI</t>
  </si>
  <si>
    <t>I.F.S./ FS.</t>
  </si>
  <si>
    <t>Elev.</t>
  </si>
  <si>
    <t>Remark</t>
  </si>
  <si>
    <t>B.M. 1</t>
  </si>
  <si>
    <t>บ่าบนคอนกรีตดาดเดิม</t>
  </si>
  <si>
    <t>ดิน (ซ้าย)</t>
  </si>
  <si>
    <t>0+150</t>
  </si>
  <si>
    <t>0+125</t>
  </si>
  <si>
    <t>0+100</t>
  </si>
  <si>
    <t>0+075</t>
  </si>
  <si>
    <t>0+050</t>
  </si>
  <si>
    <t>0+025</t>
  </si>
  <si>
    <t>0+000</t>
  </si>
  <si>
    <t>B.M. 2</t>
  </si>
  <si>
    <t>R</t>
  </si>
  <si>
    <t>CL</t>
  </si>
  <si>
    <t>L</t>
  </si>
  <si>
    <t>รายการคำนวณปริมาตรงานดินขุด</t>
  </si>
  <si>
    <t>รวมปริมาณดินขุด</t>
  </si>
  <si>
    <t>คิดเป็นปริมาณดินขุด</t>
  </si>
  <si>
    <t>2.2(1) งานตัดดิน (EARTH EXCAVATION)</t>
  </si>
  <si>
    <t>ค่าดาเนินการ + ค่าเสื่อมราคา (งานตัด - ขึ้นรูปคันทาง : ดิน - ตัก................)</t>
  </si>
  <si>
    <t>ส่วนขยายตัว=................X................</t>
  </si>
  <si>
    <t>ค่าดาเนินการ + ค่าเสื่อมราคา (งานตัด - ขึ้นรูปคันทาง : ดิน - ขุดตัด...........)</t>
  </si>
  <si>
    <t>หมายเหตุ :</t>
  </si>
  <si>
    <t>ส่วนขยายตัวของทราย = 1.15</t>
  </si>
  <si>
    <t>ส่วนขยายตัวของดิน, ดินปนทราย = 1.25</t>
  </si>
  <si>
    <t>ราคาพานิชย์ กทม</t>
  </si>
  <si>
    <t>งานตัดดิน (EARTH EXCAVATION)</t>
  </si>
  <si>
    <t>RB15</t>
  </si>
  <si>
    <t>RB6</t>
  </si>
  <si>
    <t>ท่อ ระบายน้ำเสริมเหล็ก  ชั้น 3</t>
  </si>
  <si>
    <t>ค่าขนส่งท่อคิดจากการขนโดยรถบรรทุก 10 ล้อ เที่ยวละ 13 ตัน</t>
  </si>
  <si>
    <t>รอยต่อเผื่อขยายตามขวาง  Longtigudinal  Joint)</t>
  </si>
  <si>
    <t>DB12</t>
  </si>
  <si>
    <t>คณะกรรมการกำหนดราคากลางได้ตรวจสอบแล้ว</t>
  </si>
  <si>
    <t>เห็นชอบให้ประมาณราคานี้เป็นราคากลาง</t>
  </si>
  <si>
    <t xml:space="preserve">           (นางสุนิสา  ขัดสงคราม)</t>
  </si>
  <si>
    <t xml:space="preserve">          (นายบุรพัทธ์  วงค์ตินแท่น)</t>
  </si>
  <si>
    <t xml:space="preserve">          (นางจรรยา  พลสารัตน์)</t>
  </si>
  <si>
    <t xml:space="preserve">            (นางชื่นใจ    ศร๊ใจ)</t>
  </si>
  <si>
    <t>ป้ายโครงการ (ชั่วคราว)</t>
  </si>
  <si>
    <t xml:space="preserve">ป้ายโครงการป้ายเหล็ก </t>
  </si>
  <si>
    <t>ถนน ค.ส.ล.กว้าง 1.50 เมตร ยาว 150 เมตร หรือพื้นที่ไม่น้อยกว่า 205.6 ตารางเมตร วางท่อ ค.ส.ล. 0.60 ม.</t>
  </si>
  <si>
    <t>และบ่อพักจำนวน 15 บ่อพร้อมป้ายประชาสัมพันธ์รายละเอียดตามแบบแปลนและรายการที่เทศบาลตำบลแม่ลาวกำหนด</t>
  </si>
  <si>
    <t>(ลงชื่อ)...................................................................กรรมการ</t>
  </si>
  <si>
    <t>ลงชื่อ..........................................................ประธานกรรมการ</t>
  </si>
  <si>
    <t xml:space="preserve">             (นายวรวิทย์    ดอนชัย )</t>
  </si>
  <si>
    <t xml:space="preserve">            (นางสุนิสา  ขัดสงคราม)</t>
  </si>
  <si>
    <t xml:space="preserve">           (นายสุรศักดิ์    ธรรมขันธา)</t>
  </si>
  <si>
    <t>(นางสุนิสา  ขัดสงคราม)</t>
  </si>
  <si>
    <t xml:space="preserve"> (นายบุรพัทธ์  วงค์ตินแท่น)</t>
  </si>
  <si>
    <t>(นางจรรยา  พลสารัตน์)</t>
  </si>
  <si>
    <t>(นางชื่นใจ    ศร๊ใจ)</t>
  </si>
  <si>
    <t>(นางสาวกันยารัตน์   รัศมี)</t>
  </si>
  <si>
    <t xml:space="preserve">งวดที่ 1 </t>
  </si>
  <si>
    <t>งานขุดตอตัดต้นไม้ งานขุดดิน วางท่อกลมคสล.ขนาด Ø  0.60 ม.  จำนวน 135 ท่อน</t>
  </si>
  <si>
    <t>งวดที่ 2</t>
  </si>
  <si>
    <t>งานขุดกลบดินหลังท่อ ปรับระดับ งานทรายรองใต้ผิวทางคอนกรีต</t>
  </si>
  <si>
    <t>งานผิวทางปอร์ตแลนด์ซีเมนต์คอนกรีต (280ksc cube) พร้อมงานหยอดร่องรอยต่อคอนกรีต</t>
  </si>
  <si>
    <t>และเทบ่อพักสำหรับท่อขนาด Ø  0.60 ม. แล้วเสร็จ</t>
  </si>
  <si>
    <t>และบ่มคอนกรีต แล้วเสร็จมาสัญญาทุกประการ</t>
  </si>
  <si>
    <t>รอยต่อตามขวาง(contration joint)</t>
  </si>
  <si>
    <t>งานท่อกลมคสล.ขนาด Ø  0.60 ม. ชั้น 3</t>
  </si>
  <si>
    <t>ค่าขนทิ้ง.....1...........กม.</t>
  </si>
  <si>
    <t>งานคอนกรีตปากท่อป้องกันการกัดเซาะ</t>
  </si>
  <si>
    <t>จุด</t>
  </si>
  <si>
    <t>ผนังลาดเอียง</t>
  </si>
  <si>
    <t>ผนังเอียง</t>
  </si>
  <si>
    <t>ผนังข้าง</t>
  </si>
  <si>
    <t>พื้น</t>
  </si>
  <si>
    <t>ค่างานต้นทุนคอนกรีตปากท่อป้องกันการกัดเซาะ</t>
  </si>
  <si>
    <t xml:space="preserve">   8   เมษายน 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</si>
</sst>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##."/>
    <numFmt numFmtId="189" formatCode="0.000"/>
    <numFmt numFmtId="190" formatCode="#,##0.0000"/>
    <numFmt numFmtId="191" formatCode="#,##0.00_ ;\-#,##0.00\ "/>
    <numFmt numFmtId="192" formatCode="_-* #,##0.0000_-;\-* #,##0.0000_-;_-* &quot;-&quot;??_-;_-@_-"/>
    <numFmt numFmtId="193" formatCode="_-* #,##0_-;\-* #,##0_-;_-* &quot;-&quot;??_-;_-@_-"/>
    <numFmt numFmtId="194" formatCode="0.0000"/>
  </numFmts>
  <fonts count="43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5"/>
      <name val="Angsana New"/>
      <family val="1"/>
    </font>
    <font>
      <sz val="14"/>
      <name val="Cordia New"/>
      <family val="2"/>
    </font>
    <font>
      <sz val="14"/>
      <name val="AngsanaUPC"/>
      <family val="1"/>
      <charset val="22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15"/>
      <name val="AngsanaUPC"/>
      <family val="1"/>
      <charset val="222"/>
    </font>
    <font>
      <sz val="14"/>
      <color theme="1"/>
      <name val="TH SarabunPSK"/>
      <family val="2"/>
      <charset val="222"/>
    </font>
    <font>
      <sz val="16"/>
      <name val="Angsana New"/>
      <family val="1"/>
    </font>
    <font>
      <b/>
      <sz val="14"/>
      <name val="TH Sarabun New"/>
      <family val="2"/>
    </font>
    <font>
      <sz val="11"/>
      <color theme="1"/>
      <name val="TH Sarabun New"/>
      <family val="2"/>
    </font>
    <font>
      <b/>
      <sz val="12"/>
      <name val="TH Sarabun New"/>
      <family val="2"/>
    </font>
    <font>
      <sz val="14"/>
      <name val="TH Sarabun New"/>
      <family val="2"/>
    </font>
    <font>
      <sz val="14"/>
      <color theme="1"/>
      <name val="TH Sarabun New"/>
      <family val="2"/>
    </font>
    <font>
      <b/>
      <sz val="14"/>
      <color theme="1"/>
      <name val="TH Sarabun New"/>
      <family val="2"/>
    </font>
    <font>
      <sz val="13"/>
      <name val="TH Sarabun New"/>
      <family val="2"/>
    </font>
    <font>
      <b/>
      <sz val="13"/>
      <color theme="1"/>
      <name val="TH Sarabun New"/>
      <family val="2"/>
    </font>
    <font>
      <sz val="13"/>
      <color theme="1"/>
      <name val="TH Sarabun New"/>
      <family val="2"/>
    </font>
    <font>
      <b/>
      <sz val="13"/>
      <name val="TH Sarabun New"/>
      <family val="2"/>
    </font>
    <font>
      <u/>
      <sz val="14"/>
      <name val="TH Sarabun New"/>
      <family val="2"/>
    </font>
    <font>
      <b/>
      <sz val="16"/>
      <name val="TH Sarabun New"/>
      <family val="2"/>
    </font>
    <font>
      <b/>
      <u/>
      <sz val="14"/>
      <name val="TH Sarabun New"/>
      <family val="2"/>
    </font>
    <font>
      <sz val="16"/>
      <name val="TH Sarabun New"/>
      <family val="2"/>
    </font>
    <font>
      <b/>
      <sz val="36"/>
      <name val="TH Sarabun New"/>
      <family val="2"/>
    </font>
    <font>
      <sz val="24"/>
      <name val="TH Sarabun New"/>
      <family val="2"/>
    </font>
    <font>
      <sz val="26"/>
      <name val="TH Sarabun New"/>
      <family val="2"/>
    </font>
    <font>
      <b/>
      <sz val="26"/>
      <name val="TH Sarabun New"/>
      <family val="2"/>
    </font>
    <font>
      <b/>
      <u/>
      <sz val="14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b/>
      <u/>
      <sz val="16"/>
      <name val="TH Sarabun New"/>
      <family val="2"/>
    </font>
    <font>
      <b/>
      <u/>
      <sz val="16"/>
      <name val="TH SarabunPSK"/>
      <family val="2"/>
    </font>
    <font>
      <sz val="16"/>
      <name val="TH SarabunPSK"/>
      <family val="2"/>
    </font>
    <font>
      <sz val="15"/>
      <color rgb="FF002060"/>
      <name val="Angsana New"/>
      <family val="1"/>
    </font>
    <font>
      <sz val="15"/>
      <color theme="1"/>
      <name val="Angsana New"/>
      <family val="1"/>
    </font>
    <font>
      <b/>
      <sz val="16"/>
      <color theme="1"/>
      <name val="TH Sarabun New"/>
      <family val="2"/>
    </font>
    <font>
      <sz val="16"/>
      <color theme="1"/>
      <name val="TH Sarabun New"/>
      <family val="2"/>
    </font>
    <font>
      <sz val="18"/>
      <color theme="1"/>
      <name val="TH Sarabun New"/>
      <family val="2"/>
    </font>
    <font>
      <b/>
      <sz val="16"/>
      <name val="TH SarabunPSK"/>
      <family val="2"/>
    </font>
    <font>
      <b/>
      <sz val="12"/>
      <name val="TH SarabunPSK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5" fillId="0" borderId="0"/>
    <xf numFmtId="188" fontId="5" fillId="0" borderId="0" applyFont="0" applyFill="0" applyBorder="0" applyAlignment="0" applyProtection="0"/>
    <xf numFmtId="0" fontId="9" fillId="0" borderId="0"/>
    <xf numFmtId="0" fontId="5" fillId="0" borderId="0"/>
    <xf numFmtId="0" fontId="10" fillId="0" borderId="0"/>
    <xf numFmtId="0" fontId="2" fillId="0" borderId="0"/>
    <xf numFmtId="0" fontId="4" fillId="0" borderId="0"/>
    <xf numFmtId="43" fontId="11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</cellStyleXfs>
  <cellXfs count="538">
    <xf numFmtId="0" fontId="0" fillId="0" borderId="0" xfId="0"/>
    <xf numFmtId="0" fontId="13" fillId="0" borderId="0" xfId="0" applyFont="1"/>
    <xf numFmtId="43" fontId="12" fillId="0" borderId="0" xfId="1" applyFont="1" applyAlignment="1">
      <alignment horizontal="right"/>
    </xf>
    <xf numFmtId="43" fontId="12" fillId="5" borderId="21" xfId="1" applyFont="1" applyFill="1" applyBorder="1" applyAlignment="1">
      <alignment horizontal="center"/>
    </xf>
    <xf numFmtId="0" fontId="12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12" applyFont="1" applyAlignment="1">
      <alignment horizontal="center"/>
    </xf>
    <xf numFmtId="0" fontId="12" fillId="0" borderId="0" xfId="12" applyFont="1" applyAlignment="1">
      <alignment horizontal="center"/>
    </xf>
    <xf numFmtId="0" fontId="16" fillId="0" borderId="0" xfId="0" applyFont="1"/>
    <xf numFmtId="0" fontId="15" fillId="3" borderId="21" xfId="12" applyFont="1" applyFill="1" applyBorder="1" applyAlignment="1">
      <alignment horizontal="center"/>
    </xf>
    <xf numFmtId="0" fontId="16" fillId="0" borderId="21" xfId="0" applyFont="1" applyBorder="1" applyAlignment="1">
      <alignment horizontal="center"/>
    </xf>
    <xf numFmtId="43" fontId="16" fillId="0" borderId="21" xfId="1" applyFont="1" applyBorder="1" applyAlignment="1">
      <alignment horizontal="center"/>
    </xf>
    <xf numFmtId="0" fontId="16" fillId="0" borderId="0" xfId="0" applyFont="1" applyAlignment="1">
      <alignment horizontal="center"/>
    </xf>
    <xf numFmtId="43" fontId="16" fillId="0" borderId="0" xfId="1" applyFont="1" applyAlignment="1">
      <alignment horizontal="center"/>
    </xf>
    <xf numFmtId="192" fontId="15" fillId="4" borderId="21" xfId="1" applyNumberFormat="1" applyFont="1" applyFill="1" applyBorder="1" applyAlignment="1">
      <alignment horizontal="center"/>
    </xf>
    <xf numFmtId="192" fontId="16" fillId="4" borderId="21" xfId="1" applyNumberFormat="1" applyFont="1" applyFill="1" applyBorder="1" applyAlignment="1">
      <alignment horizontal="center"/>
    </xf>
    <xf numFmtId="43" fontId="17" fillId="0" borderId="0" xfId="1" applyFont="1" applyAlignment="1">
      <alignment horizontal="center"/>
    </xf>
    <xf numFmtId="0" fontId="15" fillId="0" borderId="0" xfId="0" applyFont="1" applyFill="1"/>
    <xf numFmtId="0" fontId="15" fillId="0" borderId="0" xfId="0" applyFont="1" applyFill="1" applyAlignment="1">
      <alignment horizontal="center"/>
    </xf>
    <xf numFmtId="2" fontId="15" fillId="0" borderId="0" xfId="0" applyNumberFormat="1" applyFont="1" applyFill="1"/>
    <xf numFmtId="2" fontId="15" fillId="6" borderId="0" xfId="0" applyNumberFormat="1" applyFont="1" applyFill="1"/>
    <xf numFmtId="2" fontId="15" fillId="0" borderId="0" xfId="0" applyNumberFormat="1" applyFont="1" applyFill="1" applyAlignment="1">
      <alignment horizontal="center"/>
    </xf>
    <xf numFmtId="2" fontId="15" fillId="0" borderId="8" xfId="0" applyNumberFormat="1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2" fontId="15" fillId="0" borderId="10" xfId="0" applyNumberFormat="1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2" fontId="15" fillId="0" borderId="13" xfId="0" applyNumberFormat="1" applyFont="1" applyFill="1" applyBorder="1" applyAlignment="1">
      <alignment horizontal="center"/>
    </xf>
    <xf numFmtId="0" fontId="15" fillId="0" borderId="8" xfId="0" applyFont="1" applyFill="1" applyBorder="1" applyAlignment="1">
      <alignment horizontal="left"/>
    </xf>
    <xf numFmtId="43" fontId="15" fillId="0" borderId="8" xfId="2" applyFont="1" applyFill="1" applyBorder="1" applyAlignment="1">
      <alignment horizontal="right"/>
    </xf>
    <xf numFmtId="0" fontId="15" fillId="0" borderId="8" xfId="0" applyFont="1" applyFill="1" applyBorder="1" applyAlignment="1">
      <alignment horizontal="right"/>
    </xf>
    <xf numFmtId="0" fontId="15" fillId="0" borderId="10" xfId="0" applyFont="1" applyFill="1" applyBorder="1" applyAlignment="1">
      <alignment horizontal="right"/>
    </xf>
    <xf numFmtId="2" fontId="15" fillId="0" borderId="16" xfId="0" applyNumberFormat="1" applyFont="1" applyFill="1" applyBorder="1" applyAlignment="1">
      <alignment horizontal="right"/>
    </xf>
    <xf numFmtId="0" fontId="15" fillId="0" borderId="16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43" fontId="15" fillId="0" borderId="0" xfId="2" applyFont="1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0" fontId="15" fillId="0" borderId="16" xfId="0" applyFont="1" applyFill="1" applyBorder="1" applyAlignment="1">
      <alignment horizontal="right"/>
    </xf>
    <xf numFmtId="2" fontId="15" fillId="0" borderId="0" xfId="0" applyNumberFormat="1" applyFont="1" applyFill="1" applyBorder="1" applyAlignment="1">
      <alignment horizontal="right"/>
    </xf>
    <xf numFmtId="0" fontId="15" fillId="0" borderId="18" xfId="0" applyFont="1" applyFill="1" applyBorder="1"/>
    <xf numFmtId="2" fontId="15" fillId="0" borderId="13" xfId="0" applyNumberFormat="1" applyFont="1" applyFill="1" applyBorder="1" applyAlignment="1">
      <alignment horizontal="right"/>
    </xf>
    <xf numFmtId="0" fontId="15" fillId="0" borderId="11" xfId="0" applyFont="1" applyFill="1" applyBorder="1" applyAlignment="1">
      <alignment horizontal="left"/>
    </xf>
    <xf numFmtId="0" fontId="15" fillId="0" borderId="11" xfId="0" applyFont="1" applyFill="1" applyBorder="1" applyAlignment="1">
      <alignment horizontal="center"/>
    </xf>
    <xf numFmtId="2" fontId="15" fillId="0" borderId="11" xfId="0" applyNumberFormat="1" applyFont="1" applyFill="1" applyBorder="1" applyAlignment="1">
      <alignment horizontal="right"/>
    </xf>
    <xf numFmtId="0" fontId="15" fillId="0" borderId="11" xfId="0" applyFont="1" applyFill="1" applyBorder="1" applyAlignment="1">
      <alignment horizontal="right"/>
    </xf>
    <xf numFmtId="0" fontId="15" fillId="0" borderId="18" xfId="0" applyFont="1" applyFill="1" applyBorder="1" applyAlignment="1">
      <alignment horizontal="left"/>
    </xf>
    <xf numFmtId="0" fontId="15" fillId="0" borderId="18" xfId="0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right"/>
    </xf>
    <xf numFmtId="0" fontId="15" fillId="0" borderId="18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left"/>
    </xf>
    <xf numFmtId="2" fontId="15" fillId="0" borderId="1" xfId="0" applyNumberFormat="1" applyFont="1" applyFill="1" applyBorder="1" applyAlignment="1">
      <alignment horizontal="right"/>
    </xf>
    <xf numFmtId="0" fontId="15" fillId="0" borderId="1" xfId="0" applyFont="1" applyFill="1" applyBorder="1" applyAlignment="1">
      <alignment horizontal="right"/>
    </xf>
    <xf numFmtId="0" fontId="15" fillId="0" borderId="13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5" fillId="0" borderId="17" xfId="0" applyFont="1" applyFill="1" applyBorder="1" applyAlignment="1">
      <alignment horizontal="center"/>
    </xf>
    <xf numFmtId="0" fontId="15" fillId="0" borderId="0" xfId="0" applyFont="1" applyFill="1" applyBorder="1"/>
    <xf numFmtId="0" fontId="15" fillId="0" borderId="0" xfId="0" applyFont="1" applyFill="1" applyAlignment="1">
      <alignment horizontal="left"/>
    </xf>
    <xf numFmtId="2" fontId="1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8" fillId="0" borderId="0" xfId="7" applyFont="1" applyProtection="1">
      <protection hidden="1"/>
    </xf>
    <xf numFmtId="0" fontId="20" fillId="0" borderId="0" xfId="8" applyFont="1" applyProtection="1">
      <protection hidden="1"/>
    </xf>
    <xf numFmtId="0" fontId="19" fillId="0" borderId="0" xfId="8" applyFont="1" applyAlignment="1" applyProtection="1">
      <alignment horizontal="center"/>
      <protection hidden="1"/>
    </xf>
    <xf numFmtId="0" fontId="18" fillId="0" borderId="0" xfId="7" applyFont="1" applyAlignment="1" applyProtection="1">
      <alignment horizontal="center"/>
      <protection hidden="1"/>
    </xf>
    <xf numFmtId="0" fontId="18" fillId="0" borderId="21" xfId="7" applyFont="1" applyBorder="1" applyAlignment="1" applyProtection="1">
      <alignment horizontal="center"/>
      <protection hidden="1"/>
    </xf>
    <xf numFmtId="0" fontId="19" fillId="0" borderId="10" xfId="8" applyFont="1" applyBorder="1" applyAlignment="1" applyProtection="1">
      <alignment horizontal="center"/>
      <protection hidden="1"/>
    </xf>
    <xf numFmtId="0" fontId="19" fillId="0" borderId="21" xfId="8" applyFont="1" applyBorder="1" applyAlignment="1" applyProtection="1">
      <alignment horizontal="center"/>
      <protection hidden="1"/>
    </xf>
    <xf numFmtId="0" fontId="18" fillId="0" borderId="22" xfId="7" applyFont="1" applyBorder="1" applyAlignment="1" applyProtection="1">
      <alignment horizontal="center"/>
      <protection hidden="1"/>
    </xf>
    <xf numFmtId="0" fontId="18" fillId="0" borderId="23" xfId="7" applyFont="1" applyBorder="1" applyProtection="1">
      <protection hidden="1"/>
    </xf>
    <xf numFmtId="43" fontId="18" fillId="0" borderId="23" xfId="5" applyNumberFormat="1" applyFont="1" applyBorder="1" applyAlignment="1" applyProtection="1">
      <alignment horizontal="right"/>
      <protection hidden="1"/>
    </xf>
    <xf numFmtId="0" fontId="18" fillId="0" borderId="23" xfId="7" applyFont="1" applyBorder="1" applyAlignment="1" applyProtection="1">
      <alignment horizontal="center"/>
      <protection hidden="1"/>
    </xf>
    <xf numFmtId="43" fontId="18" fillId="0" borderId="23" xfId="5" applyNumberFormat="1" applyFont="1" applyBorder="1" applyAlignment="1" applyProtection="1">
      <alignment horizontal="left"/>
      <protection hidden="1"/>
    </xf>
    <xf numFmtId="4" fontId="18" fillId="0" borderId="23" xfId="7" applyNumberFormat="1" applyFont="1" applyBorder="1" applyAlignment="1" applyProtection="1">
      <alignment horizontal="center"/>
      <protection hidden="1"/>
    </xf>
    <xf numFmtId="43" fontId="18" fillId="0" borderId="24" xfId="5" applyNumberFormat="1" applyFont="1" applyBorder="1" applyAlignment="1" applyProtection="1">
      <protection hidden="1"/>
    </xf>
    <xf numFmtId="4" fontId="18" fillId="0" borderId="22" xfId="7" applyNumberFormat="1" applyFont="1" applyBorder="1" applyAlignment="1" applyProtection="1">
      <alignment horizontal="center"/>
      <protection hidden="1"/>
    </xf>
    <xf numFmtId="4" fontId="18" fillId="0" borderId="25" xfId="7" applyNumberFormat="1" applyFont="1" applyBorder="1" applyAlignment="1" applyProtection="1">
      <alignment horizontal="center"/>
      <protection hidden="1"/>
    </xf>
    <xf numFmtId="0" fontId="18" fillId="0" borderId="26" xfId="7" applyFont="1" applyBorder="1" applyAlignment="1" applyProtection="1">
      <alignment horizontal="center"/>
      <protection hidden="1"/>
    </xf>
    <xf numFmtId="0" fontId="18" fillId="0" borderId="6" xfId="7" applyFont="1" applyBorder="1" applyProtection="1">
      <protection hidden="1"/>
    </xf>
    <xf numFmtId="43" fontId="18" fillId="0" borderId="6" xfId="5" applyNumberFormat="1" applyFont="1" applyBorder="1" applyAlignment="1" applyProtection="1">
      <alignment horizontal="right"/>
      <protection hidden="1"/>
    </xf>
    <xf numFmtId="0" fontId="18" fillId="0" borderId="6" xfId="7" applyFont="1" applyBorder="1" applyAlignment="1" applyProtection="1">
      <alignment horizontal="center"/>
      <protection hidden="1"/>
    </xf>
    <xf numFmtId="43" fontId="18" fillId="0" borderId="6" xfId="5" applyNumberFormat="1" applyFont="1" applyBorder="1" applyAlignment="1" applyProtection="1">
      <alignment horizontal="left"/>
      <protection hidden="1"/>
    </xf>
    <xf numFmtId="4" fontId="18" fillId="0" borderId="6" xfId="7" applyNumberFormat="1" applyFont="1" applyBorder="1" applyAlignment="1" applyProtection="1">
      <alignment horizontal="center"/>
      <protection hidden="1"/>
    </xf>
    <xf numFmtId="4" fontId="18" fillId="0" borderId="26" xfId="7" applyNumberFormat="1" applyFont="1" applyBorder="1" applyAlignment="1" applyProtection="1">
      <alignment horizontal="center"/>
      <protection hidden="1"/>
    </xf>
    <xf numFmtId="0" fontId="13" fillId="0" borderId="18" xfId="0" applyFont="1" applyBorder="1"/>
    <xf numFmtId="191" fontId="18" fillId="0" borderId="26" xfId="2" applyNumberFormat="1" applyFont="1" applyFill="1" applyBorder="1" applyAlignment="1" applyProtection="1">
      <alignment horizontal="center"/>
      <protection hidden="1"/>
    </xf>
    <xf numFmtId="0" fontId="18" fillId="0" borderId="14" xfId="7" applyFont="1" applyBorder="1" applyAlignment="1" applyProtection="1">
      <alignment horizontal="center"/>
      <protection hidden="1"/>
    </xf>
    <xf numFmtId="0" fontId="18" fillId="0" borderId="1" xfId="7" applyFont="1" applyBorder="1" applyProtection="1">
      <protection hidden="1"/>
    </xf>
    <xf numFmtId="0" fontId="18" fillId="0" borderId="15" xfId="7" applyFont="1" applyBorder="1" applyProtection="1">
      <protection hidden="1"/>
    </xf>
    <xf numFmtId="43" fontId="18" fillId="0" borderId="14" xfId="2" applyFont="1" applyFill="1" applyBorder="1" applyAlignment="1" applyProtection="1">
      <alignment horizontal="center"/>
      <protection hidden="1"/>
    </xf>
    <xf numFmtId="43" fontId="18" fillId="0" borderId="13" xfId="2" applyFont="1" applyFill="1" applyBorder="1" applyAlignment="1" applyProtection="1">
      <alignment horizontal="center"/>
      <protection hidden="1"/>
    </xf>
    <xf numFmtId="4" fontId="21" fillId="0" borderId="19" xfId="7" applyNumberFormat="1" applyFont="1" applyBorder="1" applyAlignment="1" applyProtection="1">
      <alignment horizontal="center"/>
      <protection hidden="1"/>
    </xf>
    <xf numFmtId="4" fontId="21" fillId="0" borderId="21" xfId="7" applyNumberFormat="1" applyFont="1" applyBorder="1" applyAlignment="1" applyProtection="1">
      <alignment horizontal="center"/>
      <protection hidden="1"/>
    </xf>
    <xf numFmtId="43" fontId="18" fillId="0" borderId="23" xfId="5" applyNumberFormat="1" applyFont="1" applyBorder="1" applyAlignment="1" applyProtection="1">
      <alignment horizontal="center"/>
      <protection hidden="1"/>
    </xf>
    <xf numFmtId="43" fontId="18" fillId="0" borderId="6" xfId="5" applyNumberFormat="1" applyFont="1" applyBorder="1" applyAlignment="1" applyProtection="1">
      <alignment horizontal="center"/>
      <protection hidden="1"/>
    </xf>
    <xf numFmtId="4" fontId="18" fillId="0" borderId="27" xfId="7" applyNumberFormat="1" applyFont="1" applyBorder="1" applyAlignment="1" applyProtection="1">
      <alignment horizontal="center"/>
      <protection hidden="1"/>
    </xf>
    <xf numFmtId="0" fontId="18" fillId="0" borderId="0" xfId="9" applyFont="1" applyProtection="1">
      <protection hidden="1"/>
    </xf>
    <xf numFmtId="0" fontId="21" fillId="0" borderId="0" xfId="7" applyFont="1" applyAlignment="1" applyProtection="1">
      <alignment horizontal="left"/>
      <protection hidden="1"/>
    </xf>
    <xf numFmtId="0" fontId="18" fillId="0" borderId="0" xfId="7" applyFont="1" applyAlignment="1" applyProtection="1">
      <protection hidden="1"/>
    </xf>
    <xf numFmtId="0" fontId="21" fillId="0" borderId="0" xfId="7" applyFont="1" applyAlignment="1" applyProtection="1">
      <protection hidden="1"/>
    </xf>
    <xf numFmtId="49" fontId="19" fillId="0" borderId="10" xfId="8" applyNumberFormat="1" applyFont="1" applyBorder="1" applyAlignment="1" applyProtection="1">
      <alignment horizontal="center"/>
      <protection hidden="1"/>
    </xf>
    <xf numFmtId="0" fontId="15" fillId="0" borderId="0" xfId="0" applyFont="1" applyAlignment="1">
      <alignment horizontal="right"/>
    </xf>
    <xf numFmtId="49" fontId="15" fillId="0" borderId="0" xfId="0" applyNumberFormat="1" applyFont="1" applyAlignment="1">
      <alignment horizontal="right"/>
    </xf>
    <xf numFmtId="0" fontId="12" fillId="0" borderId="0" xfId="3" applyFont="1" applyAlignment="1">
      <alignment horizontal="left" vertical="center"/>
    </xf>
    <xf numFmtId="0" fontId="15" fillId="0" borderId="0" xfId="3" applyFont="1" applyAlignment="1">
      <alignment horizontal="center" vertical="center"/>
    </xf>
    <xf numFmtId="0" fontId="15" fillId="0" borderId="0" xfId="0" quotePrefix="1" applyFont="1" applyAlignment="1">
      <alignment horizontal="center"/>
    </xf>
    <xf numFmtId="2" fontId="15" fillId="0" borderId="0" xfId="0" applyNumberFormat="1" applyFont="1" applyAlignment="1">
      <alignment horizontal="center"/>
    </xf>
    <xf numFmtId="0" fontId="24" fillId="0" borderId="0" xfId="4" applyFont="1"/>
    <xf numFmtId="0" fontId="15" fillId="0" borderId="0" xfId="4" applyFont="1"/>
    <xf numFmtId="0" fontId="15" fillId="0" borderId="0" xfId="4" applyFont="1" applyAlignment="1">
      <alignment horizontal="center"/>
    </xf>
    <xf numFmtId="0" fontId="15" fillId="2" borderId="1" xfId="4" applyFont="1" applyFill="1" applyBorder="1"/>
    <xf numFmtId="2" fontId="15" fillId="0" borderId="2" xfId="4" applyNumberFormat="1" applyFont="1" applyBorder="1"/>
    <xf numFmtId="0" fontId="15" fillId="0" borderId="0" xfId="4" applyFont="1" applyBorder="1"/>
    <xf numFmtId="0" fontId="15" fillId="0" borderId="0" xfId="4" applyFont="1" applyBorder="1" applyAlignment="1">
      <alignment horizontal="right"/>
    </xf>
    <xf numFmtId="0" fontId="15" fillId="0" borderId="0" xfId="4" applyFont="1" applyBorder="1" applyAlignment="1">
      <alignment horizontal="center"/>
    </xf>
    <xf numFmtId="2" fontId="15" fillId="0" borderId="0" xfId="4" applyNumberFormat="1" applyFont="1" applyBorder="1"/>
    <xf numFmtId="0" fontId="15" fillId="0" borderId="0" xfId="0" applyFont="1" applyBorder="1"/>
    <xf numFmtId="2" fontId="15" fillId="0" borderId="0" xfId="4" applyNumberFormat="1" applyFont="1" applyAlignment="1">
      <alignment horizontal="right"/>
    </xf>
    <xf numFmtId="187" fontId="15" fillId="0" borderId="0" xfId="4" applyNumberFormat="1" applyFont="1" applyFill="1" applyBorder="1" applyAlignment="1"/>
    <xf numFmtId="2" fontId="15" fillId="0" borderId="3" xfId="4" applyNumberFormat="1" applyFont="1" applyFill="1" applyBorder="1" applyAlignment="1">
      <alignment horizontal="center"/>
    </xf>
    <xf numFmtId="0" fontId="15" fillId="0" borderId="3" xfId="4" applyFont="1" applyBorder="1"/>
    <xf numFmtId="2" fontId="15" fillId="0" borderId="4" xfId="4" applyNumberFormat="1" applyFont="1" applyBorder="1" applyAlignment="1">
      <alignment horizontal="right"/>
    </xf>
    <xf numFmtId="2" fontId="15" fillId="0" borderId="4" xfId="0" applyNumberFormat="1" applyFont="1" applyBorder="1" applyAlignment="1">
      <alignment horizontal="right"/>
    </xf>
    <xf numFmtId="2" fontId="15" fillId="0" borderId="0" xfId="4" applyNumberFormat="1" applyFont="1" applyBorder="1" applyAlignment="1"/>
    <xf numFmtId="0" fontId="15" fillId="0" borderId="3" xfId="4" applyFont="1" applyBorder="1" applyAlignment="1"/>
    <xf numFmtId="2" fontId="15" fillId="0" borderId="3" xfId="4" applyNumberFormat="1" applyFont="1" applyBorder="1" applyAlignment="1">
      <alignment horizontal="center"/>
    </xf>
    <xf numFmtId="187" fontId="15" fillId="0" borderId="1" xfId="2" applyNumberFormat="1" applyFont="1" applyBorder="1" applyAlignment="1">
      <alignment horizontal="right"/>
    </xf>
    <xf numFmtId="0" fontId="15" fillId="0" borderId="0" xfId="4" applyFont="1" applyAlignment="1">
      <alignment horizontal="right"/>
    </xf>
    <xf numFmtId="2" fontId="15" fillId="0" borderId="2" xfId="4" applyNumberFormat="1" applyFont="1" applyBorder="1" applyAlignment="1">
      <alignment horizontal="right"/>
    </xf>
    <xf numFmtId="2" fontId="15" fillId="0" borderId="0" xfId="4" applyNumberFormat="1" applyFont="1" applyBorder="1" applyAlignment="1">
      <alignment horizontal="right"/>
    </xf>
    <xf numFmtId="0" fontId="12" fillId="0" borderId="0" xfId="4" applyFont="1"/>
    <xf numFmtId="2" fontId="15" fillId="0" borderId="0" xfId="4" applyNumberFormat="1" applyFont="1" applyFill="1" applyBorder="1" applyAlignment="1"/>
    <xf numFmtId="2" fontId="15" fillId="0" borderId="3" xfId="4" applyNumberFormat="1" applyFont="1" applyBorder="1"/>
    <xf numFmtId="2" fontId="15" fillId="0" borderId="4" xfId="0" applyNumberFormat="1" applyFont="1" applyBorder="1"/>
    <xf numFmtId="2" fontId="15" fillId="0" borderId="3" xfId="4" applyNumberFormat="1" applyFont="1" applyBorder="1" applyAlignment="1"/>
    <xf numFmtId="0" fontId="15" fillId="0" borderId="4" xfId="0" applyFont="1" applyBorder="1"/>
    <xf numFmtId="4" fontId="15" fillId="2" borderId="4" xfId="4" applyNumberFormat="1" applyFont="1" applyFill="1" applyBorder="1"/>
    <xf numFmtId="2" fontId="15" fillId="0" borderId="0" xfId="4" applyNumberFormat="1" applyFont="1"/>
    <xf numFmtId="0" fontId="24" fillId="0" borderId="0" xfId="4" applyFont="1" applyBorder="1"/>
    <xf numFmtId="0" fontId="24" fillId="0" borderId="0" xfId="4" applyFont="1" applyFill="1" applyAlignment="1">
      <alignment horizontal="center"/>
    </xf>
    <xf numFmtId="0" fontId="12" fillId="0" borderId="0" xfId="4" applyFont="1" applyAlignment="1">
      <alignment horizontal="center"/>
    </xf>
    <xf numFmtId="2" fontId="12" fillId="0" borderId="3" xfId="4" applyNumberFormat="1" applyFont="1" applyFill="1" applyBorder="1" applyAlignment="1">
      <alignment horizontal="center"/>
    </xf>
    <xf numFmtId="0" fontId="15" fillId="0" borderId="3" xfId="4" applyFont="1" applyBorder="1" applyAlignment="1">
      <alignment horizontal="center"/>
    </xf>
    <xf numFmtId="2" fontId="15" fillId="0" borderId="0" xfId="4" applyNumberFormat="1" applyFont="1" applyFill="1" applyAlignment="1">
      <alignment horizontal="left"/>
    </xf>
    <xf numFmtId="2" fontId="15" fillId="0" borderId="5" xfId="4" applyNumberFormat="1" applyFont="1" applyBorder="1" applyAlignment="1">
      <alignment horizontal="right"/>
    </xf>
    <xf numFmtId="4" fontId="15" fillId="0" borderId="0" xfId="4" applyNumberFormat="1" applyFont="1" applyFill="1" applyBorder="1" applyAlignment="1"/>
    <xf numFmtId="4" fontId="15" fillId="2" borderId="4" xfId="4" applyNumberFormat="1" applyFont="1" applyFill="1" applyBorder="1" applyAlignment="1"/>
    <xf numFmtId="4" fontId="15" fillId="0" borderId="0" xfId="4" applyNumberFormat="1" applyFont="1" applyFill="1" applyBorder="1" applyAlignment="1">
      <alignment horizontal="center"/>
    </xf>
    <xf numFmtId="2" fontId="15" fillId="0" borderId="4" xfId="2" applyNumberFormat="1" applyFont="1" applyFill="1" applyBorder="1" applyAlignment="1">
      <alignment horizontal="right"/>
    </xf>
    <xf numFmtId="4" fontId="15" fillId="0" borderId="0" xfId="4" applyNumberFormat="1" applyFont="1" applyBorder="1" applyAlignment="1">
      <alignment horizontal="center"/>
    </xf>
    <xf numFmtId="2" fontId="15" fillId="0" borderId="0" xfId="2" applyNumberFormat="1" applyFont="1" applyFill="1" applyBorder="1" applyAlignment="1">
      <alignment horizontal="right"/>
    </xf>
    <xf numFmtId="4" fontId="15" fillId="0" borderId="3" xfId="4" applyNumberFormat="1" applyFont="1" applyBorder="1" applyAlignment="1"/>
    <xf numFmtId="187" fontId="15" fillId="0" borderId="1" xfId="2" applyNumberFormat="1" applyFont="1" applyBorder="1" applyAlignment="1"/>
    <xf numFmtId="2" fontId="15" fillId="0" borderId="3" xfId="0" applyNumberFormat="1" applyFont="1" applyBorder="1" applyAlignment="1">
      <alignment horizontal="center"/>
    </xf>
    <xf numFmtId="0" fontId="24" fillId="0" borderId="0" xfId="4" applyFont="1" applyBorder="1" applyAlignment="1">
      <alignment horizontal="center"/>
    </xf>
    <xf numFmtId="4" fontId="15" fillId="0" borderId="4" xfId="4" applyNumberFormat="1" applyFont="1" applyBorder="1"/>
    <xf numFmtId="2" fontId="15" fillId="0" borderId="0" xfId="4" applyNumberFormat="1" applyFont="1" applyBorder="1" applyAlignment="1">
      <alignment horizontal="center"/>
    </xf>
    <xf numFmtId="4" fontId="15" fillId="0" borderId="4" xfId="4" applyNumberFormat="1" applyFont="1" applyFill="1" applyBorder="1" applyAlignment="1"/>
    <xf numFmtId="4" fontId="15" fillId="0" borderId="6" xfId="4" applyNumberFormat="1" applyFont="1" applyBorder="1" applyAlignment="1">
      <alignment horizontal="center"/>
    </xf>
    <xf numFmtId="4" fontId="15" fillId="0" borderId="0" xfId="4" applyNumberFormat="1" applyFont="1" applyAlignment="1">
      <alignment horizontal="center"/>
    </xf>
    <xf numFmtId="187" fontId="15" fillId="0" borderId="6" xfId="4" applyNumberFormat="1" applyFont="1" applyBorder="1" applyAlignment="1">
      <alignment horizontal="center"/>
    </xf>
    <xf numFmtId="187" fontId="15" fillId="0" borderId="4" xfId="2" applyNumberFormat="1" applyFont="1" applyFill="1" applyBorder="1" applyAlignment="1">
      <alignment horizontal="right"/>
    </xf>
    <xf numFmtId="187" fontId="15" fillId="0" borderId="0" xfId="2" applyNumberFormat="1" applyFont="1" applyBorder="1"/>
    <xf numFmtId="187" fontId="15" fillId="0" borderId="3" xfId="2" applyNumberFormat="1" applyFont="1" applyFill="1" applyBorder="1" applyAlignment="1">
      <alignment horizontal="center"/>
    </xf>
    <xf numFmtId="187" fontId="15" fillId="0" borderId="3" xfId="2" applyNumberFormat="1" applyFont="1" applyFill="1" applyBorder="1" applyAlignment="1"/>
    <xf numFmtId="4" fontId="15" fillId="0" borderId="7" xfId="4" applyNumberFormat="1" applyFont="1" applyBorder="1"/>
    <xf numFmtId="187" fontId="15" fillId="0" borderId="4" xfId="2" applyNumberFormat="1" applyFont="1" applyBorder="1"/>
    <xf numFmtId="2" fontId="15" fillId="2" borderId="3" xfId="4" applyNumberFormat="1" applyFont="1" applyFill="1" applyBorder="1" applyAlignment="1">
      <alignment horizontal="center"/>
    </xf>
    <xf numFmtId="2" fontId="15" fillId="0" borderId="1" xfId="4" applyNumberFormat="1" applyFont="1" applyBorder="1" applyAlignment="1">
      <alignment horizontal="right"/>
    </xf>
    <xf numFmtId="0" fontId="15" fillId="0" borderId="0" xfId="4" applyFont="1" applyBorder="1" applyAlignment="1"/>
    <xf numFmtId="187" fontId="15" fillId="0" borderId="3" xfId="4" applyNumberFormat="1" applyFont="1" applyBorder="1" applyAlignment="1">
      <alignment horizontal="center"/>
    </xf>
    <xf numFmtId="187" fontId="15" fillId="0" borderId="0" xfId="2" applyNumberFormat="1" applyFont="1" applyBorder="1" applyAlignment="1">
      <alignment horizontal="center"/>
    </xf>
    <xf numFmtId="187" fontId="15" fillId="0" borderId="0" xfId="4" applyNumberFormat="1" applyFont="1" applyBorder="1" applyAlignment="1"/>
    <xf numFmtId="2" fontId="15" fillId="0" borderId="6" xfId="4" applyNumberFormat="1" applyFont="1" applyBorder="1" applyAlignment="1">
      <alignment horizontal="center"/>
    </xf>
    <xf numFmtId="4" fontId="15" fillId="0" borderId="3" xfId="4" applyNumberFormat="1" applyFont="1" applyFill="1" applyBorder="1" applyAlignment="1">
      <alignment horizontal="center"/>
    </xf>
    <xf numFmtId="4" fontId="15" fillId="0" borderId="1" xfId="5" applyNumberFormat="1" applyFont="1" applyBorder="1"/>
    <xf numFmtId="2" fontId="15" fillId="0" borderId="6" xfId="4" applyNumberFormat="1" applyFont="1" applyFill="1" applyBorder="1" applyAlignment="1">
      <alignment horizontal="center"/>
    </xf>
    <xf numFmtId="189" fontId="15" fillId="0" borderId="6" xfId="4" applyNumberFormat="1" applyFont="1" applyBorder="1" applyAlignment="1">
      <alignment horizontal="center"/>
    </xf>
    <xf numFmtId="4" fontId="15" fillId="0" borderId="4" xfId="5" applyNumberFormat="1" applyFont="1" applyBorder="1"/>
    <xf numFmtId="2" fontId="15" fillId="2" borderId="6" xfId="4" applyNumberFormat="1" applyFont="1" applyFill="1" applyBorder="1" applyAlignment="1">
      <alignment horizontal="center"/>
    </xf>
    <xf numFmtId="4" fontId="15" fillId="0" borderId="7" xfId="5" applyNumberFormat="1" applyFont="1" applyBorder="1"/>
    <xf numFmtId="0" fontId="15" fillId="0" borderId="0" xfId="4" applyFont="1" applyAlignment="1"/>
    <xf numFmtId="4" fontId="15" fillId="0" borderId="2" xfId="4" applyNumberFormat="1" applyFont="1" applyBorder="1"/>
    <xf numFmtId="2" fontId="15" fillId="0" borderId="0" xfId="4" applyNumberFormat="1" applyFont="1" applyFill="1" applyBorder="1" applyAlignment="1">
      <alignment horizontal="center"/>
    </xf>
    <xf numFmtId="2" fontId="15" fillId="0" borderId="8" xfId="0" applyNumberFormat="1" applyFont="1" applyBorder="1" applyAlignment="1">
      <alignment horizontal="right"/>
    </xf>
    <xf numFmtId="0" fontId="12" fillId="0" borderId="0" xfId="4" applyFont="1" applyBorder="1"/>
    <xf numFmtId="2" fontId="12" fillId="0" borderId="0" xfId="4" applyNumberFormat="1" applyFont="1" applyBorder="1" applyAlignment="1"/>
    <xf numFmtId="0" fontId="12" fillId="0" borderId="0" xfId="4" applyFont="1" applyBorder="1" applyAlignment="1"/>
    <xf numFmtId="0" fontId="12" fillId="0" borderId="0" xfId="4" applyFont="1" applyBorder="1" applyAlignment="1">
      <alignment horizontal="center"/>
    </xf>
    <xf numFmtId="2" fontId="12" fillId="0" borderId="0" xfId="4" applyNumberFormat="1" applyFont="1" applyBorder="1" applyAlignment="1">
      <alignment horizontal="center"/>
    </xf>
    <xf numFmtId="2" fontId="15" fillId="0" borderId="0" xfId="0" applyNumberFormat="1" applyFont="1" applyBorder="1" applyAlignment="1">
      <alignment horizontal="right"/>
    </xf>
    <xf numFmtId="0" fontId="15" fillId="0" borderId="0" xfId="4" quotePrefix="1" applyFont="1" applyAlignment="1">
      <alignment horizontal="left"/>
    </xf>
    <xf numFmtId="2" fontId="15" fillId="0" borderId="1" xfId="0" applyNumberFormat="1" applyFont="1" applyBorder="1" applyAlignment="1">
      <alignment horizontal="right"/>
    </xf>
    <xf numFmtId="0" fontId="15" fillId="0" borderId="0" xfId="4" quotePrefix="1" applyFont="1"/>
    <xf numFmtId="0" fontId="22" fillId="0" borderId="0" xfId="0" applyFont="1"/>
    <xf numFmtId="189" fontId="15" fillId="0" borderId="0" xfId="0" applyNumberFormat="1" applyFont="1" applyAlignment="1">
      <alignment horizontal="center"/>
    </xf>
    <xf numFmtId="2" fontId="15" fillId="0" borderId="9" xfId="0" applyNumberFormat="1" applyFont="1" applyBorder="1" applyAlignment="1">
      <alignment horizontal="center"/>
    </xf>
    <xf numFmtId="43" fontId="15" fillId="0" borderId="3" xfId="4" applyNumberFormat="1" applyFont="1" applyBorder="1" applyAlignment="1">
      <alignment horizontal="center" vertical="center"/>
    </xf>
    <xf numFmtId="2" fontId="15" fillId="0" borderId="0" xfId="0" applyNumberFormat="1" applyFont="1"/>
    <xf numFmtId="2" fontId="15" fillId="0" borderId="9" xfId="0" applyNumberFormat="1" applyFont="1" applyBorder="1"/>
    <xf numFmtId="0" fontId="24" fillId="0" borderId="0" xfId="0" applyFont="1"/>
    <xf numFmtId="0" fontId="15" fillId="0" borderId="1" xfId="0" applyFont="1" applyBorder="1"/>
    <xf numFmtId="4" fontId="15" fillId="0" borderId="1" xfId="0" applyNumberFormat="1" applyFont="1" applyBorder="1"/>
    <xf numFmtId="4" fontId="15" fillId="2" borderId="1" xfId="5" applyNumberFormat="1" applyFont="1" applyFill="1" applyBorder="1"/>
    <xf numFmtId="4" fontId="15" fillId="0" borderId="1" xfId="0" applyNumberFormat="1" applyFont="1" applyFill="1" applyBorder="1"/>
    <xf numFmtId="0" fontId="23" fillId="0" borderId="0" xfId="0" applyNumberFormat="1" applyFont="1" applyFill="1" applyBorder="1" applyAlignment="1" applyProtection="1">
      <protection locked="0"/>
    </xf>
    <xf numFmtId="0" fontId="27" fillId="0" borderId="0" xfId="0" applyFont="1" applyAlignment="1"/>
    <xf numFmtId="0" fontId="27" fillId="0" borderId="0" xfId="0" applyFont="1"/>
    <xf numFmtId="0" fontId="28" fillId="0" borderId="0" xfId="0" applyFont="1" applyAlignment="1">
      <alignment horizontal="left" vertical="center"/>
    </xf>
    <xf numFmtId="0" fontId="28" fillId="0" borderId="0" xfId="0" applyFont="1"/>
    <xf numFmtId="43" fontId="28" fillId="0" borderId="0" xfId="2" applyFont="1"/>
    <xf numFmtId="0" fontId="12" fillId="0" borderId="0" xfId="10" applyNumberFormat="1" applyFont="1" applyFill="1" applyBorder="1" applyAlignment="1">
      <alignment horizontal="left" vertical="center"/>
    </xf>
    <xf numFmtId="0" fontId="15" fillId="0" borderId="0" xfId="10" applyNumberFormat="1" applyFont="1" applyFill="1" applyAlignment="1">
      <alignment vertical="center"/>
    </xf>
    <xf numFmtId="43" fontId="15" fillId="0" borderId="0" xfId="11" applyFont="1" applyAlignment="1">
      <alignment horizontal="center" vertical="center"/>
    </xf>
    <xf numFmtId="43" fontId="15" fillId="0" borderId="0" xfId="11" applyFont="1" applyAlignment="1">
      <alignment vertical="center"/>
    </xf>
    <xf numFmtId="43" fontId="15" fillId="0" borderId="0" xfId="11" applyFont="1" applyFill="1" applyAlignment="1">
      <alignment vertical="center"/>
    </xf>
    <xf numFmtId="43" fontId="15" fillId="0" borderId="0" xfId="11" applyFont="1" applyBorder="1" applyAlignment="1">
      <alignment horizontal="center" vertical="center"/>
    </xf>
    <xf numFmtId="43" fontId="15" fillId="0" borderId="0" xfId="11" applyFont="1" applyBorder="1" applyAlignment="1">
      <alignment horizontal="right" vertical="center"/>
    </xf>
    <xf numFmtId="0" fontId="15" fillId="0" borderId="0" xfId="10" applyNumberFormat="1" applyFont="1" applyBorder="1" applyAlignment="1">
      <alignment horizontal="left" vertical="center"/>
    </xf>
    <xf numFmtId="0" fontId="15" fillId="0" borderId="0" xfId="10" applyNumberFormat="1" applyFont="1" applyAlignment="1">
      <alignment vertical="center"/>
    </xf>
    <xf numFmtId="43" fontId="15" fillId="0" borderId="0" xfId="11" applyFont="1" applyAlignment="1">
      <alignment horizontal="left" vertical="center"/>
    </xf>
    <xf numFmtId="43" fontId="12" fillId="0" borderId="0" xfId="11" applyFont="1" applyBorder="1" applyAlignment="1">
      <alignment horizontal="center" vertical="center"/>
    </xf>
    <xf numFmtId="43" fontId="12" fillId="0" borderId="0" xfId="11" applyFont="1" applyBorder="1" applyAlignment="1">
      <alignment horizontal="right" vertical="center"/>
    </xf>
    <xf numFmtId="0" fontId="15" fillId="0" borderId="0" xfId="10" applyNumberFormat="1" applyFont="1" applyAlignment="1">
      <alignment horizontal="left" vertical="center"/>
    </xf>
    <xf numFmtId="43" fontId="15" fillId="0" borderId="0" xfId="11" applyFont="1" applyAlignment="1">
      <alignment horizontal="right" vertical="center"/>
    </xf>
    <xf numFmtId="43" fontId="15" fillId="0" borderId="0" xfId="11" applyFont="1" applyFill="1" applyAlignment="1">
      <alignment horizontal="center" vertical="center"/>
    </xf>
    <xf numFmtId="43" fontId="15" fillId="2" borderId="0" xfId="11" applyFont="1" applyFill="1" applyAlignment="1" applyProtection="1">
      <alignment horizontal="center" vertical="center"/>
    </xf>
    <xf numFmtId="43" fontId="15" fillId="0" borderId="0" xfId="11" applyFont="1" applyFill="1" applyAlignment="1" applyProtection="1">
      <alignment horizontal="center" vertical="center"/>
    </xf>
    <xf numFmtId="0" fontId="15" fillId="0" borderId="0" xfId="10" applyNumberFormat="1" applyFont="1" applyFill="1" applyAlignment="1">
      <alignment horizontal="left" vertical="center"/>
    </xf>
    <xf numFmtId="43" fontId="18" fillId="0" borderId="26" xfId="1" applyFont="1" applyFill="1" applyBorder="1" applyAlignment="1" applyProtection="1">
      <alignment horizontal="center"/>
      <protection hidden="1"/>
    </xf>
    <xf numFmtId="187" fontId="15" fillId="0" borderId="0" xfId="5" applyNumberFormat="1" applyFont="1" applyBorder="1" applyAlignment="1">
      <alignment horizontal="center"/>
    </xf>
    <xf numFmtId="0" fontId="15" fillId="0" borderId="0" xfId="4" applyFont="1" applyAlignment="1">
      <alignment horizontal="left"/>
    </xf>
    <xf numFmtId="0" fontId="15" fillId="0" borderId="0" xfId="3" applyFont="1" applyAlignment="1">
      <alignment horizontal="left" vertical="center"/>
    </xf>
    <xf numFmtId="4" fontId="15" fillId="0" borderId="3" xfId="4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0" fontId="30" fillId="0" borderId="0" xfId="2" applyNumberFormat="1" applyFont="1" applyAlignment="1" applyProtection="1">
      <alignment vertical="center"/>
    </xf>
    <xf numFmtId="0" fontId="31" fillId="0" borderId="0" xfId="0" applyFont="1"/>
    <xf numFmtId="0" fontId="31" fillId="0" borderId="0" xfId="0" applyNumberFormat="1" applyFont="1"/>
    <xf numFmtId="0" fontId="31" fillId="0" borderId="0" xfId="0" applyFont="1" applyAlignment="1"/>
    <xf numFmtId="0" fontId="32" fillId="0" borderId="0" xfId="2" applyNumberFormat="1" applyFont="1" applyProtection="1"/>
    <xf numFmtId="0" fontId="31" fillId="0" borderId="0" xfId="0" applyNumberFormat="1" applyFont="1" applyAlignment="1"/>
    <xf numFmtId="43" fontId="31" fillId="0" borderId="3" xfId="0" applyNumberFormat="1" applyFont="1" applyBorder="1"/>
    <xf numFmtId="0" fontId="31" fillId="0" borderId="0" xfId="0" applyNumberFormat="1" applyFont="1" applyAlignment="1">
      <alignment horizontal="center"/>
    </xf>
    <xf numFmtId="0" fontId="31" fillId="0" borderId="0" xfId="2" applyNumberFormat="1" applyFont="1" applyAlignment="1" applyProtection="1">
      <alignment horizontal="center"/>
    </xf>
    <xf numFmtId="43" fontId="31" fillId="0" borderId="3" xfId="13" applyFont="1" applyBorder="1"/>
    <xf numFmtId="43" fontId="31" fillId="2" borderId="3" xfId="0" applyNumberFormat="1" applyFont="1" applyFill="1" applyBorder="1"/>
    <xf numFmtId="43" fontId="31" fillId="0" borderId="0" xfId="0" applyNumberFormat="1" applyFont="1" applyBorder="1"/>
    <xf numFmtId="193" fontId="31" fillId="0" borderId="3" xfId="0" applyNumberFormat="1" applyFont="1" applyBorder="1"/>
    <xf numFmtId="0" fontId="31" fillId="0" borderId="0" xfId="0" applyFont="1" applyAlignment="1">
      <alignment horizontal="center"/>
    </xf>
    <xf numFmtId="43" fontId="32" fillId="0" borderId="3" xfId="0" applyNumberFormat="1" applyFont="1" applyBorder="1"/>
    <xf numFmtId="0" fontId="31" fillId="0" borderId="0" xfId="0" applyNumberFormat="1" applyFont="1" applyBorder="1"/>
    <xf numFmtId="0" fontId="31" fillId="0" borderId="1" xfId="0" applyNumberFormat="1" applyFont="1" applyBorder="1"/>
    <xf numFmtId="43" fontId="31" fillId="0" borderId="1" xfId="0" applyNumberFormat="1" applyFont="1" applyBorder="1"/>
    <xf numFmtId="0" fontId="31" fillId="0" borderId="1" xfId="0" applyNumberFormat="1" applyFont="1" applyBorder="1" applyAlignment="1">
      <alignment horizontal="center"/>
    </xf>
    <xf numFmtId="0" fontId="31" fillId="0" borderId="1" xfId="2" applyNumberFormat="1" applyFont="1" applyBorder="1" applyAlignment="1" applyProtection="1">
      <alignment horizontal="center"/>
    </xf>
    <xf numFmtId="43" fontId="32" fillId="0" borderId="1" xfId="0" applyNumberFormat="1" applyFont="1" applyBorder="1"/>
    <xf numFmtId="0" fontId="31" fillId="0" borderId="1" xfId="0" applyFont="1" applyBorder="1" applyAlignment="1"/>
    <xf numFmtId="2" fontId="31" fillId="0" borderId="0" xfId="0" applyNumberFormat="1" applyFont="1"/>
    <xf numFmtId="0" fontId="33" fillId="0" borderId="1" xfId="0" applyFont="1" applyBorder="1"/>
    <xf numFmtId="0" fontId="25" fillId="0" borderId="0" xfId="0" applyFont="1"/>
    <xf numFmtId="0" fontId="25" fillId="0" borderId="0" xfId="0" applyFont="1" applyAlignment="1">
      <alignment horizontal="center"/>
    </xf>
    <xf numFmtId="0" fontId="33" fillId="0" borderId="0" xfId="0" applyFont="1" applyBorder="1"/>
    <xf numFmtId="2" fontId="25" fillId="0" borderId="0" xfId="0" applyNumberFormat="1" applyFont="1" applyAlignment="1">
      <alignment horizontal="center"/>
    </xf>
    <xf numFmtId="2" fontId="25" fillId="7" borderId="0" xfId="0" applyNumberFormat="1" applyFont="1" applyFill="1"/>
    <xf numFmtId="0" fontId="25" fillId="0" borderId="28" xfId="0" applyFont="1" applyBorder="1"/>
    <xf numFmtId="2" fontId="25" fillId="0" borderId="29" xfId="0" applyNumberFormat="1" applyFont="1" applyBorder="1"/>
    <xf numFmtId="0" fontId="25" fillId="0" borderId="30" xfId="0" applyFont="1" applyBorder="1" applyAlignment="1">
      <alignment horizontal="center"/>
    </xf>
    <xf numFmtId="0" fontId="25" fillId="0" borderId="29" xfId="0" applyFont="1" applyBorder="1"/>
    <xf numFmtId="0" fontId="25" fillId="0" borderId="0" xfId="0" applyFont="1" applyBorder="1"/>
    <xf numFmtId="0" fontId="25" fillId="0" borderId="0" xfId="0" applyFont="1" applyBorder="1" applyAlignment="1">
      <alignment horizontal="center"/>
    </xf>
    <xf numFmtId="4" fontId="31" fillId="0" borderId="0" xfId="0" applyNumberFormat="1" applyFont="1"/>
    <xf numFmtId="4" fontId="31" fillId="2" borderId="0" xfId="0" applyNumberFormat="1" applyFont="1" applyFill="1"/>
    <xf numFmtId="0" fontId="31" fillId="2" borderId="0" xfId="0" applyFont="1" applyFill="1"/>
    <xf numFmtId="0" fontId="15" fillId="0" borderId="0" xfId="3" applyFont="1" applyAlignment="1">
      <alignment horizontal="left" vertical="center"/>
    </xf>
    <xf numFmtId="0" fontId="32" fillId="0" borderId="0" xfId="0" applyFont="1" applyAlignment="1">
      <alignment horizontal="left"/>
    </xf>
    <xf numFmtId="43" fontId="32" fillId="0" borderId="0" xfId="1" applyFont="1"/>
    <xf numFmtId="44" fontId="31" fillId="0" borderId="0" xfId="0" applyNumberFormat="1" applyFont="1"/>
    <xf numFmtId="43" fontId="31" fillId="0" borderId="0" xfId="1" applyFont="1"/>
    <xf numFmtId="0" fontId="31" fillId="0" borderId="0" xfId="0" applyFont="1" applyBorder="1"/>
    <xf numFmtId="43" fontId="31" fillId="0" borderId="0" xfId="1" applyFont="1" applyAlignment="1">
      <alignment horizontal="center"/>
    </xf>
    <xf numFmtId="0" fontId="32" fillId="0" borderId="0" xfId="0" applyFont="1" applyBorder="1" applyAlignment="1">
      <alignment horizontal="left"/>
    </xf>
    <xf numFmtId="0" fontId="35" fillId="0" borderId="0" xfId="0" applyFont="1" applyFill="1" applyBorder="1"/>
    <xf numFmtId="43" fontId="35" fillId="0" borderId="0" xfId="1" applyFont="1" applyFill="1" applyBorder="1"/>
    <xf numFmtId="0" fontId="35" fillId="0" borderId="0" xfId="0" applyFont="1" applyFill="1" applyBorder="1" applyAlignment="1">
      <alignment horizontal="center"/>
    </xf>
    <xf numFmtId="0" fontId="35" fillId="0" borderId="0" xfId="0" applyFont="1" applyBorder="1"/>
    <xf numFmtId="43" fontId="31" fillId="0" borderId="0" xfId="1" applyFont="1" applyBorder="1" applyAlignment="1"/>
    <xf numFmtId="0" fontId="0" fillId="0" borderId="0" xfId="0" applyAlignment="1">
      <alignment horizontal="center"/>
    </xf>
    <xf numFmtId="0" fontId="2" fillId="0" borderId="21" xfId="0" applyFont="1" applyBorder="1" applyAlignment="1">
      <alignment horizontal="center"/>
    </xf>
    <xf numFmtId="0" fontId="36" fillId="0" borderId="21" xfId="0" applyFont="1" applyBorder="1" applyAlignment="1">
      <alignment horizontal="center"/>
    </xf>
    <xf numFmtId="189" fontId="36" fillId="0" borderId="21" xfId="0" applyNumberFormat="1" applyFont="1" applyBorder="1" applyAlignment="1">
      <alignment horizontal="center"/>
    </xf>
    <xf numFmtId="189" fontId="0" fillId="0" borderId="21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1" xfId="0" applyBorder="1"/>
    <xf numFmtId="194" fontId="36" fillId="0" borderId="21" xfId="0" applyNumberFormat="1" applyFont="1" applyBorder="1" applyAlignment="1">
      <alignment horizontal="center"/>
    </xf>
    <xf numFmtId="0" fontId="37" fillId="0" borderId="21" xfId="0" applyFont="1" applyBorder="1" applyAlignment="1">
      <alignment horizontal="center"/>
    </xf>
    <xf numFmtId="0" fontId="37" fillId="0" borderId="21" xfId="0" applyFont="1" applyBorder="1"/>
    <xf numFmtId="189" fontId="37" fillId="0" borderId="21" xfId="0" applyNumberFormat="1" applyFont="1" applyBorder="1" applyAlignment="1">
      <alignment horizontal="center"/>
    </xf>
    <xf numFmtId="0" fontId="32" fillId="0" borderId="0" xfId="0" applyFont="1" applyBorder="1" applyAlignment="1">
      <alignment horizontal="left" vertical="center"/>
    </xf>
    <xf numFmtId="0" fontId="34" fillId="0" borderId="0" xfId="0" applyFont="1" applyAlignment="1"/>
    <xf numFmtId="43" fontId="15" fillId="0" borderId="1" xfId="1" applyFont="1" applyBorder="1" applyAlignment="1">
      <alignment horizontal="center"/>
    </xf>
    <xf numFmtId="43" fontId="15" fillId="0" borderId="1" xfId="4" applyNumberFormat="1" applyFont="1" applyBorder="1" applyAlignment="1">
      <alignment horizontal="center"/>
    </xf>
    <xf numFmtId="43" fontId="15" fillId="0" borderId="4" xfId="0" applyNumberFormat="1" applyFont="1" applyBorder="1"/>
    <xf numFmtId="0" fontId="15" fillId="2" borderId="1" xfId="4" applyFont="1" applyFill="1" applyBorder="1" applyAlignment="1">
      <alignment horizontal="center"/>
    </xf>
    <xf numFmtId="0" fontId="15" fillId="2" borderId="4" xfId="0" applyFont="1" applyFill="1" applyBorder="1"/>
    <xf numFmtId="43" fontId="15" fillId="0" borderId="2" xfId="0" applyNumberFormat="1" applyFont="1" applyBorder="1"/>
    <xf numFmtId="0" fontId="15" fillId="2" borderId="3" xfId="4" applyFont="1" applyFill="1" applyBorder="1" applyAlignment="1">
      <alignment horizontal="center"/>
    </xf>
    <xf numFmtId="187" fontId="15" fillId="2" borderId="3" xfId="2" applyNumberFormat="1" applyFont="1" applyFill="1" applyBorder="1" applyAlignment="1">
      <alignment horizontal="center"/>
    </xf>
    <xf numFmtId="187" fontId="15" fillId="2" borderId="3" xfId="2" applyNumberFormat="1" applyFont="1" applyFill="1" applyBorder="1" applyAlignment="1"/>
    <xf numFmtId="43" fontId="31" fillId="2" borderId="0" xfId="0" applyNumberFormat="1" applyFont="1" applyFill="1" applyBorder="1"/>
    <xf numFmtId="2" fontId="31" fillId="2" borderId="0" xfId="0" applyNumberFormat="1" applyFont="1" applyFill="1"/>
    <xf numFmtId="0" fontId="25" fillId="0" borderId="0" xfId="0" applyFont="1" applyFill="1"/>
    <xf numFmtId="4" fontId="25" fillId="0" borderId="0" xfId="0" applyNumberFormat="1" applyFont="1" applyFill="1"/>
    <xf numFmtId="0" fontId="25" fillId="0" borderId="0" xfId="0" applyFont="1" applyFill="1" applyAlignment="1">
      <alignment horizontal="center"/>
    </xf>
    <xf numFmtId="0" fontId="25" fillId="0" borderId="0" xfId="0" applyFont="1" applyFill="1" applyAlignment="1">
      <alignment horizontal="left"/>
    </xf>
    <xf numFmtId="43" fontId="25" fillId="0" borderId="0" xfId="2" applyFont="1" applyFill="1" applyAlignment="1">
      <alignment horizontal="left" indent="2"/>
    </xf>
    <xf numFmtId="43" fontId="25" fillId="0" borderId="0" xfId="2" applyFont="1" applyFill="1" applyAlignment="1">
      <alignment horizontal="left"/>
    </xf>
    <xf numFmtId="2" fontId="25" fillId="0" borderId="0" xfId="0" applyNumberFormat="1" applyFont="1" applyFill="1" applyAlignment="1">
      <alignment horizontal="center"/>
    </xf>
    <xf numFmtId="0" fontId="25" fillId="0" borderId="0" xfId="0" applyFont="1" applyFill="1" applyAlignment="1"/>
    <xf numFmtId="2" fontId="25" fillId="0" borderId="0" xfId="0" applyNumberFormat="1" applyFont="1" applyFill="1"/>
    <xf numFmtId="2" fontId="25" fillId="0" borderId="0" xfId="0" applyNumberFormat="1" applyFont="1" applyFill="1" applyAlignment="1">
      <alignment horizontal="left"/>
    </xf>
    <xf numFmtId="43" fontId="25" fillId="0" borderId="0" xfId="2" applyFont="1" applyFill="1" applyAlignment="1">
      <alignment horizontal="left" vertical="top"/>
    </xf>
    <xf numFmtId="0" fontId="25" fillId="0" borderId="0" xfId="0" applyNumberFormat="1" applyFont="1" applyFill="1" applyBorder="1" applyAlignment="1"/>
    <xf numFmtId="0" fontId="25" fillId="0" borderId="0" xfId="0" applyNumberFormat="1" applyFont="1" applyFill="1" applyBorder="1" applyAlignment="1">
      <alignment horizontal="center"/>
    </xf>
    <xf numFmtId="0" fontId="25" fillId="0" borderId="0" xfId="0" applyNumberFormat="1" applyFont="1" applyFill="1" applyBorder="1" applyAlignment="1">
      <alignment horizontal="left"/>
    </xf>
    <xf numFmtId="4" fontId="25" fillId="0" borderId="0" xfId="0" applyNumberFormat="1" applyFont="1" applyFill="1" applyBorder="1" applyAlignment="1"/>
    <xf numFmtId="0" fontId="23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NumberFormat="1" applyFont="1" applyFill="1" applyBorder="1" applyProtection="1">
      <protection locked="0"/>
    </xf>
    <xf numFmtId="0" fontId="38" fillId="0" borderId="0" xfId="0" applyFont="1"/>
    <xf numFmtId="0" fontId="23" fillId="0" borderId="0" xfId="0" applyFont="1"/>
    <xf numFmtId="43" fontId="39" fillId="0" borderId="0" xfId="1" applyFont="1"/>
    <xf numFmtId="43" fontId="39" fillId="0" borderId="0" xfId="1" applyFont="1" applyAlignment="1">
      <alignment horizontal="center"/>
    </xf>
    <xf numFmtId="43" fontId="25" fillId="0" borderId="0" xfId="1" applyFont="1"/>
    <xf numFmtId="0" fontId="23" fillId="0" borderId="0" xfId="0" applyFont="1" applyFill="1" applyBorder="1" applyAlignment="1" applyProtection="1"/>
    <xf numFmtId="0" fontId="23" fillId="0" borderId="0" xfId="0" applyFont="1" applyAlignment="1">
      <alignment horizontal="center"/>
    </xf>
    <xf numFmtId="17" fontId="39" fillId="0" borderId="0" xfId="0" applyNumberFormat="1" applyFont="1" applyFill="1" applyBorder="1" applyAlignment="1" applyProtection="1">
      <alignment horizontal="right"/>
    </xf>
    <xf numFmtId="0" fontId="23" fillId="0" borderId="0" xfId="2" applyNumberFormat="1" applyFont="1" applyFill="1" applyBorder="1" applyAlignment="1" applyProtection="1">
      <alignment horizontal="left"/>
    </xf>
    <xf numFmtId="43" fontId="39" fillId="0" borderId="0" xfId="1" applyFont="1" applyFill="1" applyBorder="1" applyAlignment="1" applyProtection="1">
      <alignment horizontal="center"/>
    </xf>
    <xf numFmtId="0" fontId="25" fillId="0" borderId="0" xfId="0" applyNumberFormat="1" applyFont="1" applyFill="1" applyBorder="1" applyAlignment="1" applyProtection="1">
      <alignment horizontal="center"/>
    </xf>
    <xf numFmtId="43" fontId="25" fillId="0" borderId="0" xfId="1" applyFont="1" applyFill="1" applyBorder="1" applyAlignment="1" applyProtection="1">
      <alignment horizontal="center"/>
    </xf>
    <xf numFmtId="0" fontId="25" fillId="0" borderId="0" xfId="2" applyNumberFormat="1" applyFont="1" applyFill="1" applyBorder="1" applyAlignment="1" applyProtection="1"/>
    <xf numFmtId="0" fontId="25" fillId="0" borderId="0" xfId="2" applyNumberFormat="1" applyFont="1" applyFill="1" applyBorder="1" applyAlignment="1" applyProtection="1">
      <alignment horizontal="center"/>
    </xf>
    <xf numFmtId="0" fontId="25" fillId="0" borderId="0" xfId="0" applyFont="1" applyFill="1" applyBorder="1" applyProtection="1"/>
    <xf numFmtId="43" fontId="23" fillId="0" borderId="0" xfId="0" applyNumberFormat="1" applyFont="1"/>
    <xf numFmtId="0" fontId="40" fillId="0" borderId="0" xfId="0" applyFont="1"/>
    <xf numFmtId="9" fontId="40" fillId="0" borderId="0" xfId="0" applyNumberFormat="1" applyFont="1"/>
    <xf numFmtId="189" fontId="31" fillId="0" borderId="0" xfId="0" applyNumberFormat="1" applyFont="1"/>
    <xf numFmtId="0" fontId="0" fillId="0" borderId="0" xfId="0" applyBorder="1"/>
    <xf numFmtId="194" fontId="31" fillId="0" borderId="0" xfId="0" applyNumberFormat="1" applyFont="1"/>
    <xf numFmtId="2" fontId="31" fillId="0" borderId="31" xfId="0" applyNumberFormat="1" applyFont="1" applyBorder="1"/>
    <xf numFmtId="0" fontId="35" fillId="0" borderId="0" xfId="0" applyFont="1" applyFill="1"/>
    <xf numFmtId="4" fontId="35" fillId="0" borderId="0" xfId="0" applyNumberFormat="1" applyFont="1" applyFill="1"/>
    <xf numFmtId="43" fontId="35" fillId="0" borderId="0" xfId="2" applyFont="1" applyFill="1" applyAlignment="1">
      <alignment horizontal="right"/>
    </xf>
    <xf numFmtId="49" fontId="35" fillId="0" borderId="0" xfId="0" applyNumberFormat="1" applyFont="1" applyFill="1" applyAlignment="1">
      <alignment horizontal="right"/>
    </xf>
    <xf numFmtId="0" fontId="41" fillId="0" borderId="0" xfId="3" applyFont="1" applyFill="1" applyAlignment="1">
      <alignment horizontal="left" vertical="center"/>
    </xf>
    <xf numFmtId="0" fontId="35" fillId="0" borderId="0" xfId="3" applyFont="1" applyFill="1" applyAlignment="1">
      <alignment horizontal="center" vertical="center"/>
    </xf>
    <xf numFmtId="0" fontId="35" fillId="0" borderId="0" xfId="3" applyFont="1" applyFill="1" applyAlignment="1">
      <alignment vertical="center"/>
    </xf>
    <xf numFmtId="0" fontId="35" fillId="0" borderId="0" xfId="0" applyFont="1" applyFill="1" applyAlignment="1">
      <alignment vertical="center"/>
    </xf>
    <xf numFmtId="43" fontId="35" fillId="0" borderId="0" xfId="2" applyFont="1" applyFill="1" applyAlignment="1">
      <alignment vertical="center"/>
    </xf>
    <xf numFmtId="15" fontId="35" fillId="0" borderId="1" xfId="3" applyNumberFormat="1" applyFont="1" applyFill="1" applyBorder="1" applyAlignment="1">
      <alignment horizontal="right" vertical="center"/>
    </xf>
    <xf numFmtId="0" fontId="35" fillId="0" borderId="1" xfId="0" applyNumberFormat="1" applyFont="1" applyFill="1" applyBorder="1" applyAlignment="1">
      <alignment vertical="center"/>
    </xf>
    <xf numFmtId="4" fontId="35" fillId="0" borderId="1" xfId="0" applyNumberFormat="1" applyFont="1" applyFill="1" applyBorder="1" applyAlignment="1">
      <alignment vertical="center"/>
    </xf>
    <xf numFmtId="43" fontId="35" fillId="0" borderId="1" xfId="2" applyFont="1" applyFill="1" applyBorder="1" applyAlignment="1">
      <alignment vertical="center"/>
    </xf>
    <xf numFmtId="0" fontId="35" fillId="0" borderId="0" xfId="3" applyFont="1" applyFill="1" applyAlignment="1">
      <alignment horizontal="left" vertical="center"/>
    </xf>
    <xf numFmtId="4" fontId="42" fillId="0" borderId="10" xfId="3" applyNumberFormat="1" applyFont="1" applyFill="1" applyBorder="1" applyAlignment="1">
      <alignment horizontal="center" vertical="center"/>
    </xf>
    <xf numFmtId="0" fontId="42" fillId="0" borderId="10" xfId="0" applyFont="1" applyFill="1" applyBorder="1" applyAlignment="1">
      <alignment horizontal="center" vertical="center"/>
    </xf>
    <xf numFmtId="43" fontId="42" fillId="0" borderId="10" xfId="2" applyFont="1" applyFill="1" applyBorder="1" applyAlignment="1">
      <alignment horizontal="center" vertical="center"/>
    </xf>
    <xf numFmtId="4" fontId="42" fillId="0" borderId="13" xfId="3" applyNumberFormat="1" applyFont="1" applyFill="1" applyBorder="1" applyAlignment="1">
      <alignment horizontal="center" vertical="center"/>
    </xf>
    <xf numFmtId="0" fontId="42" fillId="0" borderId="13" xfId="0" applyFont="1" applyFill="1" applyBorder="1" applyAlignment="1">
      <alignment horizontal="center" vertical="center"/>
    </xf>
    <xf numFmtId="43" fontId="42" fillId="0" borderId="13" xfId="2" applyFont="1" applyFill="1" applyBorder="1" applyAlignment="1">
      <alignment horizontal="center" vertical="center"/>
    </xf>
    <xf numFmtId="0" fontId="35" fillId="0" borderId="16" xfId="0" applyFont="1" applyFill="1" applyBorder="1" applyAlignment="1">
      <alignment horizontal="center" vertical="center"/>
    </xf>
    <xf numFmtId="2" fontId="35" fillId="0" borderId="10" xfId="0" applyNumberFormat="1" applyFont="1" applyFill="1" applyBorder="1" applyAlignment="1">
      <alignment horizontal="center"/>
    </xf>
    <xf numFmtId="4" fontId="31" fillId="0" borderId="17" xfId="0" applyNumberFormat="1" applyFont="1" applyFill="1" applyBorder="1" applyAlignment="1">
      <alignment horizontal="right" vertical="center"/>
    </xf>
    <xf numFmtId="4" fontId="31" fillId="0" borderId="16" xfId="0" applyNumberFormat="1" applyFont="1" applyFill="1" applyBorder="1" applyAlignment="1">
      <alignment horizontal="right" vertical="center"/>
    </xf>
    <xf numFmtId="4" fontId="31" fillId="0" borderId="10" xfId="0" applyNumberFormat="1" applyFont="1" applyFill="1" applyBorder="1" applyAlignment="1">
      <alignment horizontal="right" vertical="center"/>
    </xf>
    <xf numFmtId="0" fontId="31" fillId="0" borderId="16" xfId="0" applyFont="1" applyFill="1" applyBorder="1" applyAlignment="1">
      <alignment horizontal="right" vertical="center"/>
    </xf>
    <xf numFmtId="43" fontId="31" fillId="0" borderId="16" xfId="2" applyFont="1" applyFill="1" applyBorder="1" applyAlignment="1">
      <alignment horizontal="right" vertical="center"/>
    </xf>
    <xf numFmtId="0" fontId="35" fillId="0" borderId="0" xfId="0" applyFont="1" applyFill="1" applyAlignment="1">
      <alignment horizontal="center"/>
    </xf>
    <xf numFmtId="2" fontId="35" fillId="0" borderId="16" xfId="0" applyNumberFormat="1" applyFont="1" applyFill="1" applyBorder="1" applyAlignment="1">
      <alignment horizontal="center"/>
    </xf>
    <xf numFmtId="43" fontId="31" fillId="0" borderId="16" xfId="1" applyFont="1" applyFill="1" applyBorder="1" applyAlignment="1">
      <alignment horizontal="right" vertical="center"/>
    </xf>
    <xf numFmtId="190" fontId="31" fillId="0" borderId="16" xfId="0" applyNumberFormat="1" applyFont="1" applyFill="1" applyBorder="1" applyAlignment="1">
      <alignment horizontal="right" vertical="center"/>
    </xf>
    <xf numFmtId="43" fontId="31" fillId="0" borderId="17" xfId="1" applyFont="1" applyFill="1" applyBorder="1" applyAlignment="1">
      <alignment horizontal="right" vertical="center"/>
    </xf>
    <xf numFmtId="43" fontId="35" fillId="0" borderId="0" xfId="0" applyNumberFormat="1" applyFont="1" applyFill="1"/>
    <xf numFmtId="2" fontId="35" fillId="0" borderId="0" xfId="0" applyNumberFormat="1" applyFont="1" applyFill="1" applyBorder="1" applyAlignment="1">
      <alignment horizontal="left"/>
    </xf>
    <xf numFmtId="2" fontId="35" fillId="0" borderId="17" xfId="0" applyNumberFormat="1" applyFont="1" applyFill="1" applyBorder="1" applyAlignment="1">
      <alignment horizontal="left"/>
    </xf>
    <xf numFmtId="4" fontId="31" fillId="0" borderId="17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/>
    </xf>
    <xf numFmtId="2" fontId="35" fillId="0" borderId="13" xfId="0" applyNumberFormat="1" applyFont="1" applyFill="1" applyBorder="1" applyAlignment="1">
      <alignment horizontal="center"/>
    </xf>
    <xf numFmtId="4" fontId="31" fillId="0" borderId="15" xfId="0" applyNumberFormat="1" applyFont="1" applyFill="1" applyBorder="1" applyAlignment="1">
      <alignment horizontal="right" vertical="center"/>
    </xf>
    <xf numFmtId="4" fontId="31" fillId="0" borderId="13" xfId="0" applyNumberFormat="1" applyFont="1" applyFill="1" applyBorder="1" applyAlignment="1">
      <alignment horizontal="right" vertical="center"/>
    </xf>
    <xf numFmtId="0" fontId="31" fillId="0" borderId="13" xfId="0" applyFont="1" applyFill="1" applyBorder="1" applyAlignment="1">
      <alignment horizontal="right" vertical="center"/>
    </xf>
    <xf numFmtId="43" fontId="31" fillId="0" borderId="13" xfId="2" applyFont="1" applyFill="1" applyBorder="1" applyAlignment="1">
      <alignment horizontal="right" vertical="center"/>
    </xf>
    <xf numFmtId="0" fontId="35" fillId="0" borderId="10" xfId="0" applyFont="1" applyFill="1" applyBorder="1" applyAlignment="1">
      <alignment horizontal="center" vertical="center"/>
    </xf>
    <xf numFmtId="4" fontId="31" fillId="0" borderId="12" xfId="0" applyNumberFormat="1" applyFont="1" applyFill="1" applyBorder="1" applyAlignment="1">
      <alignment horizontal="right" vertical="center"/>
    </xf>
    <xf numFmtId="190" fontId="31" fillId="0" borderId="10" xfId="0" applyNumberFormat="1" applyFont="1" applyFill="1" applyBorder="1" applyAlignment="1">
      <alignment horizontal="right" vertical="center"/>
    </xf>
    <xf numFmtId="43" fontId="31" fillId="0" borderId="10" xfId="2" applyFont="1" applyFill="1" applyBorder="1" applyAlignment="1">
      <alignment horizontal="right" vertical="center"/>
    </xf>
    <xf numFmtId="43" fontId="31" fillId="0" borderId="15" xfId="1" applyFont="1" applyFill="1" applyBorder="1" applyAlignment="1">
      <alignment horizontal="right" vertical="center"/>
    </xf>
    <xf numFmtId="43" fontId="31" fillId="0" borderId="13" xfId="1" applyFont="1" applyFill="1" applyBorder="1" applyAlignment="1">
      <alignment horizontal="right" vertical="center"/>
    </xf>
    <xf numFmtId="190" fontId="31" fillId="0" borderId="13" xfId="0" applyNumberFormat="1" applyFont="1" applyFill="1" applyBorder="1" applyAlignment="1">
      <alignment horizontal="right" vertical="center"/>
    </xf>
    <xf numFmtId="43" fontId="35" fillId="0" borderId="17" xfId="1" applyFont="1" applyFill="1" applyBorder="1" applyAlignment="1">
      <alignment horizontal="right" vertical="center"/>
    </xf>
    <xf numFmtId="4" fontId="35" fillId="0" borderId="16" xfId="0" applyNumberFormat="1" applyFont="1" applyFill="1" applyBorder="1" applyAlignment="1">
      <alignment horizontal="right" vertical="center"/>
    </xf>
    <xf numFmtId="43" fontId="35" fillId="0" borderId="16" xfId="1" applyFont="1" applyFill="1" applyBorder="1" applyAlignment="1">
      <alignment horizontal="right" vertical="center"/>
    </xf>
    <xf numFmtId="190" fontId="35" fillId="0" borderId="16" xfId="0" applyNumberFormat="1" applyFont="1" applyFill="1" applyBorder="1" applyAlignment="1">
      <alignment horizontal="right" vertical="center"/>
    </xf>
    <xf numFmtId="43" fontId="35" fillId="0" borderId="16" xfId="2" applyFont="1" applyFill="1" applyBorder="1" applyAlignment="1">
      <alignment horizontal="right" vertical="center"/>
    </xf>
    <xf numFmtId="4" fontId="35" fillId="0" borderId="16" xfId="0" applyNumberFormat="1" applyFont="1" applyBorder="1" applyAlignment="1">
      <alignment horizontal="right" vertical="center"/>
    </xf>
    <xf numFmtId="4" fontId="35" fillId="0" borderId="17" xfId="0" applyNumberFormat="1" applyFont="1" applyFill="1" applyBorder="1" applyAlignment="1">
      <alignment horizontal="right" vertical="center"/>
    </xf>
    <xf numFmtId="0" fontId="35" fillId="0" borderId="16" xfId="0" applyFont="1" applyFill="1" applyBorder="1" applyAlignment="1">
      <alignment horizontal="right" vertical="center"/>
    </xf>
    <xf numFmtId="4" fontId="35" fillId="0" borderId="15" xfId="0" applyNumberFormat="1" applyFont="1" applyFill="1" applyBorder="1" applyAlignment="1">
      <alignment horizontal="right" vertical="center"/>
    </xf>
    <xf numFmtId="4" fontId="35" fillId="0" borderId="13" xfId="0" applyNumberFormat="1" applyFont="1" applyFill="1" applyBorder="1" applyAlignment="1">
      <alignment horizontal="right" vertical="center"/>
    </xf>
    <xf numFmtId="190" fontId="35" fillId="0" borderId="13" xfId="0" applyNumberFormat="1" applyFont="1" applyFill="1" applyBorder="1" applyAlignment="1">
      <alignment horizontal="right" vertical="center"/>
    </xf>
    <xf numFmtId="43" fontId="35" fillId="0" borderId="13" xfId="2" applyFont="1" applyFill="1" applyBorder="1" applyAlignment="1">
      <alignment horizontal="right" vertical="center"/>
    </xf>
    <xf numFmtId="0" fontId="35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vertical="center"/>
    </xf>
    <xf numFmtId="4" fontId="35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>
      <alignment horizontal="right" vertical="center"/>
    </xf>
    <xf numFmtId="43" fontId="41" fillId="0" borderId="0" xfId="2" applyFont="1" applyFill="1" applyAlignment="1">
      <alignment horizontal="right"/>
    </xf>
    <xf numFmtId="4" fontId="41" fillId="0" borderId="13" xfId="0" applyNumberFormat="1" applyFont="1" applyFill="1" applyBorder="1" applyAlignment="1">
      <alignment horizontal="right" vertical="center"/>
    </xf>
    <xf numFmtId="4" fontId="41" fillId="0" borderId="0" xfId="0" applyNumberFormat="1" applyFont="1" applyFill="1" applyBorder="1" applyAlignment="1">
      <alignment horizontal="right" vertical="center"/>
    </xf>
    <xf numFmtId="43" fontId="35" fillId="0" borderId="0" xfId="2" applyFont="1" applyFill="1"/>
    <xf numFmtId="43" fontId="35" fillId="0" borderId="0" xfId="2" applyFont="1" applyFill="1" applyBorder="1" applyAlignment="1">
      <alignment vertical="center"/>
    </xf>
    <xf numFmtId="0" fontId="35" fillId="0" borderId="0" xfId="6" applyFont="1" applyFill="1" applyAlignment="1"/>
    <xf numFmtId="0" fontId="35" fillId="0" borderId="0" xfId="6" applyFont="1" applyFill="1"/>
    <xf numFmtId="2" fontId="35" fillId="0" borderId="0" xfId="0" applyNumberFormat="1" applyFont="1" applyFill="1" applyAlignment="1">
      <alignment horizontal="center" vertical="top"/>
    </xf>
    <xf numFmtId="4" fontId="35" fillId="0" borderId="0" xfId="0" applyNumberFormat="1" applyFont="1" applyFill="1" applyBorder="1" applyAlignment="1">
      <alignment horizontal="center"/>
    </xf>
    <xf numFmtId="0" fontId="35" fillId="0" borderId="0" xfId="0" applyFont="1" applyFill="1" applyAlignment="1">
      <alignment horizontal="left"/>
    </xf>
    <xf numFmtId="0" fontId="35" fillId="0" borderId="0" xfId="0" applyFont="1" applyFill="1" applyAlignment="1">
      <alignment horizontal="left" indent="2"/>
    </xf>
    <xf numFmtId="43" fontId="35" fillId="0" borderId="0" xfId="2" applyFont="1" applyFill="1" applyAlignment="1">
      <alignment horizontal="left" indent="2"/>
    </xf>
    <xf numFmtId="43" fontId="35" fillId="0" borderId="0" xfId="2" applyFont="1" applyFill="1" applyAlignment="1">
      <alignment horizontal="left"/>
    </xf>
    <xf numFmtId="2" fontId="35" fillId="0" borderId="0" xfId="0" applyNumberFormat="1" applyFont="1" applyFill="1" applyAlignment="1">
      <alignment horizontal="center"/>
    </xf>
    <xf numFmtId="0" fontId="35" fillId="0" borderId="0" xfId="0" applyFont="1" applyFill="1" applyAlignment="1"/>
    <xf numFmtId="2" fontId="35" fillId="0" borderId="0" xfId="0" applyNumberFormat="1" applyFont="1" applyFill="1"/>
    <xf numFmtId="2" fontId="35" fillId="0" borderId="0" xfId="0" applyNumberFormat="1" applyFont="1" applyFill="1" applyAlignment="1">
      <alignment horizontal="left"/>
    </xf>
    <xf numFmtId="43" fontId="35" fillId="0" borderId="0" xfId="2" applyFont="1" applyFill="1" applyAlignment="1">
      <alignment horizontal="left" vertical="top"/>
    </xf>
    <xf numFmtId="0" fontId="35" fillId="0" borderId="0" xfId="0" applyNumberFormat="1" applyFont="1" applyFill="1" applyBorder="1" applyAlignment="1"/>
    <xf numFmtId="0" fontId="35" fillId="0" borderId="0" xfId="0" applyNumberFormat="1" applyFont="1" applyFill="1" applyBorder="1" applyAlignment="1">
      <alignment horizontal="center"/>
    </xf>
    <xf numFmtId="0" fontId="35" fillId="0" borderId="0" xfId="0" applyNumberFormat="1" applyFont="1" applyFill="1" applyBorder="1" applyAlignment="1">
      <alignment horizontal="left"/>
    </xf>
    <xf numFmtId="4" fontId="35" fillId="0" borderId="0" xfId="0" applyNumberFormat="1" applyFont="1" applyFill="1" applyBorder="1" applyAlignment="1"/>
    <xf numFmtId="0" fontId="23" fillId="0" borderId="0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NumberFormat="1" applyFont="1" applyFill="1" applyBorder="1" applyAlignment="1" applyProtection="1">
      <alignment horizontal="center"/>
      <protection locked="0"/>
    </xf>
    <xf numFmtId="0" fontId="38" fillId="0" borderId="0" xfId="0" applyFont="1" applyAlignment="1">
      <alignment horizontal="left" vertical="top" wrapText="1"/>
    </xf>
    <xf numFmtId="2" fontId="25" fillId="0" borderId="0" xfId="0" applyNumberFormat="1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0" xfId="0" applyNumberFormat="1" applyFont="1" applyFill="1" applyBorder="1" applyAlignment="1">
      <alignment horizontal="center"/>
    </xf>
    <xf numFmtId="0" fontId="35" fillId="0" borderId="0" xfId="0" applyFont="1" applyFill="1" applyAlignment="1">
      <alignment horizontal="center"/>
    </xf>
    <xf numFmtId="2" fontId="35" fillId="0" borderId="0" xfId="0" applyNumberFormat="1" applyFont="1" applyFill="1" applyAlignment="1">
      <alignment horizontal="center"/>
    </xf>
    <xf numFmtId="0" fontId="35" fillId="0" borderId="0" xfId="0" applyFont="1" applyFill="1" applyAlignment="1"/>
    <xf numFmtId="0" fontId="35" fillId="0" borderId="0" xfId="0" applyNumberFormat="1" applyFont="1" applyFill="1" applyBorder="1" applyAlignment="1">
      <alignment horizontal="center"/>
    </xf>
    <xf numFmtId="43" fontId="41" fillId="0" borderId="4" xfId="2" applyFont="1" applyFill="1" applyBorder="1" applyAlignment="1">
      <alignment vertical="center"/>
    </xf>
    <xf numFmtId="43" fontId="41" fillId="0" borderId="20" xfId="2" applyFont="1" applyFill="1" applyBorder="1" applyAlignment="1"/>
    <xf numFmtId="0" fontId="35" fillId="0" borderId="8" xfId="0" applyFont="1" applyFill="1" applyBorder="1" applyAlignment="1">
      <alignment horizontal="center" vertical="top"/>
    </xf>
    <xf numFmtId="2" fontId="35" fillId="0" borderId="1" xfId="0" applyNumberFormat="1" applyFont="1" applyFill="1" applyBorder="1" applyAlignment="1">
      <alignment horizontal="left"/>
    </xf>
    <xf numFmtId="2" fontId="35" fillId="0" borderId="15" xfId="0" applyNumberFormat="1" applyFont="1" applyFill="1" applyBorder="1" applyAlignment="1">
      <alignment horizontal="left"/>
    </xf>
    <xf numFmtId="2" fontId="35" fillId="0" borderId="0" xfId="0" applyNumberFormat="1" applyFont="1" applyFill="1" applyBorder="1" applyAlignment="1">
      <alignment horizontal="left"/>
    </xf>
    <xf numFmtId="2" fontId="35" fillId="0" borderId="17" xfId="0" applyNumberFormat="1" applyFont="1" applyFill="1" applyBorder="1" applyAlignment="1">
      <alignment horizontal="left"/>
    </xf>
    <xf numFmtId="0" fontId="35" fillId="0" borderId="14" xfId="0" applyFont="1" applyFill="1" applyBorder="1" applyAlignment="1">
      <alignment horizontal="left"/>
    </xf>
    <xf numFmtId="0" fontId="35" fillId="0" borderId="1" xfId="0" applyFont="1" applyFill="1" applyBorder="1" applyAlignment="1">
      <alignment horizontal="left"/>
    </xf>
    <xf numFmtId="0" fontId="35" fillId="0" borderId="15" xfId="0" applyFont="1" applyFill="1" applyBorder="1" applyAlignment="1">
      <alignment horizontal="left"/>
    </xf>
    <xf numFmtId="4" fontId="41" fillId="0" borderId="19" xfId="0" applyNumberFormat="1" applyFont="1" applyFill="1" applyBorder="1" applyAlignment="1">
      <alignment horizontal="center" vertical="center"/>
    </xf>
    <xf numFmtId="4" fontId="41" fillId="0" borderId="20" xfId="0" applyNumberFormat="1" applyFont="1" applyFill="1" applyBorder="1" applyAlignment="1">
      <alignment horizontal="center" vertical="center"/>
    </xf>
    <xf numFmtId="4" fontId="35" fillId="0" borderId="19" xfId="0" applyNumberFormat="1" applyFont="1" applyFill="1" applyBorder="1" applyAlignment="1">
      <alignment horizontal="right" vertical="center"/>
    </xf>
    <xf numFmtId="0" fontId="35" fillId="0" borderId="20" xfId="0" applyFont="1" applyFill="1" applyBorder="1" applyAlignment="1">
      <alignment horizontal="right" vertical="center"/>
    </xf>
    <xf numFmtId="190" fontId="35" fillId="0" borderId="19" xfId="0" applyNumberFormat="1" applyFont="1" applyFill="1" applyBorder="1" applyAlignment="1">
      <alignment horizontal="right" vertical="center"/>
    </xf>
    <xf numFmtId="190" fontId="35" fillId="0" borderId="20" xfId="0" applyNumberFormat="1" applyFont="1" applyFill="1" applyBorder="1" applyAlignment="1">
      <alignment horizontal="right" vertical="center"/>
    </xf>
    <xf numFmtId="0" fontId="41" fillId="0" borderId="19" xfId="0" applyFont="1" applyFill="1" applyBorder="1" applyAlignment="1">
      <alignment horizontal="center"/>
    </xf>
    <xf numFmtId="0" fontId="41" fillId="0" borderId="4" xfId="0" applyFont="1" applyFill="1" applyBorder="1" applyAlignment="1"/>
    <xf numFmtId="0" fontId="41" fillId="0" borderId="4" xfId="0" applyFont="1" applyFill="1" applyBorder="1" applyAlignment="1">
      <alignment horizontal="center"/>
    </xf>
    <xf numFmtId="0" fontId="41" fillId="0" borderId="20" xfId="0" applyFont="1" applyFill="1" applyBorder="1" applyAlignment="1">
      <alignment horizontal="center"/>
    </xf>
    <xf numFmtId="0" fontId="35" fillId="0" borderId="11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5" fillId="0" borderId="12" xfId="0" applyFont="1" applyFill="1" applyBorder="1" applyAlignment="1">
      <alignment horizontal="left"/>
    </xf>
    <xf numFmtId="0" fontId="35" fillId="0" borderId="18" xfId="0" applyFont="1" applyFill="1" applyBorder="1" applyAlignment="1">
      <alignment horizontal="left"/>
    </xf>
    <xf numFmtId="0" fontId="35" fillId="0" borderId="0" xfId="0" applyFont="1" applyFill="1" applyBorder="1" applyAlignment="1">
      <alignment horizontal="left"/>
    </xf>
    <xf numFmtId="0" fontId="35" fillId="0" borderId="17" xfId="0" applyFont="1" applyFill="1" applyBorder="1" applyAlignment="1">
      <alignment horizontal="left"/>
    </xf>
    <xf numFmtId="0" fontId="35" fillId="0" borderId="0" xfId="0" applyFont="1" applyFill="1" applyAlignment="1">
      <alignment horizontal="left"/>
    </xf>
    <xf numFmtId="4" fontId="42" fillId="0" borderId="10" xfId="3" applyNumberFormat="1" applyFont="1" applyFill="1" applyBorder="1" applyAlignment="1">
      <alignment horizontal="center" vertical="center" wrapText="1"/>
    </xf>
    <xf numFmtId="4" fontId="42" fillId="0" borderId="13" xfId="3" applyNumberFormat="1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left" vertical="center"/>
    </xf>
    <xf numFmtId="0" fontId="41" fillId="0" borderId="0" xfId="0" applyFont="1" applyFill="1" applyAlignment="1">
      <alignment horizontal="center"/>
    </xf>
    <xf numFmtId="0" fontId="41" fillId="0" borderId="0" xfId="3" applyFont="1" applyFill="1" applyAlignment="1">
      <alignment horizontal="left" vertical="center"/>
    </xf>
    <xf numFmtId="0" fontId="35" fillId="0" borderId="0" xfId="0" applyFont="1" applyFill="1" applyAlignment="1">
      <alignment horizontal="center" vertical="center"/>
    </xf>
    <xf numFmtId="0" fontId="32" fillId="0" borderId="10" xfId="3" applyFont="1" applyFill="1" applyBorder="1" applyAlignment="1">
      <alignment horizontal="center" vertical="center"/>
    </xf>
    <xf numFmtId="0" fontId="32" fillId="0" borderId="13" xfId="3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4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2" fillId="0" borderId="15" xfId="0" applyFont="1" applyFill="1" applyBorder="1" applyAlignment="1">
      <alignment horizontal="center" vertical="center"/>
    </xf>
    <xf numFmtId="0" fontId="42" fillId="0" borderId="10" xfId="3" applyFont="1" applyFill="1" applyBorder="1" applyAlignment="1">
      <alignment horizontal="center" vertical="center"/>
    </xf>
    <xf numFmtId="0" fontId="42" fillId="0" borderId="16" xfId="3" applyFont="1" applyFill="1" applyBorder="1" applyAlignment="1">
      <alignment horizontal="center" vertical="center"/>
    </xf>
    <xf numFmtId="2" fontId="35" fillId="0" borderId="11" xfId="0" applyNumberFormat="1" applyFont="1" applyFill="1" applyBorder="1" applyAlignment="1">
      <alignment horizontal="left"/>
    </xf>
    <xf numFmtId="2" fontId="35" fillId="0" borderId="8" xfId="0" applyNumberFormat="1" applyFont="1" applyFill="1" applyBorder="1" applyAlignment="1">
      <alignment horizontal="left"/>
    </xf>
    <xf numFmtId="2" fontId="35" fillId="0" borderId="12" xfId="0" applyNumberFormat="1" applyFont="1" applyFill="1" applyBorder="1" applyAlignment="1">
      <alignment horizontal="left"/>
    </xf>
    <xf numFmtId="0" fontId="26" fillId="0" borderId="0" xfId="0" applyFont="1" applyAlignment="1">
      <alignment horizontal="center"/>
    </xf>
    <xf numFmtId="0" fontId="29" fillId="0" borderId="0" xfId="0" applyFont="1" applyAlignment="1">
      <alignment horizontal="left" vertical="top" wrapText="1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15" fillId="3" borderId="21" xfId="12" applyFont="1" applyFill="1" applyBorder="1" applyAlignment="1">
      <alignment horizontal="center"/>
    </xf>
    <xf numFmtId="0" fontId="12" fillId="0" borderId="0" xfId="12" applyFont="1" applyAlignment="1">
      <alignment horizontal="center"/>
    </xf>
    <xf numFmtId="0" fontId="14" fillId="0" borderId="0" xfId="12" applyFont="1" applyAlignment="1">
      <alignment horizontal="center"/>
    </xf>
    <xf numFmtId="0" fontId="12" fillId="0" borderId="0" xfId="12" applyFont="1" applyAlignment="1">
      <alignment horizontal="left"/>
    </xf>
    <xf numFmtId="0" fontId="12" fillId="0" borderId="1" xfId="12" applyFont="1" applyBorder="1" applyAlignment="1">
      <alignment horizontal="left"/>
    </xf>
    <xf numFmtId="0" fontId="21" fillId="0" borderId="19" xfId="7" applyFont="1" applyBorder="1" applyAlignment="1" applyProtection="1">
      <alignment horizontal="center"/>
      <protection hidden="1"/>
    </xf>
    <xf numFmtId="0" fontId="21" fillId="0" borderId="4" xfId="7" applyFont="1" applyBorder="1" applyAlignment="1" applyProtection="1">
      <alignment horizontal="center"/>
      <protection hidden="1"/>
    </xf>
    <xf numFmtId="0" fontId="21" fillId="0" borderId="20" xfId="7" applyFont="1" applyBorder="1" applyAlignment="1" applyProtection="1">
      <alignment horizontal="center"/>
      <protection hidden="1"/>
    </xf>
    <xf numFmtId="0" fontId="12" fillId="0" borderId="0" xfId="7" applyFont="1" applyAlignment="1" applyProtection="1">
      <alignment horizontal="center"/>
      <protection hidden="1"/>
    </xf>
    <xf numFmtId="0" fontId="19" fillId="0" borderId="0" xfId="8" applyFont="1" applyAlignment="1" applyProtection="1">
      <alignment horizontal="center"/>
      <protection hidden="1"/>
    </xf>
    <xf numFmtId="0" fontId="21" fillId="0" borderId="11" xfId="7" applyFont="1" applyBorder="1" applyAlignment="1" applyProtection="1">
      <alignment horizontal="center" vertical="center"/>
      <protection hidden="1"/>
    </xf>
    <xf numFmtId="0" fontId="21" fillId="0" borderId="8" xfId="7" applyFont="1" applyBorder="1" applyAlignment="1" applyProtection="1">
      <alignment horizontal="center" vertical="center"/>
      <protection hidden="1"/>
    </xf>
    <xf numFmtId="0" fontId="21" fillId="0" borderId="12" xfId="7" applyFont="1" applyBorder="1" applyAlignment="1" applyProtection="1">
      <alignment horizontal="center" vertical="center"/>
      <protection hidden="1"/>
    </xf>
    <xf numFmtId="0" fontId="21" fillId="0" borderId="21" xfId="7" applyFont="1" applyBorder="1" applyAlignment="1" applyProtection="1">
      <alignment horizontal="center"/>
      <protection hidden="1"/>
    </xf>
    <xf numFmtId="0" fontId="15" fillId="0" borderId="14" xfId="0" applyFont="1" applyFill="1" applyBorder="1" applyAlignment="1">
      <alignment horizontal="center"/>
    </xf>
    <xf numFmtId="0" fontId="15" fillId="0" borderId="15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/>
    </xf>
    <xf numFmtId="0" fontId="15" fillId="0" borderId="17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5" fillId="0" borderId="10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2" fillId="0" borderId="0" xfId="10" applyNumberFormat="1" applyFont="1" applyFill="1" applyAlignment="1">
      <alignment horizontal="center" vertical="center"/>
    </xf>
    <xf numFmtId="187" fontId="15" fillId="0" borderId="0" xfId="5" applyNumberFormat="1" applyFont="1" applyBorder="1" applyAlignment="1">
      <alignment horizontal="center"/>
    </xf>
    <xf numFmtId="0" fontId="15" fillId="0" borderId="0" xfId="4" applyFont="1" applyAlignment="1">
      <alignment horizontal="left"/>
    </xf>
    <xf numFmtId="0" fontId="12" fillId="0" borderId="0" xfId="0" applyFont="1" applyAlignment="1">
      <alignment horizontal="center"/>
    </xf>
    <xf numFmtId="0" fontId="15" fillId="0" borderId="0" xfId="3" applyFont="1" applyAlignment="1">
      <alignment horizontal="left" vertical="center"/>
    </xf>
    <xf numFmtId="15" fontId="15" fillId="0" borderId="0" xfId="3" applyNumberFormat="1" applyFont="1" applyBorder="1" applyAlignment="1">
      <alignment horizontal="left" vertical="center"/>
    </xf>
    <xf numFmtId="4" fontId="15" fillId="0" borderId="3" xfId="4" applyNumberFormat="1" applyFont="1" applyBorder="1" applyAlignment="1">
      <alignment horizontal="center"/>
    </xf>
    <xf numFmtId="187" fontId="15" fillId="0" borderId="3" xfId="5" applyNumberFormat="1" applyFont="1" applyBorder="1" applyAlignment="1">
      <alignment horizontal="center"/>
    </xf>
    <xf numFmtId="43" fontId="32" fillId="0" borderId="0" xfId="1" applyFont="1" applyAlignment="1">
      <alignment horizontal="left"/>
    </xf>
    <xf numFmtId="0" fontId="35" fillId="0" borderId="0" xfId="0" applyFont="1" applyFill="1" applyBorder="1" applyAlignment="1">
      <alignment horizontal="left" wrapText="1"/>
    </xf>
    <xf numFmtId="0" fontId="34" fillId="0" borderId="0" xfId="0" applyFont="1" applyAlignment="1">
      <alignment horizontal="center"/>
    </xf>
  </cellXfs>
  <cellStyles count="14">
    <cellStyle name="Comma" xfId="1" builtinId="3"/>
    <cellStyle name="Comma 4" xfId="13"/>
    <cellStyle name="Comma 6" xfId="11"/>
    <cellStyle name="Normal" xfId="0" builtinId="0"/>
    <cellStyle name="Normal 2" xfId="7"/>
    <cellStyle name="Normal 5" xfId="8"/>
    <cellStyle name="เครื่องหมายจุลภาค 2 2" xfId="2"/>
    <cellStyle name="เครื่องหมายจุลภาค 4" xfId="5"/>
    <cellStyle name="ปกติ 2" xfId="4"/>
    <cellStyle name="ปกติ 3" xfId="12"/>
    <cellStyle name="ปกติ 3 2" xfId="9"/>
    <cellStyle name="ปกติ_1_งานก่อสร้างทางและสะพาน" xfId="10"/>
    <cellStyle name="ปกติ_BOQ-BANG-NGA 2" xfId="3"/>
    <cellStyle name="ปกติ_ค่า Fบางนา" xfId="6"/>
  </cellStyles>
  <dxfs count="6">
    <dxf>
      <font>
        <condense val="0"/>
        <extend val="0"/>
        <color indexed="9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405848</xdr:colOff>
      <xdr:row>4</xdr:row>
      <xdr:rowOff>190500</xdr:rowOff>
    </xdr:from>
    <xdr:to>
      <xdr:col>21</xdr:col>
      <xdr:colOff>61418</xdr:colOff>
      <xdr:row>19</xdr:row>
      <xdr:rowOff>248002</xdr:rowOff>
    </xdr:to>
    <xdr:pic>
      <xdr:nvPicPr>
        <xdr:cNvPr id="2" name="รูปภาพ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19522" y="1209261"/>
          <a:ext cx="5619048" cy="3809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25</xdr:row>
      <xdr:rowOff>161924</xdr:rowOff>
    </xdr:from>
    <xdr:to>
      <xdr:col>8</xdr:col>
      <xdr:colOff>558469</xdr:colOff>
      <xdr:row>33</xdr:row>
      <xdr:rowOff>133349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7067549"/>
          <a:ext cx="6044868" cy="21812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327768</xdr:colOff>
      <xdr:row>123</xdr:row>
      <xdr:rowOff>225426</xdr:rowOff>
    </xdr:from>
    <xdr:to>
      <xdr:col>30</xdr:col>
      <xdr:colOff>624862</xdr:colOff>
      <xdr:row>148</xdr:row>
      <xdr:rowOff>51960</xdr:rowOff>
    </xdr:to>
    <xdr:pic>
      <xdr:nvPicPr>
        <xdr:cNvPr id="2" name="รูปภาพ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38943" y="25228551"/>
          <a:ext cx="5783495" cy="3467100"/>
        </a:xfrm>
        <a:prstGeom prst="rect">
          <a:avLst/>
        </a:prstGeom>
      </xdr:spPr>
    </xdr:pic>
    <xdr:clientData/>
  </xdr:twoCellAnchor>
  <xdr:twoCellAnchor editAs="oneCell">
    <xdr:from>
      <xdr:col>22</xdr:col>
      <xdr:colOff>85726</xdr:colOff>
      <xdr:row>138</xdr:row>
      <xdr:rowOff>190500</xdr:rowOff>
    </xdr:from>
    <xdr:to>
      <xdr:col>31</xdr:col>
      <xdr:colOff>384176</xdr:colOff>
      <xdr:row>149</xdr:row>
      <xdr:rowOff>171699</xdr:rowOff>
    </xdr:to>
    <xdr:pic>
      <xdr:nvPicPr>
        <xdr:cNvPr id="3" name="รูปภาพ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296901" y="28822650"/>
          <a:ext cx="6470649" cy="31173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591;&#3634;&#3609;%20&#3607;&#3605;.&#3649;&#3617;&#3656;&#3621;&#3634;&#3623;%20&#3586;&#3629;&#3591;%20&#3623;&#3624;%20&#3648;&#3611;&#3637;&#3658;&#3618;&#3585;\&#3607;&#3605;.&#3649;&#3617;&#3656;&#3621;&#3634;&#3623;\2562\&#3650;&#3588;&#3619;&#3591;&#3585;&#3634;&#3619;&#3648;&#3591;&#3636;&#3609;&#3648;&#3627;&#3621;&#3639;&#3629;&#3592;&#3656;&#3634;&#3618;%202561\&#3650;&#3588;&#3619;&#3591;&#3585;&#3634;&#3619;&#3611;&#3619;&#3633;&#3610;&#3611;&#3619;&#3640;&#3591;&#3606;&#3609;&#3609;&#3588;&#3633;&#3609;&#3588;&#3621;&#3629;&#3591;%20&#3595;&#3629;&#3618;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591;&#3634;&#3609;%20&#3607;&#3605;.&#3649;&#3617;&#3656;&#3621;&#3634;&#3623;%20&#3586;&#3629;&#3591;%20&#3623;&#3624;%20&#3648;&#3611;&#3637;&#3658;&#3618;&#3585;\&#3607;&#3605;.&#3649;&#3617;&#3656;&#3621;&#3634;&#3623;\2562\&#3650;&#3588;&#3619;&#3591;&#3585;&#3634;&#3619;&#3648;&#3607;&#3624;&#3610;&#3633;&#3597;&#3597;&#3633;&#3605;&#3636;%202562\&#3611;&#3619;&#3633;&#3610;&#3611;&#3619;&#3640;&#3591;&#3612;&#3636;&#3623;&#3592;&#3619;&#3634;&#3592;&#3619;&#3606;&#3609;&#3609;&#3648;&#3594;&#3639;&#3656;&#3629;&#3617;&#3626;&#3634;&#3618;&#3595;&#3629;&#3618;&#3648;&#3607;&#3624;&#3610;&#3634;&#3621;1&#3606;&#3638;&#3591;%20&#3606;&#3609;&#3609;&#3586;&#3657;&#3634;&#3623;&#3626;&#3634;&#3619;%20&#3617;.1\&#3606;&#3609;&#3609;%20&#3626;&#3634;&#3618;&#3648;&#3594;&#3639;&#3656;&#3629;&#3617;&#3595;&#3629;&#3618;&#3648;&#3607;&#3624;&#3610;&#3634;&#3621;%201%20&#3606;&#3638;&#3591;%20&#3606;&#3609;&#3609;&#3586;&#3657;&#3634;&#3623;&#3626;&#3634;&#3619;%20&#3627;&#3617;&#3641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591;&#3634;&#3609;%20&#3607;&#3605;.&#3649;&#3617;&#3656;&#3621;&#3634;&#3623;%20&#3586;&#3629;&#3591;%20&#3623;&#3624;%20&#3648;&#3611;&#3637;&#3658;&#3618;&#3585;\&#3607;&#3605;.&#3649;&#3617;&#3656;&#3621;&#3634;&#3623;\2564\&#3648;&#3586;&#3657;&#3634;&#3648;&#3624;&#3610;&#3633;&#3597;&#3597;&#3633;&#3605;&#3636;%2064\&#3586;&#3618;&#3634;&#3618;&#3606;&#3609;&#3609;&#3614;&#3619;&#3657;&#3629;&#3617;&#3623;&#3634;&#3591;&#3607;&#3656;&#3629;&#3619;&#3632;&#3610;&#3634;&#3618;&#3609;&#3657;&#3635;%20&#3595;&#3629;&#3618;%2031\&#3650;&#3588;&#3619;&#3591;&#3585;&#3634;&#3619;&#3586;&#3618;&#3634;&#3618;&#3612;&#3636;&#3623;&#3592;&#3619;&#3634;&#3592;&#3619;%20&#3595;&#3629;&#3618;%2031%2014%2006%206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operate"/>
      <sheetName val="ข้อมูล"/>
      <sheetName val="ราคาวัสดุ"/>
      <sheetName val="ค่าขนส่ง"/>
      <sheetName val="ราคาหิน-ยาง"/>
      <sheetName val="ค่าเสื่อม"/>
      <sheetName val="Unit Cost"/>
      <sheetName val="แบบสรุป"/>
      <sheetName val="6ล้อ_2"/>
      <sheetName val="10ล้อ_2"/>
      <sheetName val="10ล้อ+พ่วง_2"/>
      <sheetName val="งานคอนกรีตและหิน"/>
      <sheetName val="Cut&amp;Fill"/>
      <sheetName val="วัสดุมวลรวมต่อหน่วย"/>
      <sheetName val="ค่าแรงงาน-ดำเนินการ"/>
      <sheetName val="อ้างอิง"/>
      <sheetName val="Factor F"/>
      <sheetName val="ดินขุด"/>
      <sheetName val="Field"/>
      <sheetName val="คำนวณโค้ง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8">
          <cell r="P88" t="str">
            <v>ตัวอักษร (หกแสนสองหมื่นสามพันเก้าร้อยบาทถ้วน)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ราคาวัสดุ"/>
      <sheetName val="ข้อมูลคอนกรีต"/>
      <sheetName val="ไม้แบบ"/>
      <sheetName val="ค่างานต้นทุนต่อหน่วย"/>
      <sheetName val="สรุปราคากลาง"/>
      <sheetName val="ปริมาณไหล่ทาง"/>
      <sheetName val="Sheet2"/>
      <sheetName val="Sheet1"/>
    </sheetNames>
    <sheetDataSet>
      <sheetData sheetId="0">
        <row r="13">
          <cell r="J13">
            <v>22100.27</v>
          </cell>
        </row>
        <row r="17">
          <cell r="J17">
            <v>21680.560000000001</v>
          </cell>
        </row>
        <row r="28">
          <cell r="G28">
            <v>0</v>
          </cell>
        </row>
      </sheetData>
      <sheetData sheetId="1">
        <row r="11">
          <cell r="L11">
            <v>1725.92</v>
          </cell>
          <cell r="M11">
            <v>1664.52</v>
          </cell>
        </row>
      </sheetData>
      <sheetData sheetId="2">
        <row r="24">
          <cell r="I24">
            <v>284.83999999999997</v>
          </cell>
        </row>
      </sheetData>
      <sheetData sheetId="3"/>
      <sheetData sheetId="4">
        <row r="7">
          <cell r="D7" t="str">
            <v>เทศบาลตำบลแม่ลาว</v>
          </cell>
        </row>
      </sheetData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operate"/>
      <sheetName val="ปก"/>
      <sheetName val="ราคาต่อหน่วย"/>
      <sheetName val="บ่อพัก"/>
      <sheetName val="สรุปราคากลาง"/>
      <sheetName val="ปริมาฯงาน"/>
      <sheetName val="ป้ายโครงการ"/>
      <sheetName val="ดินถมไหล่ทาง"/>
      <sheetName val="ตารางคอนกรีต"/>
      <sheetName val="ราคาวัสดุ"/>
      <sheetName val="6ล้อ_2"/>
      <sheetName val="10ล้อ_2"/>
      <sheetName val="10ล้อ+พ่วง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view="pageBreakPreview" zoomScaleNormal="100" zoomScaleSheetLayoutView="100" workbookViewId="0">
      <selection activeCell="G9" sqref="G9"/>
    </sheetView>
  </sheetViews>
  <sheetFormatPr defaultRowHeight="18"/>
  <cols>
    <col min="1" max="1" width="21.125" style="5" customWidth="1"/>
    <col min="2" max="2" width="13.75" style="5" customWidth="1"/>
    <col min="3" max="5" width="9.375" style="5" customWidth="1"/>
    <col min="6" max="6" width="11.125" style="5" customWidth="1"/>
    <col min="7" max="7" width="11" style="5" customWidth="1"/>
    <col min="8" max="8" width="9.375" style="5" customWidth="1"/>
    <col min="9" max="9" width="10.25" style="5" customWidth="1"/>
    <col min="10" max="12" width="9.375" style="5" customWidth="1"/>
    <col min="13" max="16384" width="9" style="5"/>
  </cols>
  <sheetData>
    <row r="1" spans="1:14" ht="20.25">
      <c r="A1" s="439" t="s">
        <v>0</v>
      </c>
      <c r="B1" s="439"/>
      <c r="C1" s="439"/>
      <c r="D1" s="439"/>
      <c r="E1" s="439"/>
      <c r="F1" s="439"/>
      <c r="G1" s="439"/>
      <c r="H1" s="206"/>
      <c r="I1" s="206"/>
      <c r="J1" s="206"/>
      <c r="K1" s="206"/>
      <c r="L1" s="206"/>
      <c r="M1" s="206"/>
    </row>
    <row r="2" spans="1:14" ht="20.25">
      <c r="A2" s="440" t="s">
        <v>1</v>
      </c>
      <c r="B2" s="440"/>
      <c r="C2" s="440"/>
      <c r="D2" s="440"/>
      <c r="E2" s="440"/>
      <c r="F2" s="440"/>
      <c r="G2" s="440"/>
      <c r="H2" s="206"/>
      <c r="I2" s="206"/>
      <c r="J2" s="206"/>
      <c r="K2" s="206"/>
      <c r="L2" s="206"/>
      <c r="M2" s="206"/>
    </row>
    <row r="3" spans="1:14" s="260" customFormat="1" ht="20.25">
      <c r="A3" s="326" t="s">
        <v>2</v>
      </c>
      <c r="B3" s="441" t="s">
        <v>424</v>
      </c>
      <c r="C3" s="441"/>
      <c r="D3" s="441"/>
      <c r="E3" s="441"/>
      <c r="F3" s="441"/>
      <c r="G3" s="441"/>
      <c r="H3" s="441"/>
      <c r="I3" s="441"/>
    </row>
    <row r="4" spans="1:14" s="260" customFormat="1" ht="20.25">
      <c r="A4" s="327" t="s">
        <v>3</v>
      </c>
      <c r="B4" s="328" t="s">
        <v>417</v>
      </c>
      <c r="C4" s="328"/>
      <c r="D4" s="328"/>
      <c r="E4" s="328"/>
      <c r="F4" s="329"/>
      <c r="G4" s="329"/>
    </row>
    <row r="5" spans="1:14" s="260" customFormat="1" ht="20.25">
      <c r="A5" s="327" t="s">
        <v>4</v>
      </c>
      <c r="B5" s="260" t="str">
        <f>สรุปราคากลาง!D4</f>
        <v>ถนน ค.ส.ล.กว้าง 1.50 เมตร ยาว 150 เมตร หรือพื้นที่ไม่น้อยกว่า 205.6 ตารางเมตร วางท่อ ค.ส.ล. 0.60 ม.</v>
      </c>
      <c r="C5" s="330"/>
      <c r="E5" s="261"/>
      <c r="F5" s="331"/>
    </row>
    <row r="6" spans="1:14" s="260" customFormat="1" ht="20.25">
      <c r="B6" s="260" t="str">
        <f>สรุปราคากลาง!D5</f>
        <v>และบ่อพักจำนวน 15 บ่อพร้อมป้ายประชาสัมพันธ์รายละเอียดตามแบบแปลนและรายการที่เทศบาลตำบลแม่ลาวกำหนด</v>
      </c>
      <c r="C6" s="332"/>
    </row>
    <row r="7" spans="1:14" s="260" customFormat="1" ht="20.25">
      <c r="A7" s="333" t="s">
        <v>7</v>
      </c>
      <c r="B7" s="260" t="s">
        <v>8</v>
      </c>
    </row>
    <row r="8" spans="1:14" s="260" customFormat="1" ht="20.25">
      <c r="A8" s="333" t="s">
        <v>9</v>
      </c>
      <c r="B8" s="260" t="s">
        <v>342</v>
      </c>
      <c r="E8" s="334" t="s">
        <v>10</v>
      </c>
      <c r="G8" s="335" t="str">
        <f>สรุปราคากลาง!D9</f>
        <v xml:space="preserve">   8   เมษายน  2567</v>
      </c>
    </row>
    <row r="9" spans="1:14" s="260" customFormat="1" ht="20.25">
      <c r="A9" s="336" t="s">
        <v>11</v>
      </c>
      <c r="B9" s="337">
        <v>31</v>
      </c>
      <c r="C9" s="338" t="s">
        <v>12</v>
      </c>
      <c r="D9" s="339">
        <v>31.99</v>
      </c>
      <c r="E9" s="340" t="s">
        <v>13</v>
      </c>
      <c r="F9" s="341" t="s">
        <v>14</v>
      </c>
      <c r="G9" s="339">
        <f>(B9+D9)/2</f>
        <v>31.494999999999997</v>
      </c>
      <c r="H9" s="340" t="s">
        <v>13</v>
      </c>
      <c r="M9" s="342"/>
      <c r="N9" s="269"/>
    </row>
    <row r="10" spans="1:14" s="260" customFormat="1" ht="20.25"/>
    <row r="11" spans="1:14" s="260" customFormat="1" ht="20.25">
      <c r="A11" s="329" t="s">
        <v>15</v>
      </c>
      <c r="B11" s="343">
        <f>สรุปราคากลาง!J59</f>
        <v>469551</v>
      </c>
      <c r="C11" s="329" t="s">
        <v>16</v>
      </c>
      <c r="D11" s="329"/>
      <c r="E11" s="329"/>
      <c r="F11" s="329"/>
      <c r="G11" s="329"/>
    </row>
    <row r="12" spans="1:14" s="260" customFormat="1" ht="20.25">
      <c r="A12" s="329"/>
      <c r="B12" s="329" t="str">
        <f>[1]แบบสรุป!P88</f>
        <v>ตัวอักษร (หกแสนสองหมื่นสามพันเก้าร้อยบาทถ้วน)</v>
      </c>
      <c r="C12" s="329"/>
      <c r="D12" s="329"/>
      <c r="E12" s="329"/>
      <c r="F12" s="329"/>
      <c r="G12" s="329"/>
    </row>
    <row r="14" spans="1:14" ht="20.25">
      <c r="A14" s="311" t="s">
        <v>339</v>
      </c>
      <c r="B14" s="319"/>
      <c r="C14" s="317"/>
      <c r="D14" s="317"/>
      <c r="E14" s="311"/>
      <c r="F14" s="320" t="s">
        <v>478</v>
      </c>
      <c r="G14" s="320"/>
      <c r="H14" s="314"/>
      <c r="I14" s="321"/>
    </row>
    <row r="15" spans="1:14" ht="20.25">
      <c r="A15" s="442" t="s">
        <v>479</v>
      </c>
      <c r="B15" s="442"/>
      <c r="C15" s="311"/>
      <c r="D15" s="317"/>
      <c r="E15" s="311"/>
      <c r="F15" s="442" t="s">
        <v>482</v>
      </c>
      <c r="G15" s="442"/>
      <c r="H15" s="442"/>
      <c r="I15" s="315"/>
    </row>
    <row r="16" spans="1:14" ht="20.25">
      <c r="A16" s="311"/>
      <c r="B16" s="319"/>
      <c r="C16" s="317"/>
      <c r="D16" s="317"/>
      <c r="E16" s="311"/>
      <c r="F16" s="320"/>
      <c r="G16" s="320"/>
      <c r="H16" s="314"/>
      <c r="I16" s="316"/>
    </row>
    <row r="17" spans="1:9" ht="20.25">
      <c r="A17" s="311" t="s">
        <v>190</v>
      </c>
      <c r="B17" s="322"/>
      <c r="C17" s="313"/>
      <c r="D17" s="313"/>
      <c r="E17" s="311"/>
      <c r="F17" s="314" t="s">
        <v>477</v>
      </c>
      <c r="G17" s="314"/>
      <c r="H17" s="314"/>
      <c r="I17" s="321"/>
    </row>
    <row r="18" spans="1:9" ht="20.25">
      <c r="A18" s="442" t="s">
        <v>481</v>
      </c>
      <c r="B18" s="442"/>
      <c r="C18" s="317"/>
      <c r="D18" s="317"/>
      <c r="E18" s="311"/>
      <c r="F18" s="442" t="s">
        <v>483</v>
      </c>
      <c r="G18" s="442"/>
      <c r="H18" s="442"/>
      <c r="I18" s="315"/>
    </row>
    <row r="19" spans="1:9" ht="20.25">
      <c r="A19" s="318"/>
      <c r="B19" s="323"/>
      <c r="C19" s="317"/>
      <c r="D19" s="317"/>
      <c r="E19" s="311"/>
      <c r="F19" s="320"/>
      <c r="G19" s="320"/>
      <c r="H19" s="314"/>
      <c r="I19" s="316"/>
    </row>
    <row r="20" spans="1:9" ht="20.25">
      <c r="A20" s="311" t="s">
        <v>377</v>
      </c>
      <c r="B20" s="323"/>
      <c r="C20" s="323"/>
      <c r="D20" s="323"/>
      <c r="E20" s="311"/>
      <c r="F20" s="314" t="s">
        <v>477</v>
      </c>
      <c r="G20" s="324"/>
      <c r="H20" s="314"/>
      <c r="I20" s="321"/>
    </row>
    <row r="21" spans="1:9" ht="20.25">
      <c r="A21" s="442" t="s">
        <v>480</v>
      </c>
      <c r="B21" s="442"/>
      <c r="C21" s="313"/>
      <c r="D21" s="313"/>
      <c r="E21" s="311"/>
      <c r="F21" s="443" t="s">
        <v>484</v>
      </c>
      <c r="G21" s="443"/>
      <c r="H21" s="443"/>
      <c r="I21" s="315"/>
    </row>
    <row r="22" spans="1:9" ht="20.25">
      <c r="A22" s="314"/>
      <c r="B22" s="311"/>
      <c r="C22" s="317"/>
      <c r="D22" s="317"/>
      <c r="E22" s="311"/>
      <c r="F22" s="320"/>
      <c r="G22" s="320"/>
      <c r="H22" s="314"/>
      <c r="I22" s="316"/>
    </row>
    <row r="23" spans="1:9" ht="20.25">
      <c r="A23" s="314" t="s">
        <v>191</v>
      </c>
      <c r="B23" s="323"/>
      <c r="C23" s="317"/>
      <c r="D23" s="317"/>
      <c r="E23" s="311"/>
      <c r="F23" s="314" t="s">
        <v>477</v>
      </c>
      <c r="G23" s="320"/>
      <c r="H23" s="314"/>
      <c r="I23" s="321"/>
    </row>
    <row r="24" spans="1:9" ht="20.25">
      <c r="A24" s="442" t="s">
        <v>349</v>
      </c>
      <c r="B24" s="442"/>
      <c r="C24" s="323"/>
      <c r="D24" s="325"/>
      <c r="E24" s="311"/>
      <c r="F24" s="444" t="s">
        <v>485</v>
      </c>
      <c r="G24" s="444"/>
      <c r="H24" s="444"/>
      <c r="I24" s="316"/>
    </row>
    <row r="25" spans="1:9" ht="20.25">
      <c r="A25" s="311"/>
      <c r="B25" s="311"/>
      <c r="C25" s="311"/>
      <c r="D25" s="312"/>
      <c r="E25" s="311"/>
      <c r="F25" s="314"/>
      <c r="G25" s="314"/>
      <c r="H25" s="314"/>
      <c r="I25" s="316"/>
    </row>
    <row r="26" spans="1:9" ht="20.25">
      <c r="A26" s="311"/>
      <c r="B26" s="311"/>
      <c r="C26" s="311"/>
      <c r="D26" s="312"/>
      <c r="E26" s="311"/>
      <c r="F26" s="314" t="s">
        <v>477</v>
      </c>
      <c r="G26" s="314"/>
      <c r="H26" s="314"/>
      <c r="I26" s="316"/>
    </row>
    <row r="27" spans="1:9" ht="20.25">
      <c r="A27" s="311"/>
      <c r="B27" s="311"/>
      <c r="C27" s="311"/>
      <c r="D27" s="312"/>
      <c r="E27" s="311"/>
      <c r="F27" s="443" t="s">
        <v>486</v>
      </c>
      <c r="G27" s="443"/>
      <c r="H27" s="443"/>
      <c r="I27" s="316"/>
    </row>
  </sheetData>
  <mergeCells count="12">
    <mergeCell ref="F27:H27"/>
    <mergeCell ref="A15:B15"/>
    <mergeCell ref="A18:B18"/>
    <mergeCell ref="A21:B21"/>
    <mergeCell ref="A24:B24"/>
    <mergeCell ref="F21:H21"/>
    <mergeCell ref="F24:H24"/>
    <mergeCell ref="A1:G1"/>
    <mergeCell ref="A2:G2"/>
    <mergeCell ref="B3:I3"/>
    <mergeCell ref="F15:H15"/>
    <mergeCell ref="F18:H18"/>
  </mergeCells>
  <pageMargins left="0.7" right="0.7" top="0.75" bottom="0.75" header="0.3" footer="0.3"/>
  <pageSetup paperSize="9" scale="7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view="pageBreakPreview" topLeftCell="A52" zoomScaleNormal="100" zoomScaleSheetLayoutView="100" workbookViewId="0">
      <selection activeCell="L61" sqref="L61"/>
    </sheetView>
  </sheetViews>
  <sheetFormatPr defaultRowHeight="14.25"/>
  <cols>
    <col min="1" max="1" width="11.875" customWidth="1"/>
    <col min="2" max="2" width="11.375" customWidth="1"/>
  </cols>
  <sheetData>
    <row r="1" spans="1:9" ht="20.25">
      <c r="A1" s="259" t="s">
        <v>423</v>
      </c>
      <c r="B1" s="260"/>
      <c r="C1" s="260"/>
      <c r="D1" s="260"/>
      <c r="E1" s="260"/>
      <c r="F1" s="260"/>
      <c r="G1" s="261"/>
      <c r="H1" s="260"/>
      <c r="I1" s="260"/>
    </row>
    <row r="2" spans="1:9" ht="20.25">
      <c r="A2" s="262" t="s">
        <v>393</v>
      </c>
      <c r="B2" s="260"/>
      <c r="C2" s="260"/>
      <c r="D2" s="260"/>
      <c r="E2" s="260"/>
      <c r="F2" s="260"/>
      <c r="G2" s="261"/>
      <c r="H2" s="260"/>
      <c r="I2" s="260"/>
    </row>
    <row r="3" spans="1:9" ht="20.25">
      <c r="A3" s="260" t="s">
        <v>394</v>
      </c>
      <c r="B3" s="260" t="s">
        <v>395</v>
      </c>
      <c r="C3" s="263">
        <v>1.04</v>
      </c>
      <c r="D3" s="261" t="s">
        <v>79</v>
      </c>
      <c r="E3" s="260" t="s">
        <v>396</v>
      </c>
      <c r="F3" s="260">
        <v>1.24</v>
      </c>
      <c r="G3" s="261" t="s">
        <v>79</v>
      </c>
      <c r="H3" s="260" t="s">
        <v>397</v>
      </c>
      <c r="I3" s="260">
        <v>0.12</v>
      </c>
    </row>
    <row r="4" spans="1:9" ht="21" thickBot="1">
      <c r="A4" s="260"/>
      <c r="B4" s="260" t="s">
        <v>116</v>
      </c>
      <c r="C4" s="260"/>
      <c r="D4" s="260"/>
      <c r="E4" s="260" t="s">
        <v>48</v>
      </c>
      <c r="F4" s="264">
        <v>1</v>
      </c>
      <c r="G4" s="261" t="s">
        <v>174</v>
      </c>
      <c r="H4" s="260"/>
      <c r="I4" s="260"/>
    </row>
    <row r="5" spans="1:9" ht="21" thickBot="1">
      <c r="A5" s="260"/>
      <c r="B5" s="260" t="s">
        <v>398</v>
      </c>
      <c r="C5" s="260"/>
      <c r="D5" s="260"/>
      <c r="E5" s="265" t="s">
        <v>48</v>
      </c>
      <c r="F5" s="266">
        <f>F4*F3*C3*I3</f>
        <v>0.154752</v>
      </c>
      <c r="G5" s="267" t="s">
        <v>399</v>
      </c>
      <c r="H5" s="260"/>
      <c r="I5" s="260"/>
    </row>
    <row r="6" spans="1:9" ht="20.25">
      <c r="A6" s="260" t="s">
        <v>400</v>
      </c>
      <c r="B6" s="260" t="s">
        <v>395</v>
      </c>
      <c r="C6" s="263">
        <f>C3</f>
        <v>1.04</v>
      </c>
      <c r="D6" s="261" t="s">
        <v>79</v>
      </c>
      <c r="E6" s="260" t="s">
        <v>401</v>
      </c>
      <c r="F6" s="260">
        <v>1.1000000000000001</v>
      </c>
      <c r="G6" s="261" t="s">
        <v>79</v>
      </c>
      <c r="H6" s="260" t="s">
        <v>397</v>
      </c>
      <c r="I6" s="260">
        <v>0.12</v>
      </c>
    </row>
    <row r="7" spans="1:9" ht="20.25">
      <c r="A7" s="260"/>
      <c r="B7" s="260" t="s">
        <v>402</v>
      </c>
      <c r="C7" s="260"/>
      <c r="D7" s="260"/>
      <c r="E7" s="260" t="s">
        <v>48</v>
      </c>
      <c r="F7" s="260">
        <f>(22/7)*0.3^2</f>
        <v>0.28285714285714286</v>
      </c>
      <c r="G7" s="261" t="s">
        <v>49</v>
      </c>
      <c r="H7" s="260"/>
      <c r="I7" s="260"/>
    </row>
    <row r="8" spans="1:9" ht="21" thickBot="1">
      <c r="A8" s="260"/>
      <c r="B8" s="260"/>
      <c r="C8" s="260"/>
      <c r="D8" s="260"/>
      <c r="E8" s="260" t="s">
        <v>48</v>
      </c>
      <c r="F8" s="260">
        <f>((C6*F6)-F7)*I6</f>
        <v>0.10333714285714286</v>
      </c>
      <c r="G8" s="261" t="s">
        <v>403</v>
      </c>
      <c r="H8" s="260">
        <v>2</v>
      </c>
      <c r="I8" s="260" t="s">
        <v>404</v>
      </c>
    </row>
    <row r="9" spans="1:9" ht="21" thickBot="1">
      <c r="A9" s="260"/>
      <c r="B9" s="260"/>
      <c r="C9" s="260"/>
      <c r="D9" s="260"/>
      <c r="E9" s="265" t="s">
        <v>48</v>
      </c>
      <c r="F9" s="268">
        <f>F8*H8*F4</f>
        <v>0.20667428571428573</v>
      </c>
      <c r="G9" s="267" t="s">
        <v>399</v>
      </c>
      <c r="H9" s="260"/>
      <c r="I9" s="260"/>
    </row>
    <row r="10" spans="1:9" ht="20.25">
      <c r="A10" s="260"/>
      <c r="B10" s="260" t="s">
        <v>395</v>
      </c>
      <c r="C10" s="263">
        <v>1.24</v>
      </c>
      <c r="D10" s="261" t="s">
        <v>79</v>
      </c>
      <c r="E10" s="260" t="s">
        <v>401</v>
      </c>
      <c r="F10" s="260">
        <v>1.1000000000000001</v>
      </c>
      <c r="G10" s="261" t="s">
        <v>79</v>
      </c>
      <c r="H10" s="260" t="s">
        <v>397</v>
      </c>
      <c r="I10" s="260">
        <v>0.12</v>
      </c>
    </row>
    <row r="11" spans="1:9" ht="21" thickBot="1">
      <c r="A11" s="260"/>
      <c r="B11" s="260"/>
      <c r="C11" s="260"/>
      <c r="D11" s="260"/>
      <c r="E11" s="260" t="s">
        <v>48</v>
      </c>
      <c r="F11" s="260">
        <f>C10*F10*I10</f>
        <v>0.16368000000000002</v>
      </c>
      <c r="G11" s="261" t="s">
        <v>403</v>
      </c>
      <c r="H11" s="260">
        <v>2</v>
      </c>
      <c r="I11" s="260" t="s">
        <v>404</v>
      </c>
    </row>
    <row r="12" spans="1:9" ht="21" thickBot="1">
      <c r="A12" s="260"/>
      <c r="B12" s="260"/>
      <c r="C12" s="260"/>
      <c r="D12" s="260"/>
      <c r="E12" s="265" t="s">
        <v>48</v>
      </c>
      <c r="F12" s="268">
        <f>F11*H11*F4</f>
        <v>0.32736000000000004</v>
      </c>
      <c r="G12" s="267" t="s">
        <v>399</v>
      </c>
      <c r="H12" s="260"/>
      <c r="I12" s="260"/>
    </row>
    <row r="13" spans="1:9" ht="20.25">
      <c r="A13" s="260" t="s">
        <v>125</v>
      </c>
      <c r="B13" s="260" t="s">
        <v>395</v>
      </c>
      <c r="C13" s="263">
        <v>0.8</v>
      </c>
      <c r="D13" s="261" t="s">
        <v>79</v>
      </c>
      <c r="E13" s="260" t="s">
        <v>401</v>
      </c>
      <c r="F13" s="260">
        <v>0.9</v>
      </c>
      <c r="G13" s="261" t="s">
        <v>79</v>
      </c>
      <c r="H13" s="260" t="s">
        <v>397</v>
      </c>
      <c r="I13" s="260">
        <v>0.12</v>
      </c>
    </row>
    <row r="14" spans="1:9" ht="21" thickBot="1">
      <c r="A14" s="260"/>
      <c r="B14" s="260"/>
      <c r="C14" s="260"/>
      <c r="D14" s="260"/>
      <c r="E14" s="260" t="s">
        <v>48</v>
      </c>
      <c r="F14" s="260">
        <f>C13*F13*I13*F4</f>
        <v>8.6400000000000005E-2</v>
      </c>
      <c r="G14" s="261" t="s">
        <v>403</v>
      </c>
      <c r="H14" s="260">
        <v>2</v>
      </c>
      <c r="I14" s="260" t="s">
        <v>125</v>
      </c>
    </row>
    <row r="15" spans="1:9" ht="21" thickBot="1">
      <c r="A15" s="260"/>
      <c r="B15" s="260"/>
      <c r="C15" s="260"/>
      <c r="D15" s="260"/>
      <c r="E15" s="265" t="s">
        <v>48</v>
      </c>
      <c r="F15" s="268">
        <f>F14*H14*F7*F4</f>
        <v>4.8877714285714288E-2</v>
      </c>
      <c r="G15" s="267" t="s">
        <v>399</v>
      </c>
      <c r="H15" s="260"/>
      <c r="I15" s="260"/>
    </row>
    <row r="16" spans="1:9" ht="21" thickBot="1">
      <c r="A16" s="260"/>
      <c r="B16" s="260"/>
      <c r="C16" s="260"/>
      <c r="D16" s="260"/>
      <c r="E16" s="269"/>
      <c r="F16" s="269"/>
      <c r="G16" s="270"/>
      <c r="H16" s="260"/>
      <c r="I16" s="260"/>
    </row>
    <row r="17" spans="1:9" ht="21" thickBot="1">
      <c r="A17" s="260"/>
      <c r="B17" s="260" t="s">
        <v>33</v>
      </c>
      <c r="C17" s="260"/>
      <c r="D17" s="260"/>
      <c r="E17" s="265" t="s">
        <v>48</v>
      </c>
      <c r="F17" s="266">
        <f>F5+F9+F12+F15</f>
        <v>0.73766399999999999</v>
      </c>
      <c r="G17" s="267" t="s">
        <v>399</v>
      </c>
      <c r="H17" s="260"/>
      <c r="I17" s="260"/>
    </row>
    <row r="18" spans="1:9" ht="20.25">
      <c r="A18" s="260" t="s">
        <v>405</v>
      </c>
      <c r="B18" s="260"/>
      <c r="C18" s="260"/>
      <c r="D18" s="260"/>
      <c r="E18" s="260"/>
      <c r="F18" s="260"/>
      <c r="G18" s="261"/>
      <c r="H18" s="260"/>
      <c r="I18" s="260"/>
    </row>
    <row r="19" spans="1:9" ht="20.25">
      <c r="A19" s="260"/>
      <c r="B19" s="260" t="s">
        <v>406</v>
      </c>
      <c r="C19" s="260">
        <v>4.5599999999999996</v>
      </c>
      <c r="D19" s="261" t="s">
        <v>79</v>
      </c>
      <c r="E19" s="261" t="s">
        <v>407</v>
      </c>
      <c r="F19" s="260">
        <v>12</v>
      </c>
      <c r="G19" s="261" t="s">
        <v>408</v>
      </c>
      <c r="H19" s="260" t="s">
        <v>409</v>
      </c>
      <c r="I19" s="260">
        <f>C19*F19</f>
        <v>54.72</v>
      </c>
    </row>
    <row r="20" spans="1:9" ht="20.25">
      <c r="A20" s="260"/>
      <c r="B20" s="260"/>
      <c r="C20" s="260">
        <v>0</v>
      </c>
      <c r="D20" s="261" t="s">
        <v>79</v>
      </c>
      <c r="E20" s="261" t="s">
        <v>407</v>
      </c>
      <c r="F20" s="260">
        <v>10</v>
      </c>
      <c r="G20" s="261" t="s">
        <v>408</v>
      </c>
      <c r="H20" s="260" t="s">
        <v>409</v>
      </c>
      <c r="I20" s="260">
        <f>C20*F20</f>
        <v>0</v>
      </c>
    </row>
    <row r="21" spans="1:9" ht="20.25">
      <c r="A21" s="260"/>
      <c r="B21" s="260"/>
      <c r="C21" s="260"/>
      <c r="D21" s="260"/>
      <c r="E21" s="260"/>
      <c r="F21" s="260"/>
      <c r="G21" s="261"/>
      <c r="H21" s="260"/>
      <c r="I21" s="260"/>
    </row>
    <row r="22" spans="1:9" ht="20.25">
      <c r="A22" s="260"/>
      <c r="B22" s="260" t="s">
        <v>410</v>
      </c>
      <c r="C22" s="260">
        <v>3.5</v>
      </c>
      <c r="D22" s="261" t="s">
        <v>79</v>
      </c>
      <c r="E22" s="261" t="s">
        <v>407</v>
      </c>
      <c r="F22" s="260">
        <v>12</v>
      </c>
      <c r="G22" s="261" t="s">
        <v>408</v>
      </c>
      <c r="H22" s="260" t="s">
        <v>409</v>
      </c>
      <c r="I22" s="260">
        <f>C22*F22</f>
        <v>42</v>
      </c>
    </row>
    <row r="23" spans="1:9" ht="20.25">
      <c r="A23" s="260"/>
      <c r="B23" s="260"/>
      <c r="C23" s="260"/>
      <c r="D23" s="260"/>
      <c r="E23" s="260"/>
      <c r="F23" s="260"/>
      <c r="G23" s="261"/>
      <c r="H23" s="260"/>
      <c r="I23" s="260"/>
    </row>
    <row r="24" spans="1:9" ht="20.25">
      <c r="A24" s="260" t="s">
        <v>125</v>
      </c>
      <c r="B24" s="260" t="s">
        <v>410</v>
      </c>
      <c r="C24" s="260">
        <v>0.9</v>
      </c>
      <c r="D24" s="261" t="s">
        <v>79</v>
      </c>
      <c r="E24" s="261" t="s">
        <v>407</v>
      </c>
      <c r="F24" s="260">
        <v>8</v>
      </c>
      <c r="G24" s="261" t="s">
        <v>408</v>
      </c>
      <c r="H24" s="260" t="s">
        <v>409</v>
      </c>
      <c r="I24" s="260">
        <f>C24*F24*2</f>
        <v>14.4</v>
      </c>
    </row>
    <row r="25" spans="1:9" ht="20.25">
      <c r="A25" s="260"/>
      <c r="B25" s="260"/>
      <c r="C25" s="260">
        <v>0.55000000000000004</v>
      </c>
      <c r="D25" s="261" t="s">
        <v>79</v>
      </c>
      <c r="E25" s="261" t="s">
        <v>407</v>
      </c>
      <c r="F25" s="260">
        <v>17</v>
      </c>
      <c r="G25" s="261" t="s">
        <v>408</v>
      </c>
      <c r="H25" s="260" t="s">
        <v>409</v>
      </c>
      <c r="I25" s="260">
        <f>C25*F25*2</f>
        <v>18.700000000000003</v>
      </c>
    </row>
    <row r="27" spans="1:9" ht="20.25">
      <c r="B27" s="260" t="s">
        <v>411</v>
      </c>
      <c r="C27" s="260"/>
      <c r="D27" s="260"/>
      <c r="E27" s="260"/>
      <c r="F27" s="260"/>
      <c r="G27" s="261"/>
      <c r="H27" s="260"/>
      <c r="I27" s="260"/>
    </row>
    <row r="28" spans="1:9" ht="20.25">
      <c r="B28" s="260" t="s">
        <v>406</v>
      </c>
      <c r="C28" s="260" t="s">
        <v>409</v>
      </c>
      <c r="D28" s="260">
        <f>I19+I20</f>
        <v>54.72</v>
      </c>
      <c r="E28" s="261" t="s">
        <v>412</v>
      </c>
      <c r="F28" s="260">
        <v>0.499</v>
      </c>
      <c r="G28" s="260" t="s">
        <v>409</v>
      </c>
      <c r="H28" s="260">
        <f>F28*D28*1.1</f>
        <v>30.035808000000003</v>
      </c>
      <c r="I28" s="260" t="s">
        <v>413</v>
      </c>
    </row>
    <row r="29" spans="1:9" ht="20.25">
      <c r="B29" s="260" t="s">
        <v>410</v>
      </c>
      <c r="C29" s="260" t="s">
        <v>409</v>
      </c>
      <c r="D29" s="260">
        <f>I22+I24+I25</f>
        <v>75.099999999999994</v>
      </c>
      <c r="E29" s="261" t="s">
        <v>412</v>
      </c>
      <c r="F29" s="260">
        <v>0.88800000000000001</v>
      </c>
      <c r="G29" s="260" t="s">
        <v>409</v>
      </c>
      <c r="H29" s="260">
        <f>F29*D29*1.1</f>
        <v>73.357680000000002</v>
      </c>
      <c r="I29" s="260" t="s">
        <v>413</v>
      </c>
    </row>
    <row r="30" spans="1:9" ht="20.25">
      <c r="B30" s="260"/>
      <c r="C30" s="260"/>
      <c r="D30" s="260"/>
      <c r="E30" s="260"/>
      <c r="F30" s="260"/>
      <c r="G30" s="261"/>
      <c r="H30" s="260"/>
      <c r="I30" s="260"/>
    </row>
    <row r="31" spans="1:9" ht="20.25">
      <c r="B31" s="260" t="s">
        <v>414</v>
      </c>
      <c r="C31" s="260" t="s">
        <v>409</v>
      </c>
      <c r="D31" s="261">
        <f>(1.1+0.9)*2</f>
        <v>4</v>
      </c>
      <c r="E31" s="261" t="s">
        <v>415</v>
      </c>
      <c r="F31" s="261">
        <f>4.7</f>
        <v>4.7</v>
      </c>
      <c r="G31" s="260" t="s">
        <v>409</v>
      </c>
      <c r="H31" s="260">
        <f>D31+F31</f>
        <v>8.6999999999999993</v>
      </c>
      <c r="I31" s="260"/>
    </row>
    <row r="32" spans="1:9" ht="20.25">
      <c r="B32" s="260" t="s">
        <v>116</v>
      </c>
      <c r="C32" s="260"/>
      <c r="D32" s="260"/>
      <c r="E32" s="260"/>
      <c r="F32" s="260"/>
      <c r="G32" s="260" t="s">
        <v>48</v>
      </c>
      <c r="H32" s="264">
        <v>1</v>
      </c>
      <c r="I32" s="261" t="s">
        <v>174</v>
      </c>
    </row>
    <row r="33" spans="1:9" ht="20.25">
      <c r="B33" s="260"/>
      <c r="C33" s="260"/>
      <c r="D33" s="260"/>
      <c r="E33" s="260"/>
      <c r="F33" s="260"/>
      <c r="G33" s="260" t="s">
        <v>48</v>
      </c>
      <c r="H33" s="261">
        <f>ROUNDUP((H31*H32/6),0)</f>
        <v>2</v>
      </c>
      <c r="I33" s="260" t="s">
        <v>119</v>
      </c>
    </row>
    <row r="35" spans="1:9" ht="20.25">
      <c r="A35" s="259" t="s">
        <v>497</v>
      </c>
      <c r="B35" s="260"/>
      <c r="C35" s="260"/>
      <c r="D35" s="260"/>
      <c r="E35" s="260"/>
      <c r="F35" s="260"/>
      <c r="G35" s="261"/>
      <c r="H35" s="260"/>
      <c r="I35" s="260"/>
    </row>
    <row r="36" spans="1:9" ht="20.25">
      <c r="A36" s="262" t="s">
        <v>393</v>
      </c>
      <c r="B36" s="260"/>
      <c r="C36" s="260"/>
      <c r="D36" s="260"/>
      <c r="E36" s="260"/>
      <c r="F36" s="260"/>
      <c r="G36" s="261"/>
      <c r="H36" s="260"/>
      <c r="I36" s="260"/>
    </row>
    <row r="37" spans="1:9" ht="20.25">
      <c r="A37" s="260" t="s">
        <v>394</v>
      </c>
      <c r="B37" s="260" t="s">
        <v>395</v>
      </c>
      <c r="C37" s="263">
        <v>1.5</v>
      </c>
      <c r="D37" s="261" t="s">
        <v>79</v>
      </c>
      <c r="E37" s="260" t="s">
        <v>396</v>
      </c>
      <c r="F37" s="260">
        <f>0.92+0.4</f>
        <v>1.32</v>
      </c>
      <c r="G37" s="261" t="s">
        <v>79</v>
      </c>
      <c r="H37" s="260" t="s">
        <v>397</v>
      </c>
      <c r="I37" s="260">
        <v>0.2</v>
      </c>
    </row>
    <row r="38" spans="1:9" ht="21" thickBot="1">
      <c r="A38" s="260"/>
      <c r="B38" s="260" t="s">
        <v>116</v>
      </c>
      <c r="C38" s="260"/>
      <c r="D38" s="260"/>
      <c r="E38" s="260" t="s">
        <v>48</v>
      </c>
      <c r="F38" s="264">
        <v>1</v>
      </c>
      <c r="G38" s="261" t="s">
        <v>498</v>
      </c>
      <c r="H38" s="260"/>
      <c r="I38" s="260"/>
    </row>
    <row r="39" spans="1:9" ht="21" thickBot="1">
      <c r="A39" s="260"/>
      <c r="B39" s="260" t="s">
        <v>398</v>
      </c>
      <c r="C39" s="260"/>
      <c r="D39" s="260"/>
      <c r="E39" s="265" t="s">
        <v>48</v>
      </c>
      <c r="F39" s="266">
        <f>F38*F37*C37*I37</f>
        <v>0.39600000000000002</v>
      </c>
      <c r="G39" s="267" t="s">
        <v>399</v>
      </c>
      <c r="H39" s="260"/>
      <c r="I39" s="260"/>
    </row>
    <row r="40" spans="1:9" ht="20.25">
      <c r="A40" s="260" t="s">
        <v>400</v>
      </c>
      <c r="B40" s="260" t="s">
        <v>395</v>
      </c>
      <c r="C40" s="263">
        <v>0.92</v>
      </c>
      <c r="D40" s="261" t="s">
        <v>79</v>
      </c>
      <c r="E40" s="260" t="s">
        <v>401</v>
      </c>
      <c r="F40" s="260">
        <v>0.84</v>
      </c>
      <c r="G40" s="261" t="s">
        <v>79</v>
      </c>
      <c r="H40" s="260" t="s">
        <v>397</v>
      </c>
      <c r="I40" s="260">
        <v>0.15</v>
      </c>
    </row>
    <row r="41" spans="1:9" ht="21" thickBot="1">
      <c r="A41" s="260"/>
      <c r="B41" s="260" t="s">
        <v>116</v>
      </c>
      <c r="C41" s="260"/>
      <c r="D41" s="260"/>
      <c r="E41" s="260" t="s">
        <v>48</v>
      </c>
      <c r="F41" s="264">
        <v>2</v>
      </c>
      <c r="G41" s="261" t="s">
        <v>498</v>
      </c>
      <c r="H41" s="260"/>
      <c r="I41" s="260"/>
    </row>
    <row r="42" spans="1:9" ht="21" thickBot="1">
      <c r="A42" s="260"/>
      <c r="B42" s="260" t="s">
        <v>398</v>
      </c>
      <c r="C42" s="260"/>
      <c r="D42" s="260"/>
      <c r="E42" s="265" t="s">
        <v>48</v>
      </c>
      <c r="F42" s="266">
        <f>F41*F40*C40*I40</f>
        <v>0.23183999999999999</v>
      </c>
      <c r="G42" s="267" t="s">
        <v>399</v>
      </c>
      <c r="H42" s="260"/>
      <c r="I42" s="260"/>
    </row>
    <row r="43" spans="1:9" s="347" customFormat="1" ht="20.25">
      <c r="A43" s="269"/>
      <c r="B43" s="260" t="s">
        <v>395</v>
      </c>
      <c r="C43" s="263">
        <v>1.24</v>
      </c>
      <c r="D43" s="261" t="s">
        <v>79</v>
      </c>
      <c r="E43" s="260" t="s">
        <v>401</v>
      </c>
      <c r="F43" s="260">
        <v>0.84</v>
      </c>
      <c r="G43" s="261" t="s">
        <v>79</v>
      </c>
      <c r="H43" s="260" t="s">
        <v>397</v>
      </c>
      <c r="I43" s="260">
        <v>0.15</v>
      </c>
    </row>
    <row r="44" spans="1:9" s="347" customFormat="1" ht="21" thickBot="1">
      <c r="A44" s="269"/>
      <c r="B44" s="260" t="s">
        <v>116</v>
      </c>
      <c r="C44" s="260"/>
      <c r="D44" s="260"/>
      <c r="E44" s="260" t="s">
        <v>48</v>
      </c>
      <c r="F44" s="264">
        <v>1</v>
      </c>
      <c r="G44" s="261" t="s">
        <v>498</v>
      </c>
      <c r="H44" s="260"/>
      <c r="I44" s="260"/>
    </row>
    <row r="45" spans="1:9" s="347" customFormat="1" ht="21" thickBot="1">
      <c r="A45" s="269"/>
      <c r="B45" s="260" t="s">
        <v>398</v>
      </c>
      <c r="C45" s="260"/>
      <c r="D45" s="260"/>
      <c r="E45" s="265" t="s">
        <v>48</v>
      </c>
      <c r="F45" s="266">
        <f>F44*F43*C43*I43</f>
        <v>0.15623999999999996</v>
      </c>
      <c r="G45" s="267" t="s">
        <v>399</v>
      </c>
      <c r="H45" s="260"/>
      <c r="I45" s="260"/>
    </row>
    <row r="46" spans="1:9" ht="20.25">
      <c r="A46" s="260" t="s">
        <v>499</v>
      </c>
      <c r="B46" s="260" t="s">
        <v>395</v>
      </c>
      <c r="C46" s="263">
        <v>1.5</v>
      </c>
      <c r="D46" s="261" t="s">
        <v>79</v>
      </c>
      <c r="E46" s="260" t="s">
        <v>401</v>
      </c>
      <c r="F46" s="260">
        <v>1.5</v>
      </c>
      <c r="G46" s="261" t="s">
        <v>79</v>
      </c>
      <c r="H46" s="260" t="s">
        <v>397</v>
      </c>
      <c r="I46" s="260">
        <v>0.15</v>
      </c>
    </row>
    <row r="47" spans="1:9" ht="21" thickBot="1">
      <c r="A47" s="260"/>
      <c r="B47" s="260"/>
      <c r="C47" s="260"/>
      <c r="D47" s="260"/>
      <c r="E47" s="260" t="s">
        <v>48</v>
      </c>
      <c r="F47" s="260">
        <f>C46*F46*I46*F38</f>
        <v>0.33749999999999997</v>
      </c>
      <c r="G47" s="261" t="s">
        <v>403</v>
      </c>
      <c r="H47" s="260">
        <v>1</v>
      </c>
      <c r="I47" s="260" t="s">
        <v>125</v>
      </c>
    </row>
    <row r="48" spans="1:9" ht="21" thickBot="1">
      <c r="A48" s="260"/>
      <c r="B48" s="260"/>
      <c r="C48" s="260"/>
      <c r="D48" s="260"/>
      <c r="E48" s="265" t="s">
        <v>48</v>
      </c>
      <c r="F48" s="268">
        <f>F47*H47*F41*F38</f>
        <v>0.67499999999999993</v>
      </c>
      <c r="G48" s="267" t="s">
        <v>399</v>
      </c>
      <c r="H48" s="260"/>
      <c r="I48" s="260"/>
    </row>
    <row r="49" spans="1:9" ht="21" thickBot="1">
      <c r="A49" s="260"/>
      <c r="B49" s="260"/>
      <c r="C49" s="260"/>
      <c r="D49" s="260"/>
      <c r="E49" s="269"/>
      <c r="F49" s="269"/>
      <c r="G49" s="270"/>
      <c r="H49" s="260"/>
      <c r="I49" s="260"/>
    </row>
    <row r="50" spans="1:9" ht="21" thickBot="1">
      <c r="A50" s="260"/>
      <c r="B50" s="260" t="s">
        <v>33</v>
      </c>
      <c r="C50" s="260"/>
      <c r="D50" s="260"/>
      <c r="E50" s="265" t="s">
        <v>48</v>
      </c>
      <c r="F50" s="266">
        <f>F39+F42+F45+F48</f>
        <v>1.4590799999999997</v>
      </c>
      <c r="G50" s="267" t="s">
        <v>399</v>
      </c>
      <c r="H50" s="260"/>
      <c r="I50" s="260"/>
    </row>
    <row r="51" spans="1:9" ht="20.25">
      <c r="A51" s="260" t="s">
        <v>405</v>
      </c>
      <c r="B51" s="260"/>
      <c r="C51" s="260"/>
      <c r="D51" s="260"/>
      <c r="E51" s="260"/>
      <c r="F51" s="260"/>
      <c r="G51" s="261"/>
      <c r="H51" s="260"/>
      <c r="I51" s="260"/>
    </row>
    <row r="52" spans="1:9" ht="20.25">
      <c r="A52" s="260" t="s">
        <v>500</v>
      </c>
      <c r="B52" s="260" t="s">
        <v>406</v>
      </c>
      <c r="C52" s="260">
        <f>1.5*7</f>
        <v>10.5</v>
      </c>
      <c r="D52" s="261" t="s">
        <v>79</v>
      </c>
      <c r="E52" s="261" t="s">
        <v>407</v>
      </c>
      <c r="F52" s="260">
        <v>2</v>
      </c>
      <c r="G52" s="261" t="s">
        <v>408</v>
      </c>
      <c r="H52" s="260" t="s">
        <v>409</v>
      </c>
      <c r="I52" s="260">
        <f>C52*F52</f>
        <v>21</v>
      </c>
    </row>
    <row r="53" spans="1:9" ht="20.25">
      <c r="A53" s="260" t="s">
        <v>501</v>
      </c>
      <c r="B53" s="260" t="s">
        <v>406</v>
      </c>
      <c r="C53" s="260">
        <v>51</v>
      </c>
      <c r="D53" s="261" t="s">
        <v>79</v>
      </c>
      <c r="E53" s="261" t="s">
        <v>407</v>
      </c>
      <c r="F53" s="260">
        <v>1</v>
      </c>
      <c r="G53" s="261" t="s">
        <v>408</v>
      </c>
      <c r="H53" s="260" t="s">
        <v>409</v>
      </c>
      <c r="I53" s="260">
        <f>C53*F53</f>
        <v>51</v>
      </c>
    </row>
    <row r="54" spans="1:9" ht="20.25">
      <c r="A54" s="260" t="s">
        <v>502</v>
      </c>
      <c r="B54" s="260" t="s">
        <v>406</v>
      </c>
      <c r="C54" s="260">
        <v>19.8</v>
      </c>
      <c r="D54" s="261" t="s">
        <v>79</v>
      </c>
      <c r="E54" s="261" t="s">
        <v>407</v>
      </c>
      <c r="F54" s="260">
        <v>1</v>
      </c>
      <c r="G54" s="261" t="s">
        <v>408</v>
      </c>
      <c r="H54" s="260" t="s">
        <v>409</v>
      </c>
      <c r="I54" s="260">
        <f>C54*F54</f>
        <v>19.8</v>
      </c>
    </row>
    <row r="55" spans="1:9" ht="20.25">
      <c r="A55" s="260"/>
      <c r="B55" s="260"/>
      <c r="C55" s="260"/>
      <c r="D55" s="261"/>
      <c r="E55" s="261"/>
      <c r="F55" s="260"/>
      <c r="G55" s="261"/>
      <c r="H55" s="260"/>
      <c r="I55" s="260"/>
    </row>
    <row r="56" spans="1:9" ht="20.25">
      <c r="A56" s="260"/>
      <c r="B56" s="260"/>
      <c r="C56" s="260"/>
      <c r="D56" s="260"/>
      <c r="E56" s="260"/>
      <c r="F56" s="260"/>
      <c r="G56" s="261"/>
      <c r="H56" s="260"/>
      <c r="I56" s="260"/>
    </row>
    <row r="57" spans="1:9" ht="20.25">
      <c r="A57" s="260"/>
      <c r="B57" s="260"/>
      <c r="C57" s="260"/>
      <c r="D57" s="261"/>
      <c r="E57" s="261"/>
      <c r="F57" s="260"/>
      <c r="G57" s="261"/>
      <c r="H57" s="260"/>
      <c r="I57" s="260"/>
    </row>
    <row r="58" spans="1:9" ht="20.25">
      <c r="A58" s="260"/>
      <c r="B58" s="260"/>
      <c r="C58" s="260"/>
      <c r="D58" s="261"/>
      <c r="E58" s="261"/>
      <c r="F58" s="260"/>
      <c r="G58" s="261"/>
      <c r="H58" s="260"/>
      <c r="I58" s="260"/>
    </row>
    <row r="60" spans="1:9" ht="20.25">
      <c r="B60" s="260" t="s">
        <v>411</v>
      </c>
      <c r="C60" s="260"/>
      <c r="D60" s="260"/>
      <c r="E60" s="260"/>
      <c r="F60" s="260"/>
      <c r="G60" s="261"/>
      <c r="H60" s="260"/>
      <c r="I60" s="260"/>
    </row>
    <row r="61" spans="1:9" ht="20.25">
      <c r="B61" s="260" t="s">
        <v>406</v>
      </c>
      <c r="C61" s="260" t="s">
        <v>409</v>
      </c>
      <c r="D61" s="260">
        <f>I52+I53+I54</f>
        <v>91.8</v>
      </c>
      <c r="E61" s="261" t="s">
        <v>412</v>
      </c>
      <c r="F61" s="260">
        <v>0.499</v>
      </c>
      <c r="G61" s="260" t="s">
        <v>409</v>
      </c>
      <c r="H61" s="260">
        <f>F61*D61*1.1</f>
        <v>50.389020000000002</v>
      </c>
      <c r="I61" s="260" t="s">
        <v>413</v>
      </c>
    </row>
    <row r="62" spans="1:9" ht="20.25">
      <c r="B62" s="260"/>
      <c r="C62" s="260"/>
      <c r="D62" s="260"/>
      <c r="E62" s="261"/>
      <c r="F62" s="260"/>
      <c r="G62" s="260"/>
      <c r="H62" s="260"/>
      <c r="I62" s="260"/>
    </row>
    <row r="63" spans="1:9" ht="20.25">
      <c r="B63" s="260"/>
      <c r="C63" s="260"/>
      <c r="D63" s="260"/>
      <c r="E63" s="260"/>
      <c r="F63" s="260"/>
      <c r="G63" s="261"/>
      <c r="H63" s="260"/>
      <c r="I63" s="260"/>
    </row>
    <row r="64" spans="1:9" ht="20.25">
      <c r="B64" s="260"/>
      <c r="C64" s="260"/>
      <c r="D64" s="261"/>
      <c r="E64" s="261"/>
      <c r="F64" s="261"/>
      <c r="G64" s="261"/>
      <c r="H64" s="260"/>
      <c r="I64" s="260"/>
    </row>
    <row r="65" spans="2:9" ht="20.25">
      <c r="B65" s="260"/>
      <c r="C65" s="260"/>
      <c r="D65" s="260"/>
      <c r="E65" s="260"/>
      <c r="F65" s="260"/>
      <c r="G65" s="261"/>
      <c r="H65" s="260"/>
      <c r="I65" s="261"/>
    </row>
    <row r="66" spans="2:9" ht="20.25">
      <c r="B66" s="260"/>
      <c r="C66" s="260"/>
      <c r="D66" s="260"/>
      <c r="E66" s="260"/>
      <c r="F66" s="260"/>
      <c r="G66" s="260"/>
      <c r="H66" s="261"/>
      <c r="I66" s="260"/>
    </row>
  </sheetData>
  <pageMargins left="0.7" right="0.7" top="0.75" bottom="0.75" header="0.3" footer="0.3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view="pageBreakPreview" topLeftCell="A16" zoomScaleNormal="100" zoomScaleSheetLayoutView="100" workbookViewId="0">
      <selection activeCell="M8" sqref="M8"/>
    </sheetView>
  </sheetViews>
  <sheetFormatPr defaultRowHeight="14.25"/>
  <cols>
    <col min="2" max="2" width="6" customWidth="1"/>
    <col min="8" max="8" width="23.5" customWidth="1"/>
  </cols>
  <sheetData>
    <row r="1" spans="1:12" ht="21">
      <c r="A1" s="537" t="s">
        <v>425</v>
      </c>
      <c r="B1" s="537"/>
      <c r="C1" s="537"/>
      <c r="D1" s="537"/>
      <c r="E1" s="537"/>
      <c r="F1" s="537"/>
      <c r="G1" s="537"/>
      <c r="H1" s="537"/>
      <c r="I1" s="299"/>
      <c r="J1" s="299"/>
      <c r="K1" s="299"/>
      <c r="L1" s="299"/>
    </row>
    <row r="2" spans="1:12" ht="18.75">
      <c r="A2" s="275" t="s">
        <v>426</v>
      </c>
      <c r="B2" s="237"/>
      <c r="C2" s="535" t="s">
        <v>137</v>
      </c>
      <c r="D2" s="535"/>
      <c r="E2" s="535"/>
      <c r="F2" s="535"/>
      <c r="G2" s="535"/>
      <c r="H2" s="237"/>
      <c r="I2" s="276"/>
      <c r="J2" s="276"/>
      <c r="K2" s="237"/>
      <c r="L2" s="277"/>
    </row>
    <row r="3" spans="1:12" ht="18.75">
      <c r="A3" s="275" t="s">
        <v>19</v>
      </c>
      <c r="B3" s="237"/>
      <c r="C3" s="278" t="str">
        <f>ข้อมูล!B3</f>
        <v xml:space="preserve">โครงการวางท่อพร้อมขยายผิวจราจร ถนนบ้านแม่ลาว หมู่ 19 - บ้านสันต้นแหน
</v>
      </c>
      <c r="D3" s="279"/>
      <c r="E3" s="280"/>
      <c r="F3" s="237"/>
      <c r="G3" s="278"/>
      <c r="H3" s="237"/>
      <c r="I3" s="237"/>
      <c r="J3" s="278"/>
      <c r="K3" s="237"/>
      <c r="L3" s="237"/>
    </row>
    <row r="4" spans="1:12" ht="18.75">
      <c r="A4" s="275" t="s">
        <v>3</v>
      </c>
      <c r="B4" s="237"/>
      <c r="C4" s="278" t="str">
        <f>ข้อมูล!B4</f>
        <v xml:space="preserve"> หมู่ 19 ตำบลดงมะดะ อำเภอแม่ลาว จังหวัดเชียงราย </v>
      </c>
      <c r="D4" s="279"/>
      <c r="E4" s="280"/>
      <c r="F4" s="278"/>
      <c r="G4" s="278"/>
      <c r="H4" s="237"/>
      <c r="I4" s="237"/>
      <c r="J4" s="278"/>
      <c r="K4" s="237"/>
      <c r="L4" s="237"/>
    </row>
    <row r="5" spans="1:12" ht="48.75" customHeight="1">
      <c r="A5" s="298" t="s">
        <v>427</v>
      </c>
      <c r="B5" s="279"/>
      <c r="C5" s="536" t="str">
        <f>ข้อมูล!B5</f>
        <v>ถนน ค.ส.ล.กว้าง 1.50 เมตร ยาว 150 เมตร หรือพื้นที่ไม่น้อยกว่า 205.6 ตารางเมตร วางท่อ ค.ส.ล. 0.60 ม.</v>
      </c>
      <c r="D5" s="536"/>
      <c r="E5" s="536"/>
      <c r="F5" s="536"/>
      <c r="G5" s="536"/>
      <c r="H5" s="536"/>
      <c r="I5" s="285"/>
      <c r="J5" s="286"/>
      <c r="K5" s="286"/>
      <c r="L5" s="286"/>
    </row>
    <row r="6" spans="1:12" ht="21">
      <c r="A6" s="281"/>
      <c r="B6" s="279"/>
      <c r="C6" s="282" t="str">
        <f>ข้อมูล!B6</f>
        <v>และบ่อพักจำนวน 15 บ่อพร้อมป้ายประชาสัมพันธ์รายละเอียดตามแบบแปลนและรายการที่เทศบาลตำบลแม่ลาวกำหนด</v>
      </c>
      <c r="D6" s="283"/>
      <c r="E6" s="282"/>
      <c r="F6" s="284"/>
      <c r="G6" s="283"/>
      <c r="H6" s="285"/>
      <c r="I6" s="285"/>
      <c r="J6" s="286"/>
      <c r="K6" s="286"/>
      <c r="L6" s="286"/>
    </row>
    <row r="8" spans="1:12" ht="21.75">
      <c r="A8" s="287"/>
      <c r="B8" s="288" t="s">
        <v>428</v>
      </c>
      <c r="C8" s="288" t="s">
        <v>429</v>
      </c>
      <c r="D8" s="288" t="s">
        <v>430</v>
      </c>
      <c r="E8" s="288" t="s">
        <v>431</v>
      </c>
      <c r="F8" s="288" t="s">
        <v>432</v>
      </c>
      <c r="G8" s="288" t="s">
        <v>433</v>
      </c>
      <c r="H8" s="288" t="s">
        <v>434</v>
      </c>
      <c r="I8" s="287"/>
      <c r="J8" s="287"/>
      <c r="K8" s="287"/>
      <c r="L8" s="287"/>
    </row>
    <row r="9" spans="1:12" ht="21.75">
      <c r="B9" s="289" t="s">
        <v>435</v>
      </c>
      <c r="C9" s="289"/>
      <c r="D9" s="290">
        <v>1.45</v>
      </c>
      <c r="E9" s="291">
        <f>G9+D9</f>
        <v>101.45</v>
      </c>
      <c r="F9" s="292"/>
      <c r="G9" s="290">
        <v>100</v>
      </c>
      <c r="H9" s="288" t="s">
        <v>436</v>
      </c>
    </row>
    <row r="10" spans="1:12" ht="21.75">
      <c r="B10" s="293"/>
      <c r="C10" s="288" t="s">
        <v>444</v>
      </c>
      <c r="D10" s="293"/>
      <c r="E10" s="293"/>
      <c r="F10" s="290">
        <v>1.39</v>
      </c>
      <c r="G10" s="294">
        <f t="shared" ref="G10:G37" si="0">$E$9-F10</f>
        <v>100.06</v>
      </c>
      <c r="H10" s="289" t="s">
        <v>446</v>
      </c>
    </row>
    <row r="11" spans="1:12" ht="21.75">
      <c r="B11" s="293"/>
      <c r="C11" s="288"/>
      <c r="D11" s="293"/>
      <c r="E11" s="293"/>
      <c r="F11" s="290">
        <v>1.45</v>
      </c>
      <c r="G11" s="294">
        <f t="shared" si="0"/>
        <v>100</v>
      </c>
      <c r="H11" s="289" t="s">
        <v>447</v>
      </c>
    </row>
    <row r="12" spans="1:12" ht="21.75">
      <c r="B12" s="293"/>
      <c r="C12" s="293"/>
      <c r="D12" s="293"/>
      <c r="E12" s="293"/>
      <c r="F12" s="290">
        <v>1.47</v>
      </c>
      <c r="G12" s="294">
        <f t="shared" si="0"/>
        <v>99.98</v>
      </c>
      <c r="H12" s="289" t="s">
        <v>448</v>
      </c>
    </row>
    <row r="13" spans="1:12" ht="21.75">
      <c r="B13" s="293"/>
      <c r="C13" s="293"/>
      <c r="D13" s="293"/>
      <c r="E13" s="293"/>
      <c r="F13" s="290">
        <v>1.51</v>
      </c>
      <c r="G13" s="294">
        <f t="shared" si="0"/>
        <v>99.94</v>
      </c>
      <c r="H13" s="289" t="s">
        <v>437</v>
      </c>
    </row>
    <row r="14" spans="1:12" ht="21.75">
      <c r="B14" s="293"/>
      <c r="C14" s="288" t="s">
        <v>443</v>
      </c>
      <c r="D14" s="293"/>
      <c r="E14" s="293"/>
      <c r="F14" s="290">
        <v>1.4750000000000001</v>
      </c>
      <c r="G14" s="294">
        <f t="shared" si="0"/>
        <v>99.975000000000009</v>
      </c>
      <c r="H14" s="289" t="s">
        <v>446</v>
      </c>
    </row>
    <row r="15" spans="1:12" ht="21.75">
      <c r="B15" s="293"/>
      <c r="C15" s="293"/>
      <c r="D15" s="293"/>
      <c r="E15" s="293"/>
      <c r="F15" s="290">
        <v>1.49</v>
      </c>
      <c r="G15" s="294">
        <f t="shared" si="0"/>
        <v>99.960000000000008</v>
      </c>
      <c r="H15" s="289" t="s">
        <v>447</v>
      </c>
    </row>
    <row r="16" spans="1:12" ht="21.75">
      <c r="B16" s="293"/>
      <c r="C16" s="293"/>
      <c r="D16" s="293"/>
      <c r="E16" s="293"/>
      <c r="F16" s="290">
        <v>1.53</v>
      </c>
      <c r="G16" s="294">
        <f t="shared" si="0"/>
        <v>99.92</v>
      </c>
      <c r="H16" s="289" t="s">
        <v>448</v>
      </c>
    </row>
    <row r="17" spans="2:8" ht="21.75">
      <c r="B17" s="293"/>
      <c r="C17" s="293"/>
      <c r="D17" s="293"/>
      <c r="E17" s="293"/>
      <c r="F17" s="290">
        <v>1.72</v>
      </c>
      <c r="G17" s="294">
        <f t="shared" si="0"/>
        <v>99.73</v>
      </c>
      <c r="H17" s="289" t="s">
        <v>437</v>
      </c>
    </row>
    <row r="18" spans="2:8" ht="21.75">
      <c r="B18" s="293"/>
      <c r="C18" s="288" t="s">
        <v>442</v>
      </c>
      <c r="D18" s="293"/>
      <c r="E18" s="293"/>
      <c r="F18" s="290">
        <v>1.5</v>
      </c>
      <c r="G18" s="294">
        <f t="shared" si="0"/>
        <v>99.95</v>
      </c>
      <c r="H18" s="289" t="s">
        <v>446</v>
      </c>
    </row>
    <row r="19" spans="2:8" ht="21.75">
      <c r="B19" s="293"/>
      <c r="C19" s="293"/>
      <c r="D19" s="293"/>
      <c r="E19" s="293"/>
      <c r="F19" s="290">
        <v>1.49</v>
      </c>
      <c r="G19" s="294">
        <f t="shared" si="0"/>
        <v>99.960000000000008</v>
      </c>
      <c r="H19" s="289" t="s">
        <v>447</v>
      </c>
    </row>
    <row r="20" spans="2:8" ht="21.75">
      <c r="B20" s="293"/>
      <c r="C20" s="293"/>
      <c r="D20" s="293"/>
      <c r="E20" s="293"/>
      <c r="F20" s="290">
        <v>1.53</v>
      </c>
      <c r="G20" s="294">
        <f t="shared" si="0"/>
        <v>99.92</v>
      </c>
      <c r="H20" s="289" t="s">
        <v>448</v>
      </c>
    </row>
    <row r="21" spans="2:8" ht="21.75">
      <c r="B21" s="293"/>
      <c r="C21" s="293"/>
      <c r="D21" s="293"/>
      <c r="E21" s="293"/>
      <c r="F21" s="290">
        <v>1.68</v>
      </c>
      <c r="G21" s="294">
        <f t="shared" si="0"/>
        <v>99.77</v>
      </c>
      <c r="H21" s="289" t="s">
        <v>437</v>
      </c>
    </row>
    <row r="22" spans="2:8" ht="21.75">
      <c r="B22" s="293"/>
      <c r="C22" s="288" t="s">
        <v>441</v>
      </c>
      <c r="D22" s="293"/>
      <c r="E22" s="293"/>
      <c r="F22" s="290">
        <v>1.37</v>
      </c>
      <c r="G22" s="294">
        <f t="shared" si="0"/>
        <v>100.08</v>
      </c>
      <c r="H22" s="289" t="s">
        <v>446</v>
      </c>
    </row>
    <row r="23" spans="2:8" ht="21.75">
      <c r="B23" s="293"/>
      <c r="C23" s="293"/>
      <c r="D23" s="293"/>
      <c r="E23" s="293"/>
      <c r="F23" s="290">
        <v>1.34</v>
      </c>
      <c r="G23" s="294">
        <f t="shared" si="0"/>
        <v>100.11</v>
      </c>
      <c r="H23" s="289" t="s">
        <v>447</v>
      </c>
    </row>
    <row r="24" spans="2:8" ht="21.75">
      <c r="B24" s="293"/>
      <c r="C24" s="293"/>
      <c r="D24" s="293"/>
      <c r="E24" s="293"/>
      <c r="F24" s="290">
        <v>1.39</v>
      </c>
      <c r="G24" s="294">
        <f t="shared" si="0"/>
        <v>100.06</v>
      </c>
      <c r="H24" s="289" t="s">
        <v>448</v>
      </c>
    </row>
    <row r="25" spans="2:8" ht="21.75">
      <c r="B25" s="293"/>
      <c r="C25" s="293"/>
      <c r="D25" s="293"/>
      <c r="E25" s="293"/>
      <c r="F25" s="290">
        <v>1.74</v>
      </c>
      <c r="G25" s="294">
        <f t="shared" si="0"/>
        <v>99.710000000000008</v>
      </c>
      <c r="H25" s="289" t="s">
        <v>437</v>
      </c>
    </row>
    <row r="26" spans="2:8" ht="21.75">
      <c r="B26" s="293"/>
      <c r="C26" s="288" t="s">
        <v>440</v>
      </c>
      <c r="D26" s="293"/>
      <c r="E26" s="293"/>
      <c r="F26" s="290">
        <v>1.41</v>
      </c>
      <c r="G26" s="294">
        <f t="shared" si="0"/>
        <v>100.04</v>
      </c>
      <c r="H26" s="289" t="s">
        <v>446</v>
      </c>
    </row>
    <row r="27" spans="2:8" ht="21.75">
      <c r="B27" s="293"/>
      <c r="C27" s="293"/>
      <c r="D27" s="293"/>
      <c r="E27" s="293"/>
      <c r="F27" s="290">
        <v>1.38</v>
      </c>
      <c r="G27" s="294">
        <f t="shared" si="0"/>
        <v>100.07000000000001</v>
      </c>
      <c r="H27" s="289" t="s">
        <v>447</v>
      </c>
    </row>
    <row r="28" spans="2:8" ht="21.75">
      <c r="B28" s="293"/>
      <c r="C28" s="293"/>
      <c r="D28" s="293"/>
      <c r="E28" s="293"/>
      <c r="F28" s="290">
        <v>1.4</v>
      </c>
      <c r="G28" s="294">
        <f t="shared" si="0"/>
        <v>100.05</v>
      </c>
      <c r="H28" s="289" t="s">
        <v>448</v>
      </c>
    </row>
    <row r="29" spans="2:8" ht="21.75">
      <c r="B29" s="293"/>
      <c r="C29" s="293"/>
      <c r="D29" s="293"/>
      <c r="E29" s="293"/>
      <c r="F29" s="290">
        <v>1.52</v>
      </c>
      <c r="G29" s="294">
        <f t="shared" si="0"/>
        <v>99.93</v>
      </c>
      <c r="H29" s="289" t="s">
        <v>437</v>
      </c>
    </row>
    <row r="30" spans="2:8" ht="21.75">
      <c r="B30" s="293"/>
      <c r="C30" s="288" t="s">
        <v>439</v>
      </c>
      <c r="D30" s="293"/>
      <c r="E30" s="293"/>
      <c r="F30" s="290">
        <v>1.51</v>
      </c>
      <c r="G30" s="294">
        <f t="shared" si="0"/>
        <v>99.94</v>
      </c>
      <c r="H30" s="289" t="s">
        <v>446</v>
      </c>
    </row>
    <row r="31" spans="2:8" ht="21.75">
      <c r="B31" s="293"/>
      <c r="C31" s="293"/>
      <c r="D31" s="293"/>
      <c r="E31" s="293"/>
      <c r="F31" s="290">
        <v>1.47</v>
      </c>
      <c r="G31" s="294">
        <f t="shared" si="0"/>
        <v>99.98</v>
      </c>
      <c r="H31" s="289" t="s">
        <v>447</v>
      </c>
    </row>
    <row r="32" spans="2:8" ht="21.75">
      <c r="B32" s="293"/>
      <c r="C32" s="293"/>
      <c r="D32" s="293"/>
      <c r="E32" s="293"/>
      <c r="F32" s="290">
        <v>1.52</v>
      </c>
      <c r="G32" s="294">
        <f t="shared" si="0"/>
        <v>99.93</v>
      </c>
      <c r="H32" s="289" t="s">
        <v>448</v>
      </c>
    </row>
    <row r="33" spans="2:8" ht="21.75">
      <c r="B33" s="293"/>
      <c r="C33" s="293"/>
      <c r="D33" s="293"/>
      <c r="E33" s="293"/>
      <c r="F33" s="290">
        <v>1.89</v>
      </c>
      <c r="G33" s="294">
        <f t="shared" si="0"/>
        <v>99.56</v>
      </c>
      <c r="H33" s="289" t="s">
        <v>437</v>
      </c>
    </row>
    <row r="34" spans="2:8" ht="21.75">
      <c r="B34" s="293"/>
      <c r="C34" s="288" t="s">
        <v>438</v>
      </c>
      <c r="D34" s="293"/>
      <c r="E34" s="293"/>
      <c r="F34" s="290">
        <v>1.51</v>
      </c>
      <c r="G34" s="294">
        <f t="shared" si="0"/>
        <v>99.94</v>
      </c>
      <c r="H34" s="289" t="s">
        <v>446</v>
      </c>
    </row>
    <row r="35" spans="2:8" ht="21.75">
      <c r="B35" s="293"/>
      <c r="C35" s="293"/>
      <c r="D35" s="293"/>
      <c r="E35" s="293"/>
      <c r="F35" s="290">
        <v>1.47</v>
      </c>
      <c r="G35" s="294">
        <f t="shared" si="0"/>
        <v>99.98</v>
      </c>
      <c r="H35" s="289" t="s">
        <v>447</v>
      </c>
    </row>
    <row r="36" spans="2:8" ht="21.75">
      <c r="B36" s="293"/>
      <c r="C36" s="293"/>
      <c r="D36" s="293"/>
      <c r="E36" s="293"/>
      <c r="F36" s="290">
        <v>1.52</v>
      </c>
      <c r="G36" s="294">
        <f t="shared" si="0"/>
        <v>99.93</v>
      </c>
      <c r="H36" s="289" t="s">
        <v>448</v>
      </c>
    </row>
    <row r="37" spans="2:8" ht="21.75">
      <c r="B37" s="293"/>
      <c r="C37" s="293"/>
      <c r="D37" s="293"/>
      <c r="E37" s="293"/>
      <c r="F37" s="290">
        <v>1.69</v>
      </c>
      <c r="G37" s="294">
        <f t="shared" si="0"/>
        <v>99.76</v>
      </c>
      <c r="H37" s="289" t="s">
        <v>437</v>
      </c>
    </row>
    <row r="38" spans="2:8" ht="21.75">
      <c r="B38" s="293"/>
      <c r="C38" s="288"/>
      <c r="D38" s="293"/>
      <c r="E38" s="293"/>
      <c r="F38" s="290"/>
      <c r="G38" s="294"/>
      <c r="H38" s="289"/>
    </row>
    <row r="39" spans="2:8" ht="21.75">
      <c r="B39" s="293"/>
      <c r="C39" s="293"/>
      <c r="D39" s="293"/>
      <c r="E39" s="293"/>
      <c r="F39" s="290"/>
      <c r="G39" s="294"/>
      <c r="H39" s="289"/>
    </row>
    <row r="40" spans="2:8" ht="21.75">
      <c r="B40" s="295" t="s">
        <v>445</v>
      </c>
      <c r="C40" s="296"/>
      <c r="D40" s="296"/>
      <c r="E40" s="296"/>
      <c r="F40" s="297">
        <v>1.51</v>
      </c>
      <c r="G40" s="294">
        <f>$E$9-F40</f>
        <v>99.94</v>
      </c>
      <c r="H40" s="293"/>
    </row>
  </sheetData>
  <mergeCells count="3">
    <mergeCell ref="C2:G2"/>
    <mergeCell ref="C5:H5"/>
    <mergeCell ref="A1:H1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rowBreaks count="1" manualBreakCount="1">
    <brk id="33" max="7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76"/>
  <sheetViews>
    <sheetView tabSelected="1" view="pageBreakPreview" topLeftCell="A52" zoomScaleNormal="100" zoomScaleSheetLayoutView="100" workbookViewId="0">
      <selection activeCell="G65" sqref="G65"/>
    </sheetView>
  </sheetViews>
  <sheetFormatPr defaultRowHeight="21"/>
  <cols>
    <col min="1" max="1" width="4.625" style="350" customWidth="1"/>
    <col min="2" max="2" width="4.5" style="350" customWidth="1"/>
    <col min="3" max="3" width="11.875" style="350" customWidth="1"/>
    <col min="4" max="4" width="23.875" style="350" customWidth="1"/>
    <col min="5" max="5" width="6" style="350" customWidth="1"/>
    <col min="6" max="6" width="6.625" style="351" bestFit="1" customWidth="1"/>
    <col min="7" max="7" width="8.625" style="350" customWidth="1"/>
    <col min="8" max="8" width="10.125" style="350" customWidth="1"/>
    <col min="9" max="9" width="6.875" style="350" customWidth="1"/>
    <col min="10" max="10" width="10" style="420" bestFit="1" customWidth="1"/>
    <col min="11" max="11" width="10.625" style="350" bestFit="1" customWidth="1"/>
    <col min="12" max="12" width="9" style="350"/>
    <col min="13" max="13" width="10.5" style="350" customWidth="1"/>
    <col min="14" max="14" width="10.875" style="350" bestFit="1" customWidth="1"/>
    <col min="15" max="15" width="9.625" style="350" bestFit="1" customWidth="1"/>
    <col min="16" max="16384" width="9" style="350"/>
  </cols>
  <sheetData>
    <row r="1" spans="1:13">
      <c r="J1" s="352"/>
      <c r="K1" s="353"/>
    </row>
    <row r="2" spans="1:13">
      <c r="A2" s="479" t="s">
        <v>133</v>
      </c>
      <c r="B2" s="479"/>
      <c r="C2" s="479"/>
      <c r="D2" s="479"/>
      <c r="E2" s="479"/>
      <c r="F2" s="479"/>
      <c r="G2" s="479"/>
      <c r="H2" s="479"/>
      <c r="I2" s="479"/>
      <c r="J2" s="479"/>
      <c r="K2" s="479"/>
    </row>
    <row r="3" spans="1:13">
      <c r="A3" s="354" t="s">
        <v>134</v>
      </c>
      <c r="B3" s="355"/>
      <c r="C3" s="355"/>
      <c r="D3" s="478" t="str">
        <f>ข้อมูล!B3</f>
        <v xml:space="preserve">โครงการวางท่อพร้อมขยายผิวจราจร ถนนบ้านแม่ลาว หมู่ 19 - บ้านสันต้นแหน
</v>
      </c>
      <c r="E3" s="478"/>
      <c r="F3" s="478"/>
      <c r="G3" s="478"/>
      <c r="H3" s="478"/>
      <c r="I3" s="478"/>
      <c r="J3" s="478"/>
      <c r="K3" s="478"/>
    </row>
    <row r="4" spans="1:13">
      <c r="A4" s="354"/>
      <c r="B4" s="355"/>
      <c r="C4" s="355"/>
      <c r="D4" s="478" t="s">
        <v>475</v>
      </c>
      <c r="E4" s="478"/>
      <c r="F4" s="478"/>
      <c r="G4" s="478"/>
      <c r="H4" s="478"/>
      <c r="I4" s="478"/>
      <c r="J4" s="478"/>
      <c r="K4" s="478"/>
    </row>
    <row r="5" spans="1:13">
      <c r="A5" s="354"/>
      <c r="B5" s="355"/>
      <c r="C5" s="355"/>
      <c r="D5" s="478" t="s">
        <v>476</v>
      </c>
      <c r="E5" s="478"/>
      <c r="F5" s="478"/>
      <c r="G5" s="478"/>
      <c r="H5" s="478"/>
      <c r="I5" s="478"/>
      <c r="J5" s="478"/>
      <c r="K5" s="478"/>
    </row>
    <row r="6" spans="1:13">
      <c r="A6" s="354" t="s">
        <v>135</v>
      </c>
      <c r="B6" s="355"/>
      <c r="C6" s="355"/>
      <c r="D6" s="478" t="str">
        <f>ข้อมูล!B4</f>
        <v xml:space="preserve"> หมู่ 19 ตำบลดงมะดะ อำเภอแม่ลาว จังหวัดเชียงราย </v>
      </c>
      <c r="E6" s="478"/>
      <c r="F6" s="478"/>
      <c r="G6" s="478"/>
      <c r="H6" s="478"/>
      <c r="I6" s="478"/>
      <c r="J6" s="478"/>
      <c r="K6" s="478"/>
    </row>
    <row r="7" spans="1:13">
      <c r="A7" s="354" t="s">
        <v>136</v>
      </c>
      <c r="B7" s="355"/>
      <c r="C7" s="355"/>
      <c r="D7" s="478" t="s">
        <v>137</v>
      </c>
      <c r="E7" s="478"/>
      <c r="F7" s="478"/>
      <c r="G7" s="478"/>
      <c r="H7" s="478"/>
      <c r="I7" s="478"/>
      <c r="J7" s="478"/>
      <c r="K7" s="478"/>
    </row>
    <row r="8" spans="1:13">
      <c r="A8" s="480" t="s">
        <v>138</v>
      </c>
      <c r="B8" s="480"/>
      <c r="C8" s="480"/>
      <c r="D8" s="356"/>
      <c r="E8" s="481"/>
      <c r="F8" s="481"/>
      <c r="G8" s="481"/>
      <c r="H8" s="357"/>
      <c r="I8" s="357"/>
      <c r="J8" s="358"/>
      <c r="K8" s="357"/>
    </row>
    <row r="9" spans="1:13">
      <c r="A9" s="354" t="s">
        <v>139</v>
      </c>
      <c r="B9" s="355"/>
      <c r="C9" s="355"/>
      <c r="D9" s="359" t="s">
        <v>504</v>
      </c>
      <c r="E9" s="360"/>
      <c r="F9" s="361"/>
      <c r="G9" s="360"/>
      <c r="H9" s="360"/>
      <c r="I9" s="360"/>
      <c r="J9" s="362"/>
      <c r="K9" s="363"/>
    </row>
    <row r="10" spans="1:13">
      <c r="A10" s="482" t="s">
        <v>140</v>
      </c>
      <c r="B10" s="484" t="s">
        <v>141</v>
      </c>
      <c r="C10" s="485"/>
      <c r="D10" s="486"/>
      <c r="E10" s="490" t="s">
        <v>142</v>
      </c>
      <c r="F10" s="364" t="s">
        <v>143</v>
      </c>
      <c r="G10" s="476" t="s">
        <v>144</v>
      </c>
      <c r="H10" s="364" t="s">
        <v>145</v>
      </c>
      <c r="I10" s="365" t="s">
        <v>146</v>
      </c>
      <c r="J10" s="366" t="s">
        <v>147</v>
      </c>
      <c r="K10" s="365" t="s">
        <v>148</v>
      </c>
    </row>
    <row r="11" spans="1:13">
      <c r="A11" s="483"/>
      <c r="B11" s="487"/>
      <c r="C11" s="488"/>
      <c r="D11" s="489"/>
      <c r="E11" s="491"/>
      <c r="F11" s="367" t="s">
        <v>149</v>
      </c>
      <c r="G11" s="477"/>
      <c r="H11" s="367" t="s">
        <v>150</v>
      </c>
      <c r="I11" s="368" t="s">
        <v>151</v>
      </c>
      <c r="J11" s="369" t="s">
        <v>152</v>
      </c>
      <c r="K11" s="368"/>
    </row>
    <row r="12" spans="1:13">
      <c r="A12" s="370">
        <v>1</v>
      </c>
      <c r="B12" s="492" t="s">
        <v>418</v>
      </c>
      <c r="C12" s="493"/>
      <c r="D12" s="494"/>
      <c r="E12" s="371"/>
      <c r="F12" s="372"/>
      <c r="G12" s="373"/>
      <c r="H12" s="374"/>
      <c r="I12" s="375"/>
      <c r="J12" s="376"/>
      <c r="K12" s="376"/>
    </row>
    <row r="13" spans="1:13">
      <c r="A13" s="370"/>
      <c r="B13" s="377">
        <v>1.1000000000000001</v>
      </c>
      <c r="C13" s="454" t="s">
        <v>419</v>
      </c>
      <c r="D13" s="455"/>
      <c r="E13" s="378" t="s">
        <v>289</v>
      </c>
      <c r="F13" s="372">
        <v>14</v>
      </c>
      <c r="G13" s="373">
        <v>500</v>
      </c>
      <c r="H13" s="379">
        <f>G13*F13</f>
        <v>7000</v>
      </c>
      <c r="I13" s="380">
        <f>$H$57</f>
        <v>1.3848</v>
      </c>
      <c r="J13" s="376">
        <f>ROUNDDOWN(H13*I13,2)</f>
        <v>9693.6</v>
      </c>
      <c r="K13" s="376">
        <f>J13</f>
        <v>9693.6</v>
      </c>
    </row>
    <row r="14" spans="1:13" hidden="1">
      <c r="A14" s="370"/>
      <c r="B14" s="377">
        <v>1.2</v>
      </c>
      <c r="C14" s="454" t="s">
        <v>153</v>
      </c>
      <c r="D14" s="455"/>
      <c r="E14" s="378" t="s">
        <v>49</v>
      </c>
      <c r="F14" s="372"/>
      <c r="G14" s="373"/>
      <c r="H14" s="373"/>
      <c r="I14" s="380"/>
      <c r="J14" s="376"/>
      <c r="K14" s="376"/>
    </row>
    <row r="15" spans="1:13">
      <c r="A15" s="370">
        <v>2</v>
      </c>
      <c r="B15" s="472" t="s">
        <v>154</v>
      </c>
      <c r="C15" s="475"/>
      <c r="D15" s="474"/>
      <c r="E15" s="378"/>
      <c r="F15" s="372"/>
      <c r="G15" s="373"/>
      <c r="H15" s="373"/>
      <c r="I15" s="380"/>
      <c r="J15" s="376"/>
      <c r="K15" s="376"/>
    </row>
    <row r="16" spans="1:13">
      <c r="A16" s="370"/>
      <c r="B16" s="377">
        <v>2.1</v>
      </c>
      <c r="C16" s="454" t="s">
        <v>155</v>
      </c>
      <c r="D16" s="455"/>
      <c r="E16" s="378" t="s">
        <v>49</v>
      </c>
      <c r="F16" s="381"/>
      <c r="G16" s="373"/>
      <c r="H16" s="379"/>
      <c r="I16" s="380"/>
      <c r="J16" s="376"/>
      <c r="K16" s="376"/>
      <c r="M16" s="382">
        <f>K16*100/$K$52</f>
        <v>0</v>
      </c>
    </row>
    <row r="17" spans="1:13">
      <c r="A17" s="370"/>
      <c r="B17" s="377">
        <v>2.2000000000000002</v>
      </c>
      <c r="C17" s="454" t="s">
        <v>460</v>
      </c>
      <c r="D17" s="455"/>
      <c r="E17" s="378" t="s">
        <v>51</v>
      </c>
      <c r="F17" s="381">
        <f>งานดิน!H35</f>
        <v>161.11250000000001</v>
      </c>
      <c r="G17" s="373">
        <f>ราคาต้นทุนต่อหน่วย!I45</f>
        <v>59.199999999999996</v>
      </c>
      <c r="H17" s="379">
        <f>G17*F17</f>
        <v>9537.86</v>
      </c>
      <c r="I17" s="380">
        <f>$H$57</f>
        <v>1.3848</v>
      </c>
      <c r="J17" s="376">
        <f>ROUNDDOWN(H17*I17,2)</f>
        <v>13208.02</v>
      </c>
      <c r="K17" s="376">
        <f>J17</f>
        <v>13208.02</v>
      </c>
    </row>
    <row r="18" spans="1:13" hidden="1">
      <c r="A18" s="370"/>
      <c r="B18" s="377">
        <v>2.2999999999999998</v>
      </c>
      <c r="C18" s="454" t="s">
        <v>156</v>
      </c>
      <c r="D18" s="455"/>
      <c r="E18" s="378" t="s">
        <v>51</v>
      </c>
      <c r="F18" s="372"/>
      <c r="G18" s="373"/>
      <c r="H18" s="373"/>
      <c r="I18" s="380"/>
      <c r="J18" s="376"/>
      <c r="K18" s="376"/>
    </row>
    <row r="19" spans="1:13" hidden="1">
      <c r="A19" s="370"/>
      <c r="B19" s="377">
        <v>2.4</v>
      </c>
      <c r="C19" s="454" t="s">
        <v>157</v>
      </c>
      <c r="D19" s="455"/>
      <c r="E19" s="378" t="s">
        <v>51</v>
      </c>
      <c r="F19" s="372"/>
      <c r="G19" s="373"/>
      <c r="H19" s="373"/>
      <c r="I19" s="380"/>
      <c r="J19" s="376"/>
      <c r="K19" s="376"/>
    </row>
    <row r="20" spans="1:13">
      <c r="A20" s="370">
        <v>3</v>
      </c>
      <c r="B20" s="472" t="s">
        <v>158</v>
      </c>
      <c r="C20" s="475"/>
      <c r="D20" s="474"/>
      <c r="E20" s="378"/>
      <c r="F20" s="372"/>
      <c r="G20" s="373"/>
      <c r="H20" s="373"/>
      <c r="I20" s="380"/>
      <c r="J20" s="376"/>
      <c r="K20" s="376"/>
    </row>
    <row r="21" spans="1:13" hidden="1">
      <c r="A21" s="370"/>
      <c r="B21" s="377">
        <v>3.1</v>
      </c>
      <c r="C21" s="454" t="s">
        <v>159</v>
      </c>
      <c r="D21" s="455"/>
      <c r="E21" s="378" t="s">
        <v>49</v>
      </c>
      <c r="F21" s="372"/>
      <c r="G21" s="373"/>
      <c r="H21" s="373"/>
      <c r="I21" s="380"/>
      <c r="J21" s="376">
        <f>ROUNDDOWN(H21*I21,2)</f>
        <v>0</v>
      </c>
      <c r="K21" s="376">
        <f>J21</f>
        <v>0</v>
      </c>
    </row>
    <row r="22" spans="1:13" hidden="1">
      <c r="A22" s="370"/>
      <c r="B22" s="377"/>
      <c r="C22" s="383" t="s">
        <v>160</v>
      </c>
      <c r="D22" s="384"/>
      <c r="E22" s="378"/>
      <c r="F22" s="372"/>
      <c r="G22" s="373"/>
      <c r="H22" s="373"/>
      <c r="I22" s="380"/>
      <c r="J22" s="376"/>
      <c r="K22" s="376"/>
    </row>
    <row r="23" spans="1:13" hidden="1">
      <c r="A23" s="370"/>
      <c r="B23" s="377">
        <v>3.2</v>
      </c>
      <c r="C23" s="454" t="s">
        <v>159</v>
      </c>
      <c r="D23" s="455"/>
      <c r="E23" s="378" t="s">
        <v>49</v>
      </c>
      <c r="F23" s="385"/>
      <c r="G23" s="373"/>
      <c r="H23" s="373"/>
      <c r="I23" s="380"/>
      <c r="J23" s="376"/>
      <c r="K23" s="376"/>
    </row>
    <row r="24" spans="1:13" hidden="1">
      <c r="A24" s="370"/>
      <c r="B24" s="377"/>
      <c r="C24" s="383" t="s">
        <v>161</v>
      </c>
      <c r="D24" s="384"/>
      <c r="E24" s="378"/>
      <c r="F24" s="372"/>
      <c r="G24" s="373"/>
      <c r="H24" s="373"/>
      <c r="I24" s="380"/>
      <c r="J24" s="376"/>
      <c r="K24" s="376"/>
    </row>
    <row r="25" spans="1:13" hidden="1">
      <c r="A25" s="370"/>
      <c r="B25" s="377">
        <v>3.3</v>
      </c>
      <c r="C25" s="454" t="s">
        <v>162</v>
      </c>
      <c r="D25" s="455"/>
      <c r="E25" s="378" t="s">
        <v>51</v>
      </c>
      <c r="F25" s="372"/>
      <c r="G25" s="373"/>
      <c r="H25" s="373"/>
      <c r="I25" s="380"/>
      <c r="J25" s="376"/>
      <c r="K25" s="376"/>
    </row>
    <row r="26" spans="1:13" hidden="1">
      <c r="A26" s="370"/>
      <c r="B26" s="377">
        <v>3.4</v>
      </c>
      <c r="C26" s="454" t="s">
        <v>163</v>
      </c>
      <c r="D26" s="455"/>
      <c r="E26" s="378" t="s">
        <v>51</v>
      </c>
      <c r="F26" s="385"/>
      <c r="G26" s="373"/>
      <c r="H26" s="373"/>
      <c r="I26" s="380"/>
      <c r="J26" s="376"/>
      <c r="K26" s="376"/>
    </row>
    <row r="27" spans="1:13">
      <c r="A27" s="370"/>
      <c r="B27" s="377">
        <v>3.1</v>
      </c>
      <c r="C27" s="454" t="s">
        <v>164</v>
      </c>
      <c r="D27" s="455"/>
      <c r="E27" s="378" t="s">
        <v>51</v>
      </c>
      <c r="F27" s="372">
        <f>205.6*0.05</f>
        <v>10.280000000000001</v>
      </c>
      <c r="G27" s="373">
        <f>ราคาต้นทุนต่อหน่วย!H37</f>
        <v>409.8895</v>
      </c>
      <c r="H27" s="373">
        <f>G27*F27</f>
        <v>4213.6640600000001</v>
      </c>
      <c r="I27" s="380">
        <f>$H$57</f>
        <v>1.3848</v>
      </c>
      <c r="J27" s="376">
        <f>ROUNDDOWN(H27*I27,2)</f>
        <v>5835.08</v>
      </c>
      <c r="K27" s="376">
        <f>J27</f>
        <v>5835.08</v>
      </c>
      <c r="M27" s="382">
        <f>K27*100/$K$52</f>
        <v>1.242692410730746</v>
      </c>
    </row>
    <row r="28" spans="1:13" hidden="1">
      <c r="A28" s="370"/>
      <c r="B28" s="377">
        <v>3.6</v>
      </c>
      <c r="C28" s="454" t="s">
        <v>165</v>
      </c>
      <c r="D28" s="455"/>
      <c r="E28" s="378" t="s">
        <v>49</v>
      </c>
      <c r="F28" s="372"/>
      <c r="G28" s="373"/>
      <c r="H28" s="373"/>
      <c r="I28" s="380"/>
      <c r="J28" s="376"/>
      <c r="K28" s="376"/>
    </row>
    <row r="29" spans="1:13" hidden="1">
      <c r="A29" s="370"/>
      <c r="B29" s="377"/>
      <c r="C29" s="454" t="s">
        <v>166</v>
      </c>
      <c r="D29" s="455"/>
      <c r="E29" s="378"/>
      <c r="F29" s="372"/>
      <c r="G29" s="373"/>
      <c r="H29" s="373"/>
      <c r="I29" s="380"/>
      <c r="J29" s="376"/>
      <c r="K29" s="376"/>
    </row>
    <row r="30" spans="1:13" hidden="1">
      <c r="A30" s="370"/>
      <c r="B30" s="377">
        <v>3.7</v>
      </c>
      <c r="C30" s="454" t="s">
        <v>375</v>
      </c>
      <c r="D30" s="455"/>
      <c r="E30" s="378" t="s">
        <v>51</v>
      </c>
      <c r="F30" s="381"/>
      <c r="G30" s="373"/>
      <c r="H30" s="379"/>
      <c r="I30" s="380"/>
      <c r="J30" s="376"/>
      <c r="K30" s="376"/>
      <c r="M30" s="382">
        <f>K30*100/$K$52</f>
        <v>0</v>
      </c>
    </row>
    <row r="31" spans="1:13" hidden="1">
      <c r="A31" s="370"/>
      <c r="B31" s="377">
        <v>3.8</v>
      </c>
      <c r="C31" s="454" t="s">
        <v>167</v>
      </c>
      <c r="D31" s="455"/>
      <c r="E31" s="378" t="s">
        <v>51</v>
      </c>
      <c r="F31" s="372"/>
      <c r="G31" s="373"/>
      <c r="H31" s="373"/>
      <c r="I31" s="380"/>
      <c r="J31" s="376"/>
      <c r="K31" s="376"/>
    </row>
    <row r="32" spans="1:13">
      <c r="A32" s="370">
        <v>4</v>
      </c>
      <c r="B32" s="472" t="s">
        <v>168</v>
      </c>
      <c r="C32" s="475"/>
      <c r="D32" s="474"/>
      <c r="E32" s="378"/>
      <c r="F32" s="372"/>
      <c r="G32" s="373"/>
      <c r="H32" s="373"/>
      <c r="I32" s="380"/>
      <c r="J32" s="376"/>
      <c r="K32" s="376"/>
    </row>
    <row r="33" spans="1:13">
      <c r="A33" s="370"/>
      <c r="B33" s="377">
        <v>4.0999999999999996</v>
      </c>
      <c r="C33" s="454" t="s">
        <v>416</v>
      </c>
      <c r="D33" s="455"/>
      <c r="E33" s="378" t="s">
        <v>49</v>
      </c>
      <c r="F33" s="372">
        <v>205.6</v>
      </c>
      <c r="G33" s="373">
        <f>ราคาต้นทุนต่อหน่วย!K68</f>
        <v>367.35</v>
      </c>
      <c r="H33" s="373">
        <f>G33*F33</f>
        <v>75527.16</v>
      </c>
      <c r="I33" s="380">
        <f>$H$57</f>
        <v>1.3848</v>
      </c>
      <c r="J33" s="376">
        <f>ROUNDDOWN(H33*I33,2)</f>
        <v>104590.01</v>
      </c>
      <c r="K33" s="376">
        <f>J33</f>
        <v>104590.01</v>
      </c>
      <c r="M33" s="382">
        <f>K33*100/$K$52</f>
        <v>22.27445239229845</v>
      </c>
    </row>
    <row r="34" spans="1:13">
      <c r="A34" s="370"/>
      <c r="B34" s="377"/>
      <c r="C34" s="454" t="s">
        <v>169</v>
      </c>
      <c r="D34" s="455"/>
      <c r="E34" s="378"/>
      <c r="F34" s="372"/>
      <c r="G34" s="373"/>
      <c r="H34" s="373"/>
      <c r="I34" s="375"/>
      <c r="J34" s="376"/>
      <c r="K34" s="376"/>
    </row>
    <row r="35" spans="1:13" hidden="1">
      <c r="A35" s="370"/>
      <c r="B35" s="377">
        <v>4.2</v>
      </c>
      <c r="C35" s="454" t="s">
        <v>170</v>
      </c>
      <c r="D35" s="455"/>
      <c r="E35" s="378" t="s">
        <v>79</v>
      </c>
      <c r="F35" s="381">
        <v>0</v>
      </c>
      <c r="G35" s="373">
        <f>ราคาต้นทุนต่อหน่วย!K81</f>
        <v>86.33</v>
      </c>
      <c r="H35" s="379">
        <f>G35*F35</f>
        <v>0</v>
      </c>
      <c r="I35" s="380">
        <f>$H$57</f>
        <v>1.3848</v>
      </c>
      <c r="J35" s="376">
        <f>ROUNDDOWN(H35*I35,2)</f>
        <v>0</v>
      </c>
      <c r="K35" s="376">
        <f>J35</f>
        <v>0</v>
      </c>
      <c r="M35" s="382">
        <f>K35*100/$K$52</f>
        <v>0</v>
      </c>
    </row>
    <row r="36" spans="1:13">
      <c r="A36" s="370"/>
      <c r="B36" s="377">
        <v>4.2</v>
      </c>
      <c r="C36" s="454" t="s">
        <v>494</v>
      </c>
      <c r="D36" s="455"/>
      <c r="E36" s="378" t="s">
        <v>79</v>
      </c>
      <c r="F36" s="372">
        <v>45</v>
      </c>
      <c r="G36" s="373">
        <f>ราคาต้นทุนต่อหน่วย!K103</f>
        <v>102.13</v>
      </c>
      <c r="H36" s="373">
        <f>G36*F36</f>
        <v>4595.8499999999995</v>
      </c>
      <c r="I36" s="380">
        <f>$H$57</f>
        <v>1.3848</v>
      </c>
      <c r="J36" s="376">
        <f>ROUNDDOWN(H36*I36,2)</f>
        <v>6364.33</v>
      </c>
      <c r="K36" s="376">
        <f>J36</f>
        <v>6364.33</v>
      </c>
      <c r="M36" s="382">
        <f>K36*100/$K$52</f>
        <v>1.3554063681022384</v>
      </c>
    </row>
    <row r="37" spans="1:13">
      <c r="A37" s="370"/>
      <c r="B37" s="377">
        <v>4.3</v>
      </c>
      <c r="C37" s="454" t="s">
        <v>171</v>
      </c>
      <c r="D37" s="455"/>
      <c r="E37" s="378" t="s">
        <v>79</v>
      </c>
      <c r="F37" s="372">
        <v>150</v>
      </c>
      <c r="G37" s="373">
        <f>ราคาต้นทุนต่อหน่วย!K88</f>
        <v>70.209999999999994</v>
      </c>
      <c r="H37" s="373">
        <f>G37*F37</f>
        <v>10531.499999999998</v>
      </c>
      <c r="I37" s="380">
        <f>$H$57</f>
        <v>1.3848</v>
      </c>
      <c r="J37" s="376">
        <f>H37*I37</f>
        <v>14584.021199999997</v>
      </c>
      <c r="K37" s="376">
        <f>J37</f>
        <v>14584.021199999997</v>
      </c>
    </row>
    <row r="38" spans="1:13">
      <c r="A38" s="386"/>
      <c r="B38" s="387">
        <v>4.4000000000000004</v>
      </c>
      <c r="C38" s="452" t="s">
        <v>172</v>
      </c>
      <c r="D38" s="453"/>
      <c r="E38" s="388" t="s">
        <v>79</v>
      </c>
      <c r="F38" s="389"/>
      <c r="G38" s="390"/>
      <c r="H38" s="390"/>
      <c r="I38" s="391"/>
      <c r="J38" s="392"/>
      <c r="K38" s="392"/>
    </row>
    <row r="39" spans="1:13">
      <c r="A39" s="393">
        <v>5</v>
      </c>
      <c r="B39" s="469" t="s">
        <v>173</v>
      </c>
      <c r="C39" s="470"/>
      <c r="D39" s="471"/>
      <c r="E39" s="371"/>
      <c r="F39" s="394"/>
      <c r="G39" s="374"/>
      <c r="H39" s="374"/>
      <c r="I39" s="395"/>
      <c r="J39" s="396"/>
      <c r="K39" s="396"/>
    </row>
    <row r="40" spans="1:13" hidden="1">
      <c r="A40" s="370"/>
      <c r="B40" s="284">
        <v>5.0999999999999996</v>
      </c>
      <c r="C40" s="454" t="s">
        <v>350</v>
      </c>
      <c r="D40" s="455"/>
      <c r="E40" s="378" t="s">
        <v>174</v>
      </c>
      <c r="F40" s="381"/>
      <c r="G40" s="373"/>
      <c r="H40" s="379"/>
      <c r="I40" s="380"/>
      <c r="J40" s="376"/>
      <c r="K40" s="376"/>
    </row>
    <row r="41" spans="1:13" hidden="1">
      <c r="A41" s="370"/>
      <c r="B41" s="284">
        <v>5.2</v>
      </c>
      <c r="C41" s="454" t="s">
        <v>175</v>
      </c>
      <c r="D41" s="455"/>
      <c r="E41" s="378" t="s">
        <v>119</v>
      </c>
      <c r="F41" s="381"/>
      <c r="G41" s="373"/>
      <c r="H41" s="379"/>
      <c r="I41" s="380"/>
      <c r="J41" s="376"/>
      <c r="K41" s="376"/>
    </row>
    <row r="42" spans="1:13">
      <c r="A42" s="370"/>
      <c r="B42" s="284">
        <v>5.0999999999999996</v>
      </c>
      <c r="C42" s="454" t="s">
        <v>495</v>
      </c>
      <c r="D42" s="455"/>
      <c r="E42" s="378" t="s">
        <v>119</v>
      </c>
      <c r="F42" s="372">
        <v>135</v>
      </c>
      <c r="G42" s="373">
        <f>ราคาต้นทุนต่อหน่วย!J157</f>
        <v>887.87526666666668</v>
      </c>
      <c r="H42" s="379">
        <f>G42*F42</f>
        <v>119863.16100000001</v>
      </c>
      <c r="I42" s="380">
        <f>$H$57</f>
        <v>1.3848</v>
      </c>
      <c r="J42" s="376">
        <f>ROUNDDOWN(H42*I42,2)</f>
        <v>165986.5</v>
      </c>
      <c r="K42" s="376">
        <f>J42</f>
        <v>165986.5</v>
      </c>
    </row>
    <row r="43" spans="1:13">
      <c r="A43" s="370"/>
      <c r="B43" s="284">
        <v>5.2</v>
      </c>
      <c r="C43" s="454" t="s">
        <v>422</v>
      </c>
      <c r="D43" s="455"/>
      <c r="E43" s="378" t="s">
        <v>174</v>
      </c>
      <c r="F43" s="381">
        <v>15</v>
      </c>
      <c r="G43" s="373">
        <f>ราคาต้นทุนต่อหน่วย!K179</f>
        <v>6749.3239999999996</v>
      </c>
      <c r="H43" s="379">
        <f>G43*F43</f>
        <v>101239.86</v>
      </c>
      <c r="I43" s="380">
        <f>$H$57</f>
        <v>1.3848</v>
      </c>
      <c r="J43" s="376">
        <f>ROUNDDOWN(H43*I43,2)</f>
        <v>140196.95000000001</v>
      </c>
      <c r="K43" s="376">
        <f>J43</f>
        <v>140196.95000000001</v>
      </c>
    </row>
    <row r="44" spans="1:13">
      <c r="A44" s="370"/>
      <c r="B44" s="284">
        <v>5.3</v>
      </c>
      <c r="C44" s="454" t="s">
        <v>497</v>
      </c>
      <c r="D44" s="455"/>
      <c r="E44" s="378" t="s">
        <v>498</v>
      </c>
      <c r="F44" s="381">
        <v>1</v>
      </c>
      <c r="G44" s="373">
        <f>ราคาต้นทุนต่อหน่วย!K186</f>
        <v>6566.24</v>
      </c>
      <c r="H44" s="379">
        <f>G44*F44</f>
        <v>6566.24</v>
      </c>
      <c r="I44" s="380">
        <f>$H$57</f>
        <v>1.3848</v>
      </c>
      <c r="J44" s="376">
        <f>ROUNDDOWN(H44*I44,2)</f>
        <v>9092.92</v>
      </c>
      <c r="K44" s="376">
        <f>J44</f>
        <v>9092.92</v>
      </c>
    </row>
    <row r="45" spans="1:13">
      <c r="A45" s="370">
        <v>6</v>
      </c>
      <c r="B45" s="472" t="s">
        <v>176</v>
      </c>
      <c r="C45" s="473"/>
      <c r="D45" s="474"/>
      <c r="E45" s="378"/>
      <c r="F45" s="372"/>
      <c r="G45" s="373"/>
      <c r="H45" s="373"/>
      <c r="I45" s="380"/>
      <c r="J45" s="376"/>
      <c r="K45" s="376"/>
    </row>
    <row r="46" spans="1:13">
      <c r="A46" s="370"/>
      <c r="B46" s="284">
        <v>6.1</v>
      </c>
      <c r="C46" s="454" t="s">
        <v>473</v>
      </c>
      <c r="D46" s="455"/>
      <c r="E46" s="378" t="s">
        <v>74</v>
      </c>
      <c r="F46" s="372">
        <v>1</v>
      </c>
      <c r="G46" s="373"/>
      <c r="H46" s="373"/>
      <c r="I46" s="375"/>
      <c r="J46" s="376"/>
      <c r="K46" s="376"/>
    </row>
    <row r="47" spans="1:13">
      <c r="A47" s="386"/>
      <c r="B47" s="387">
        <v>6.2</v>
      </c>
      <c r="C47" s="452" t="s">
        <v>474</v>
      </c>
      <c r="D47" s="453"/>
      <c r="E47" s="388" t="s">
        <v>74</v>
      </c>
      <c r="F47" s="397">
        <v>1</v>
      </c>
      <c r="G47" s="390"/>
      <c r="H47" s="398"/>
      <c r="I47" s="399"/>
      <c r="J47" s="392"/>
      <c r="K47" s="392"/>
      <c r="M47" s="382">
        <f>K47*100/$K$52</f>
        <v>0</v>
      </c>
    </row>
    <row r="48" spans="1:13" hidden="1">
      <c r="A48" s="370"/>
      <c r="B48" s="284">
        <v>6.3</v>
      </c>
      <c r="C48" s="454" t="s">
        <v>301</v>
      </c>
      <c r="D48" s="455"/>
      <c r="E48" s="378" t="s">
        <v>74</v>
      </c>
      <c r="F48" s="400"/>
      <c r="G48" s="401"/>
      <c r="H48" s="402"/>
      <c r="I48" s="403"/>
      <c r="J48" s="404"/>
      <c r="K48" s="404"/>
      <c r="M48" s="382">
        <f>K48*100/$K$52</f>
        <v>0</v>
      </c>
    </row>
    <row r="49" spans="1:15" hidden="1">
      <c r="A49" s="370"/>
      <c r="B49" s="284">
        <v>6.4</v>
      </c>
      <c r="C49" s="454" t="s">
        <v>177</v>
      </c>
      <c r="D49" s="455"/>
      <c r="E49" s="378" t="s">
        <v>49</v>
      </c>
      <c r="F49" s="400"/>
      <c r="G49" s="405"/>
      <c r="H49" s="402"/>
      <c r="I49" s="403"/>
      <c r="J49" s="404"/>
      <c r="K49" s="404"/>
      <c r="M49" s="382">
        <f>K49*100/$K$52</f>
        <v>0</v>
      </c>
    </row>
    <row r="50" spans="1:15" hidden="1">
      <c r="A50" s="370"/>
      <c r="B50" s="284"/>
      <c r="C50" s="383" t="s">
        <v>178</v>
      </c>
      <c r="D50" s="384"/>
      <c r="E50" s="378"/>
      <c r="F50" s="406"/>
      <c r="G50" s="401"/>
      <c r="H50" s="401"/>
      <c r="I50" s="407"/>
      <c r="J50" s="404"/>
      <c r="K50" s="404"/>
    </row>
    <row r="51" spans="1:15" hidden="1">
      <c r="A51" s="386">
        <v>7</v>
      </c>
      <c r="B51" s="456" t="s">
        <v>179</v>
      </c>
      <c r="C51" s="457"/>
      <c r="D51" s="458"/>
      <c r="E51" s="388" t="s">
        <v>180</v>
      </c>
      <c r="F51" s="408"/>
      <c r="G51" s="409"/>
      <c r="H51" s="409"/>
      <c r="I51" s="410"/>
      <c r="J51" s="411"/>
      <c r="K51" s="411"/>
    </row>
    <row r="52" spans="1:15">
      <c r="A52" s="412"/>
      <c r="B52" s="412"/>
      <c r="C52" s="413"/>
      <c r="D52" s="414"/>
      <c r="E52" s="412"/>
      <c r="F52" s="415"/>
      <c r="G52" s="415"/>
      <c r="H52" s="409">
        <f>SUM(H12:H51)</f>
        <v>339075.29505999997</v>
      </c>
      <c r="I52" s="416"/>
      <c r="J52" s="417" t="s">
        <v>181</v>
      </c>
      <c r="K52" s="418">
        <f>SUM(K12:K51)</f>
        <v>469551.43119999999</v>
      </c>
      <c r="M52" s="351">
        <f>O52-K52</f>
        <v>71448.568800000008</v>
      </c>
      <c r="O52" s="350">
        <v>541000</v>
      </c>
    </row>
    <row r="53" spans="1:15">
      <c r="A53" s="412"/>
      <c r="B53" s="412"/>
      <c r="C53" s="413"/>
      <c r="D53" s="414"/>
      <c r="E53" s="412"/>
      <c r="F53" s="415"/>
      <c r="G53" s="415"/>
      <c r="H53" s="415"/>
      <c r="I53" s="416"/>
      <c r="J53" s="417"/>
      <c r="K53" s="419"/>
      <c r="M53" s="350">
        <f>M52/O52</f>
        <v>0.13206759482439928</v>
      </c>
    </row>
    <row r="54" spans="1:15">
      <c r="A54" s="377"/>
      <c r="B54" s="350" t="s">
        <v>182</v>
      </c>
      <c r="D54" s="377"/>
      <c r="G54" s="350" t="s">
        <v>23</v>
      </c>
      <c r="H54" s="459">
        <f>ROUNDDOWN(K52,0)</f>
        <v>469551</v>
      </c>
      <c r="I54" s="460"/>
      <c r="N54" s="382"/>
    </row>
    <row r="55" spans="1:15">
      <c r="A55" s="377"/>
      <c r="B55" s="350" t="s">
        <v>183</v>
      </c>
      <c r="D55" s="377"/>
      <c r="G55" s="350" t="s">
        <v>23</v>
      </c>
      <c r="H55" s="461"/>
      <c r="I55" s="462"/>
    </row>
    <row r="56" spans="1:15">
      <c r="A56" s="377"/>
      <c r="B56" s="350" t="s">
        <v>184</v>
      </c>
      <c r="D56" s="377"/>
      <c r="G56" s="350" t="s">
        <v>23</v>
      </c>
      <c r="H56" s="461"/>
      <c r="I56" s="462"/>
    </row>
    <row r="57" spans="1:15">
      <c r="A57" s="377"/>
      <c r="B57" s="350" t="s">
        <v>185</v>
      </c>
      <c r="D57" s="377"/>
      <c r="G57" s="350" t="s">
        <v>23</v>
      </c>
      <c r="H57" s="463">
        <v>1.3848</v>
      </c>
      <c r="I57" s="464"/>
      <c r="J57" s="421"/>
      <c r="K57" s="422"/>
    </row>
    <row r="58" spans="1:15">
      <c r="A58" s="377"/>
      <c r="B58" s="350" t="s">
        <v>186</v>
      </c>
      <c r="D58" s="377"/>
      <c r="G58" s="350" t="s">
        <v>23</v>
      </c>
      <c r="H58" s="461"/>
      <c r="I58" s="462"/>
      <c r="J58" s="421"/>
      <c r="K58" s="423"/>
    </row>
    <row r="59" spans="1:15">
      <c r="A59" s="465" t="s">
        <v>187</v>
      </c>
      <c r="B59" s="466"/>
      <c r="C59" s="466"/>
      <c r="D59" s="466"/>
      <c r="E59" s="465" t="str">
        <f>BAHTTEXT(J59)</f>
        <v>สี่แสนหกหมื่นเก้าพันห้าร้อยห้าสิบเอ็ดบาทถ้วน</v>
      </c>
      <c r="F59" s="467"/>
      <c r="G59" s="467"/>
      <c r="H59" s="467"/>
      <c r="I59" s="468"/>
      <c r="J59" s="449">
        <f>ROUNDDOWN(K52,0)</f>
        <v>469551</v>
      </c>
      <c r="K59" s="450"/>
    </row>
    <row r="60" spans="1:15">
      <c r="B60" s="451" t="s">
        <v>188</v>
      </c>
      <c r="C60" s="451"/>
      <c r="D60" s="424">
        <f>F33</f>
        <v>205.6</v>
      </c>
      <c r="E60" s="383" t="s">
        <v>49</v>
      </c>
      <c r="F60" s="425"/>
      <c r="G60" s="426" t="s">
        <v>467</v>
      </c>
      <c r="H60" s="427"/>
      <c r="I60" s="427"/>
      <c r="J60" s="428"/>
      <c r="N60" s="382"/>
    </row>
    <row r="61" spans="1:15">
      <c r="B61" s="445" t="s">
        <v>189</v>
      </c>
      <c r="C61" s="445"/>
      <c r="D61" s="424">
        <f>J59/D60</f>
        <v>2283.8083657587549</v>
      </c>
      <c r="E61" s="350" t="s">
        <v>62</v>
      </c>
      <c r="G61" s="426" t="s">
        <v>468</v>
      </c>
      <c r="H61" s="426"/>
      <c r="I61" s="426"/>
      <c r="J61" s="429"/>
    </row>
    <row r="62" spans="1:15">
      <c r="D62" s="430"/>
      <c r="E62" s="431"/>
      <c r="F62" s="431"/>
      <c r="G62" s="426"/>
      <c r="H62" s="426"/>
      <c r="I62" s="426"/>
      <c r="J62" s="429"/>
    </row>
    <row r="63" spans="1:15">
      <c r="C63" s="350" t="s">
        <v>339</v>
      </c>
      <c r="D63" s="432"/>
      <c r="E63" s="430"/>
      <c r="F63" s="430"/>
      <c r="H63" s="433" t="s">
        <v>478</v>
      </c>
      <c r="I63" s="433"/>
      <c r="J63" s="426"/>
      <c r="K63" s="434"/>
    </row>
    <row r="64" spans="1:15">
      <c r="C64" s="446" t="s">
        <v>347</v>
      </c>
      <c r="D64" s="446"/>
      <c r="F64" s="430"/>
      <c r="H64" s="433" t="s">
        <v>469</v>
      </c>
      <c r="I64" s="433"/>
      <c r="J64" s="427"/>
      <c r="K64" s="428"/>
    </row>
    <row r="65" spans="1:11">
      <c r="D65" s="432"/>
      <c r="E65" s="430"/>
      <c r="F65" s="430"/>
      <c r="H65" s="433"/>
      <c r="I65" s="433"/>
      <c r="J65" s="426"/>
      <c r="K65" s="429"/>
    </row>
    <row r="66" spans="1:11">
      <c r="C66" s="350" t="s">
        <v>190</v>
      </c>
      <c r="D66" s="435"/>
      <c r="E66" s="377"/>
      <c r="F66" s="377"/>
      <c r="H66" s="426" t="s">
        <v>477</v>
      </c>
      <c r="I66" s="426"/>
      <c r="J66" s="426"/>
      <c r="K66" s="434"/>
    </row>
    <row r="67" spans="1:11">
      <c r="B67" s="426"/>
      <c r="C67" s="426" t="s">
        <v>376</v>
      </c>
      <c r="D67" s="436"/>
      <c r="E67" s="430"/>
      <c r="F67" s="430"/>
      <c r="H67" s="433" t="s">
        <v>470</v>
      </c>
      <c r="I67" s="433"/>
      <c r="J67" s="427"/>
      <c r="K67" s="428"/>
    </row>
    <row r="68" spans="1:11">
      <c r="B68" s="431"/>
      <c r="C68" s="431"/>
      <c r="D68" s="436"/>
      <c r="E68" s="430"/>
      <c r="F68" s="430"/>
      <c r="H68" s="433"/>
      <c r="I68" s="433"/>
      <c r="J68" s="426"/>
      <c r="K68" s="429"/>
    </row>
    <row r="69" spans="1:11">
      <c r="C69" s="350" t="s">
        <v>377</v>
      </c>
      <c r="D69" s="436"/>
      <c r="E69" s="436"/>
      <c r="F69" s="436"/>
      <c r="H69" s="426" t="s">
        <v>477</v>
      </c>
      <c r="I69" s="437"/>
      <c r="J69" s="426"/>
      <c r="K69" s="434"/>
    </row>
    <row r="70" spans="1:11">
      <c r="C70" s="447" t="s">
        <v>348</v>
      </c>
      <c r="D70" s="447"/>
      <c r="E70" s="377"/>
      <c r="F70" s="377"/>
      <c r="H70" s="426" t="s">
        <v>471</v>
      </c>
      <c r="I70" s="426"/>
      <c r="J70" s="427"/>
      <c r="K70" s="428"/>
    </row>
    <row r="71" spans="1:11">
      <c r="B71" s="426"/>
      <c r="C71" s="426"/>
      <c r="E71" s="430"/>
      <c r="F71" s="430"/>
      <c r="H71" s="433"/>
      <c r="I71" s="433"/>
      <c r="J71" s="426"/>
      <c r="K71" s="429"/>
    </row>
    <row r="72" spans="1:11">
      <c r="B72" s="426"/>
      <c r="C72" s="426" t="s">
        <v>191</v>
      </c>
      <c r="D72" s="436"/>
      <c r="E72" s="430"/>
      <c r="F72" s="430"/>
      <c r="H72" s="426" t="s">
        <v>477</v>
      </c>
      <c r="I72" s="433"/>
      <c r="J72" s="426"/>
      <c r="K72" s="434"/>
    </row>
    <row r="73" spans="1:11">
      <c r="A73" s="436"/>
      <c r="B73" s="436"/>
      <c r="C73" s="448" t="s">
        <v>349</v>
      </c>
      <c r="D73" s="448"/>
      <c r="E73" s="436"/>
      <c r="F73" s="438"/>
      <c r="H73" s="437" t="s">
        <v>472</v>
      </c>
      <c r="I73" s="426"/>
      <c r="J73" s="426"/>
      <c r="K73" s="429"/>
    </row>
    <row r="74" spans="1:11">
      <c r="H74" s="426"/>
      <c r="I74" s="426"/>
      <c r="J74" s="426"/>
      <c r="K74" s="429"/>
    </row>
    <row r="75" spans="1:11">
      <c r="H75" s="426" t="s">
        <v>477</v>
      </c>
      <c r="I75" s="426"/>
      <c r="J75" s="426"/>
      <c r="K75" s="429"/>
    </row>
    <row r="76" spans="1:11">
      <c r="H76" s="445" t="s">
        <v>486</v>
      </c>
      <c r="I76" s="445"/>
      <c r="J76" s="445"/>
      <c r="K76" s="429"/>
    </row>
  </sheetData>
  <mergeCells count="63">
    <mergeCell ref="H76:J76"/>
    <mergeCell ref="D7:K7"/>
    <mergeCell ref="A2:K2"/>
    <mergeCell ref="D3:K3"/>
    <mergeCell ref="D4:K4"/>
    <mergeCell ref="D5:K5"/>
    <mergeCell ref="D6:K6"/>
    <mergeCell ref="C18:D18"/>
    <mergeCell ref="A8:C8"/>
    <mergeCell ref="E8:G8"/>
    <mergeCell ref="A10:A11"/>
    <mergeCell ref="B10:D11"/>
    <mergeCell ref="E10:E11"/>
    <mergeCell ref="B12:D12"/>
    <mergeCell ref="C13:D13"/>
    <mergeCell ref="C14:D14"/>
    <mergeCell ref="B15:D15"/>
    <mergeCell ref="C16:D16"/>
    <mergeCell ref="C17:D17"/>
    <mergeCell ref="G10:G11"/>
    <mergeCell ref="B32:D32"/>
    <mergeCell ref="C19:D19"/>
    <mergeCell ref="B20:D20"/>
    <mergeCell ref="C21:D21"/>
    <mergeCell ref="C23:D23"/>
    <mergeCell ref="C25:D25"/>
    <mergeCell ref="C26:D26"/>
    <mergeCell ref="C27:D27"/>
    <mergeCell ref="C28:D28"/>
    <mergeCell ref="C29:D29"/>
    <mergeCell ref="C30:D30"/>
    <mergeCell ref="C31:D31"/>
    <mergeCell ref="C46:D46"/>
    <mergeCell ref="C33:D33"/>
    <mergeCell ref="C34:D34"/>
    <mergeCell ref="C35:D35"/>
    <mergeCell ref="C36:D36"/>
    <mergeCell ref="C37:D37"/>
    <mergeCell ref="C38:D38"/>
    <mergeCell ref="B39:D39"/>
    <mergeCell ref="C40:D40"/>
    <mergeCell ref="C41:D41"/>
    <mergeCell ref="C42:D42"/>
    <mergeCell ref="B45:D45"/>
    <mergeCell ref="C43:D43"/>
    <mergeCell ref="C44:D44"/>
    <mergeCell ref="H56:I56"/>
    <mergeCell ref="C48:D48"/>
    <mergeCell ref="H57:I57"/>
    <mergeCell ref="H58:I58"/>
    <mergeCell ref="A59:D59"/>
    <mergeCell ref="E59:I59"/>
    <mergeCell ref="C47:D47"/>
    <mergeCell ref="C49:D49"/>
    <mergeCell ref="B51:D51"/>
    <mergeCell ref="H54:I54"/>
    <mergeCell ref="H55:I55"/>
    <mergeCell ref="B61:C61"/>
    <mergeCell ref="C64:D64"/>
    <mergeCell ref="C70:D70"/>
    <mergeCell ref="C73:D73"/>
    <mergeCell ref="J59:K59"/>
    <mergeCell ref="B60:C60"/>
  </mergeCells>
  <pageMargins left="0.70866141732283472" right="0.70866141732283472" top="0.74803149606299213" bottom="0.74803149606299213" header="0.31496062992125984" footer="0.31496062992125984"/>
  <pageSetup paperSize="9" scale="78" orientation="portrait" horizontalDpi="300" verticalDpi="300" r:id="rId1"/>
  <headerFooter>
    <oddHeader>&amp;Rหน้าที่ &amp;P/&amp;N</oddHeader>
  </headerFooter>
  <rowBreaks count="1" manualBreakCount="1">
    <brk id="52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view="pageBreakPreview" zoomScale="60" zoomScaleNormal="100" workbookViewId="0">
      <selection activeCell="O8" sqref="N7:O8"/>
    </sheetView>
  </sheetViews>
  <sheetFormatPr defaultRowHeight="14.25"/>
  <sheetData>
    <row r="1" spans="1:10" s="344" customFormat="1" ht="23.25"/>
    <row r="2" spans="1:10" s="344" customFormat="1" ht="23.25">
      <c r="A2" s="344" t="s">
        <v>487</v>
      </c>
      <c r="B2" s="344" t="s">
        <v>488</v>
      </c>
      <c r="J2" s="345">
        <v>0.4</v>
      </c>
    </row>
    <row r="3" spans="1:10" s="344" customFormat="1" ht="23.25">
      <c r="B3" s="344" t="s">
        <v>492</v>
      </c>
    </row>
    <row r="4" spans="1:10" s="344" customFormat="1" ht="23.25"/>
    <row r="5" spans="1:10" s="344" customFormat="1" ht="23.25"/>
    <row r="6" spans="1:10" s="344" customFormat="1" ht="23.25">
      <c r="A6" s="344" t="s">
        <v>489</v>
      </c>
      <c r="B6" s="344" t="s">
        <v>490</v>
      </c>
    </row>
    <row r="7" spans="1:10" s="344" customFormat="1" ht="23.25">
      <c r="B7" s="344" t="s">
        <v>491</v>
      </c>
      <c r="J7" s="345">
        <v>0.6</v>
      </c>
    </row>
    <row r="8" spans="1:10" s="344" customFormat="1" ht="23.25">
      <c r="B8" s="344" t="s">
        <v>493</v>
      </c>
    </row>
  </sheetData>
  <pageMargins left="0.7" right="0.7" top="0.75" bottom="0.75" header="0.3" footer="0.3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view="pageBreakPreview" topLeftCell="A4" zoomScale="60" zoomScaleNormal="100" workbookViewId="0">
      <selection activeCell="Q6" sqref="Q6"/>
    </sheetView>
  </sheetViews>
  <sheetFormatPr defaultRowHeight="30"/>
  <cols>
    <col min="1" max="1" width="9" style="208"/>
    <col min="2" max="2" width="12.125" style="208" customWidth="1"/>
    <col min="3" max="3" width="19.375" style="208" customWidth="1"/>
    <col min="4" max="8" width="13.375" style="208" customWidth="1"/>
    <col min="9" max="9" width="9.5" style="208" customWidth="1"/>
    <col min="10" max="11" width="9" style="208" hidden="1" customWidth="1"/>
    <col min="12" max="16384" width="9" style="208"/>
  </cols>
  <sheetData>
    <row r="2" spans="1:11" ht="45">
      <c r="A2" s="495" t="s">
        <v>343</v>
      </c>
      <c r="B2" s="495"/>
      <c r="C2" s="495"/>
      <c r="D2" s="495"/>
      <c r="E2" s="495"/>
      <c r="F2" s="495"/>
      <c r="G2" s="495"/>
      <c r="H2" s="495"/>
      <c r="I2" s="495"/>
      <c r="J2" s="207"/>
    </row>
    <row r="3" spans="1:11" s="210" customFormat="1" ht="78.75" customHeight="1">
      <c r="A3" s="209" t="s">
        <v>344</v>
      </c>
      <c r="C3" s="496" t="str">
        <f>ข้อมูล!B3:B3</f>
        <v xml:space="preserve">โครงการวางท่อพร้อมขยายผิวจราจร ถนนบ้านแม่ลาว หมู่ 19 - บ้านสันต้นแหน
</v>
      </c>
      <c r="D3" s="496"/>
      <c r="E3" s="496"/>
      <c r="F3" s="496"/>
      <c r="G3" s="496"/>
      <c r="H3" s="496"/>
      <c r="I3" s="496"/>
    </row>
    <row r="4" spans="1:11" s="210" customFormat="1" ht="33">
      <c r="A4" s="498" t="s">
        <v>135</v>
      </c>
      <c r="B4" s="498"/>
      <c r="C4" s="497" t="str">
        <f>ข้อมูล!B4</f>
        <v xml:space="preserve"> หมู่ 19 ตำบลดงมะดะ อำเภอแม่ลาว จังหวัดเชียงราย </v>
      </c>
      <c r="D4" s="497"/>
      <c r="E4" s="497"/>
      <c r="F4" s="497"/>
      <c r="G4" s="497"/>
      <c r="H4" s="497"/>
      <c r="I4" s="497"/>
      <c r="J4" s="497"/>
      <c r="K4" s="497"/>
    </row>
    <row r="5" spans="1:11" s="210" customFormat="1" ht="33">
      <c r="A5" s="498"/>
      <c r="B5" s="498"/>
      <c r="C5" s="497"/>
      <c r="D5" s="497"/>
      <c r="E5" s="497"/>
      <c r="F5" s="497"/>
      <c r="G5" s="497"/>
      <c r="H5" s="497"/>
      <c r="I5" s="497"/>
      <c r="J5" s="497"/>
      <c r="K5" s="497"/>
    </row>
    <row r="6" spans="1:11" ht="33">
      <c r="A6" s="210" t="s">
        <v>345</v>
      </c>
      <c r="B6" s="210"/>
      <c r="C6" s="211">
        <f>ข้อมูล!B11</f>
        <v>469551</v>
      </c>
      <c r="D6" s="210" t="s">
        <v>16</v>
      </c>
    </row>
    <row r="7" spans="1:11" ht="30.75" customHeight="1">
      <c r="C7" s="211" t="str">
        <f>BAHTTEXT(C6)</f>
        <v>สี่แสนหกหมื่นเก้าพันห้าร้อยห้าสิบเอ็ดบาทถ้วน</v>
      </c>
    </row>
  </sheetData>
  <mergeCells count="4">
    <mergeCell ref="A2:I2"/>
    <mergeCell ref="C3:I3"/>
    <mergeCell ref="C4:K5"/>
    <mergeCell ref="A4:B5"/>
  </mergeCells>
  <pageMargins left="0.59055118110236227" right="0" top="0.78740157480314965" bottom="0" header="0.78740157480314965" footer="0"/>
  <pageSetup paperSize="9" scale="7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BreakPreview" topLeftCell="A7" zoomScaleNormal="100" zoomScaleSheetLayoutView="100" workbookViewId="0">
      <selection activeCell="N30" sqref="N30"/>
    </sheetView>
  </sheetViews>
  <sheetFormatPr defaultRowHeight="14.25"/>
  <cols>
    <col min="1" max="1" width="9" style="1" customWidth="1"/>
    <col min="2" max="2" width="12.125" style="1" customWidth="1"/>
    <col min="3" max="3" width="14.25" style="1" customWidth="1"/>
    <col min="4" max="5" width="10.125" style="1" customWidth="1"/>
    <col min="6" max="7" width="11.75" style="1" customWidth="1"/>
    <col min="8" max="9" width="8.75" style="1" customWidth="1"/>
    <col min="10" max="16384" width="9" style="1"/>
  </cols>
  <sheetData>
    <row r="1" spans="1:9" ht="18">
      <c r="A1" s="500" t="s">
        <v>449</v>
      </c>
      <c r="B1" s="500"/>
      <c r="C1" s="500"/>
      <c r="D1" s="500"/>
      <c r="E1" s="500"/>
      <c r="F1" s="500"/>
      <c r="G1" s="500"/>
      <c r="H1" s="500"/>
      <c r="I1" s="500"/>
    </row>
    <row r="2" spans="1:9" ht="15.75">
      <c r="A2" s="501"/>
      <c r="B2" s="501"/>
      <c r="C2" s="501"/>
      <c r="D2" s="501"/>
      <c r="E2" s="501"/>
      <c r="F2" s="501"/>
      <c r="G2" s="501"/>
      <c r="H2" s="501"/>
      <c r="I2" s="501"/>
    </row>
    <row r="3" spans="1:9" ht="18">
      <c r="A3" s="500" t="s">
        <v>137</v>
      </c>
      <c r="B3" s="500"/>
      <c r="C3" s="500"/>
      <c r="D3" s="500"/>
      <c r="E3" s="500"/>
      <c r="F3" s="500"/>
      <c r="G3" s="500"/>
      <c r="H3" s="500"/>
      <c r="I3" s="500"/>
    </row>
    <row r="4" spans="1:9" s="9" customFormat="1" ht="18">
      <c r="A4" s="7"/>
      <c r="B4" s="8" t="s">
        <v>2</v>
      </c>
      <c r="C4" s="502" t="str">
        <f>ข้อมูล!B3</f>
        <v xml:space="preserve">โครงการวางท่อพร้อมขยายผิวจราจร ถนนบ้านแม่ลาว หมู่ 19 - บ้านสันต้นแหน
</v>
      </c>
      <c r="D4" s="502"/>
      <c r="E4" s="502"/>
      <c r="F4" s="502"/>
      <c r="G4" s="502"/>
      <c r="H4" s="502"/>
      <c r="I4" s="7"/>
    </row>
    <row r="5" spans="1:9" s="9" customFormat="1" ht="18">
      <c r="A5" s="7"/>
      <c r="B5" s="8" t="s">
        <v>3</v>
      </c>
      <c r="C5" s="503" t="str">
        <f>ข้อมูล!B4</f>
        <v xml:space="preserve"> หมู่ 19 ตำบลดงมะดะ อำเภอแม่ลาว จังหวัดเชียงราย </v>
      </c>
      <c r="D5" s="503"/>
      <c r="E5" s="503"/>
      <c r="F5" s="503"/>
      <c r="G5" s="503"/>
      <c r="H5" s="503"/>
      <c r="I5" s="7"/>
    </row>
    <row r="6" spans="1:9" s="9" customFormat="1" ht="18">
      <c r="A6" s="499" t="s">
        <v>313</v>
      </c>
      <c r="B6" s="499"/>
      <c r="C6" s="10" t="s">
        <v>314</v>
      </c>
      <c r="D6" s="499" t="s">
        <v>315</v>
      </c>
      <c r="E6" s="499"/>
      <c r="F6" s="499" t="s">
        <v>316</v>
      </c>
      <c r="G6" s="499"/>
      <c r="H6" s="499" t="s">
        <v>317</v>
      </c>
      <c r="I6" s="499"/>
    </row>
    <row r="7" spans="1:9" s="9" customFormat="1" ht="18">
      <c r="A7" s="10" t="s">
        <v>318</v>
      </c>
      <c r="B7" s="10" t="s">
        <v>319</v>
      </c>
      <c r="C7" s="10" t="s">
        <v>320</v>
      </c>
      <c r="D7" s="10" t="s">
        <v>321</v>
      </c>
      <c r="E7" s="10" t="s">
        <v>322</v>
      </c>
      <c r="F7" s="499" t="s">
        <v>323</v>
      </c>
      <c r="G7" s="499"/>
      <c r="H7" s="499" t="s">
        <v>323</v>
      </c>
      <c r="I7" s="499"/>
    </row>
    <row r="8" spans="1:9" s="9" customFormat="1" ht="18">
      <c r="A8" s="10" t="s">
        <v>324</v>
      </c>
      <c r="B8" s="10" t="s">
        <v>325</v>
      </c>
      <c r="C8" s="10" t="s">
        <v>5</v>
      </c>
      <c r="D8" s="10" t="s">
        <v>6</v>
      </c>
      <c r="E8" s="10" t="s">
        <v>6</v>
      </c>
      <c r="F8" s="10" t="s">
        <v>326</v>
      </c>
      <c r="G8" s="10" t="s">
        <v>327</v>
      </c>
      <c r="H8" s="10" t="s">
        <v>326</v>
      </c>
      <c r="I8" s="10" t="s">
        <v>327</v>
      </c>
    </row>
    <row r="9" spans="1:9" s="9" customFormat="1" ht="18">
      <c r="A9" s="11">
        <v>1</v>
      </c>
      <c r="B9" s="11">
        <v>0</v>
      </c>
      <c r="C9" s="11"/>
      <c r="D9" s="15">
        <v>1.2230000000000001</v>
      </c>
      <c r="E9" s="12"/>
      <c r="F9" s="12"/>
      <c r="G9" s="12"/>
      <c r="H9" s="12"/>
      <c r="I9" s="11"/>
    </row>
    <row r="10" spans="1:9" s="9" customFormat="1" ht="18">
      <c r="A10" s="11">
        <v>2</v>
      </c>
      <c r="B10" s="11">
        <v>25</v>
      </c>
      <c r="C10" s="11">
        <f>B10-B9</f>
        <v>25</v>
      </c>
      <c r="D10" s="15">
        <v>1.095</v>
      </c>
      <c r="E10" s="12"/>
      <c r="F10" s="12">
        <f>(D9+D10)/2</f>
        <v>1.159</v>
      </c>
      <c r="G10" s="12"/>
      <c r="H10" s="12">
        <f>F10*C10</f>
        <v>28.975000000000001</v>
      </c>
      <c r="I10" s="11"/>
    </row>
    <row r="11" spans="1:9" s="9" customFormat="1" ht="18">
      <c r="A11" s="11">
        <v>3</v>
      </c>
      <c r="B11" s="11">
        <v>50</v>
      </c>
      <c r="C11" s="11">
        <f t="shared" ref="C11:C15" si="0">B11-B10</f>
        <v>25</v>
      </c>
      <c r="D11" s="15">
        <v>1.129</v>
      </c>
      <c r="E11" s="12"/>
      <c r="F11" s="12">
        <f t="shared" ref="F11:F21" si="1">(D10+D11)/2</f>
        <v>1.1120000000000001</v>
      </c>
      <c r="G11" s="12"/>
      <c r="H11" s="12">
        <f t="shared" ref="H11:H21" si="2">F11*C11</f>
        <v>27.800000000000004</v>
      </c>
      <c r="I11" s="11"/>
    </row>
    <row r="12" spans="1:9" s="9" customFormat="1" ht="18">
      <c r="A12" s="11">
        <v>4</v>
      </c>
      <c r="B12" s="11">
        <v>75</v>
      </c>
      <c r="C12" s="11">
        <f t="shared" si="0"/>
        <v>25</v>
      </c>
      <c r="D12" s="15">
        <v>0.96399999999999997</v>
      </c>
      <c r="E12" s="12"/>
      <c r="F12" s="12">
        <f t="shared" si="1"/>
        <v>1.0465</v>
      </c>
      <c r="G12" s="12"/>
      <c r="H12" s="12">
        <f>F12*C12</f>
        <v>26.162500000000001</v>
      </c>
      <c r="I12" s="11"/>
    </row>
    <row r="13" spans="1:9" s="9" customFormat="1" ht="18">
      <c r="A13" s="11">
        <v>5</v>
      </c>
      <c r="B13" s="11">
        <v>100</v>
      </c>
      <c r="C13" s="11">
        <f t="shared" si="0"/>
        <v>25</v>
      </c>
      <c r="D13" s="15">
        <v>1.129</v>
      </c>
      <c r="E13" s="12"/>
      <c r="F13" s="12">
        <f t="shared" si="1"/>
        <v>1.0465</v>
      </c>
      <c r="G13" s="12"/>
      <c r="H13" s="12">
        <f t="shared" si="2"/>
        <v>26.162500000000001</v>
      </c>
      <c r="I13" s="11"/>
    </row>
    <row r="14" spans="1:9" s="9" customFormat="1" ht="18">
      <c r="A14" s="11">
        <v>6</v>
      </c>
      <c r="B14" s="11">
        <v>125</v>
      </c>
      <c r="C14" s="11">
        <f t="shared" si="0"/>
        <v>25</v>
      </c>
      <c r="D14" s="15">
        <v>0.96099999999999997</v>
      </c>
      <c r="E14" s="12"/>
      <c r="F14" s="12">
        <f t="shared" si="1"/>
        <v>1.0449999999999999</v>
      </c>
      <c r="G14" s="12"/>
      <c r="H14" s="12">
        <f t="shared" si="2"/>
        <v>26.125</v>
      </c>
      <c r="I14" s="11"/>
    </row>
    <row r="15" spans="1:9" s="9" customFormat="1" ht="18">
      <c r="A15" s="11">
        <v>7</v>
      </c>
      <c r="B15" s="11">
        <v>150</v>
      </c>
      <c r="C15" s="11">
        <f t="shared" si="0"/>
        <v>25</v>
      </c>
      <c r="D15" s="15">
        <v>1.1100000000000001</v>
      </c>
      <c r="E15" s="12"/>
      <c r="F15" s="12">
        <f t="shared" si="1"/>
        <v>1.0355000000000001</v>
      </c>
      <c r="G15" s="12"/>
      <c r="H15" s="12">
        <f t="shared" si="2"/>
        <v>25.887500000000003</v>
      </c>
      <c r="I15" s="11"/>
    </row>
    <row r="16" spans="1:9" s="9" customFormat="1" ht="18">
      <c r="A16" s="11"/>
      <c r="B16" s="11"/>
      <c r="C16" s="11"/>
      <c r="D16" s="15"/>
      <c r="E16" s="12"/>
      <c r="F16" s="12"/>
      <c r="G16" s="12"/>
      <c r="H16" s="12">
        <f t="shared" si="2"/>
        <v>0</v>
      </c>
      <c r="I16" s="11"/>
    </row>
    <row r="17" spans="1:9" s="9" customFormat="1" ht="18">
      <c r="A17" s="11"/>
      <c r="B17" s="11"/>
      <c r="C17" s="11"/>
      <c r="D17" s="15"/>
      <c r="E17" s="12"/>
      <c r="F17" s="12">
        <f t="shared" si="1"/>
        <v>0</v>
      </c>
      <c r="G17" s="12"/>
      <c r="H17" s="12">
        <f t="shared" si="2"/>
        <v>0</v>
      </c>
      <c r="I17" s="11"/>
    </row>
    <row r="18" spans="1:9" s="9" customFormat="1" ht="18">
      <c r="A18" s="11"/>
      <c r="B18" s="11"/>
      <c r="C18" s="11"/>
      <c r="D18" s="15"/>
      <c r="E18" s="12"/>
      <c r="F18" s="12">
        <f t="shared" si="1"/>
        <v>0</v>
      </c>
      <c r="G18" s="12"/>
      <c r="H18" s="12">
        <f t="shared" si="2"/>
        <v>0</v>
      </c>
      <c r="I18" s="11"/>
    </row>
    <row r="19" spans="1:9" s="9" customFormat="1" ht="18">
      <c r="A19" s="11"/>
      <c r="B19" s="11"/>
      <c r="C19" s="11"/>
      <c r="D19" s="15"/>
      <c r="E19" s="12"/>
      <c r="F19" s="12">
        <f t="shared" si="1"/>
        <v>0</v>
      </c>
      <c r="G19" s="12"/>
      <c r="H19" s="12">
        <f t="shared" si="2"/>
        <v>0</v>
      </c>
      <c r="I19" s="11"/>
    </row>
    <row r="20" spans="1:9" s="9" customFormat="1" ht="18">
      <c r="A20" s="11"/>
      <c r="B20" s="11"/>
      <c r="C20" s="11"/>
      <c r="D20" s="15"/>
      <c r="E20" s="12"/>
      <c r="F20" s="12">
        <f t="shared" si="1"/>
        <v>0</v>
      </c>
      <c r="G20" s="12"/>
      <c r="H20" s="12">
        <f t="shared" si="2"/>
        <v>0</v>
      </c>
      <c r="I20" s="11"/>
    </row>
    <row r="21" spans="1:9" s="9" customFormat="1" ht="18">
      <c r="A21" s="11"/>
      <c r="B21" s="11"/>
      <c r="C21" s="11"/>
      <c r="D21" s="15"/>
      <c r="E21" s="12"/>
      <c r="F21" s="12">
        <f t="shared" si="1"/>
        <v>0</v>
      </c>
      <c r="G21" s="12"/>
      <c r="H21" s="12">
        <f t="shared" si="2"/>
        <v>0</v>
      </c>
      <c r="I21" s="11"/>
    </row>
    <row r="22" spans="1:9" s="9" customFormat="1" ht="18">
      <c r="A22" s="11"/>
      <c r="B22" s="11"/>
      <c r="C22" s="11"/>
      <c r="D22" s="15"/>
      <c r="E22" s="12"/>
      <c r="F22" s="12"/>
      <c r="G22" s="12"/>
      <c r="H22" s="12"/>
      <c r="I22" s="11"/>
    </row>
    <row r="23" spans="1:9" s="9" customFormat="1" ht="18">
      <c r="A23" s="11"/>
      <c r="B23" s="11"/>
      <c r="C23" s="11"/>
      <c r="D23" s="15"/>
      <c r="E23" s="12"/>
      <c r="F23" s="12"/>
      <c r="G23" s="12"/>
      <c r="H23" s="12"/>
      <c r="I23" s="11"/>
    </row>
    <row r="24" spans="1:9" s="9" customFormat="1" ht="18">
      <c r="A24" s="11"/>
      <c r="B24" s="11"/>
      <c r="C24" s="11"/>
      <c r="D24" s="15"/>
      <c r="E24" s="12"/>
      <c r="F24" s="12"/>
      <c r="G24" s="12"/>
      <c r="H24" s="12"/>
      <c r="I24" s="11"/>
    </row>
    <row r="25" spans="1:9" s="9" customFormat="1" ht="18">
      <c r="A25" s="11"/>
      <c r="B25" s="11"/>
      <c r="C25" s="11"/>
      <c r="D25" s="16"/>
      <c r="E25" s="12"/>
      <c r="F25" s="12"/>
      <c r="G25" s="12"/>
      <c r="H25" s="12"/>
      <c r="I25" s="11"/>
    </row>
    <row r="26" spans="1:9" s="9" customFormat="1" ht="18">
      <c r="A26" s="11"/>
      <c r="B26" s="11"/>
      <c r="C26" s="11"/>
      <c r="D26" s="16"/>
      <c r="E26" s="12"/>
      <c r="F26" s="12"/>
      <c r="G26" s="12"/>
      <c r="H26" s="12"/>
      <c r="I26" s="11"/>
    </row>
    <row r="27" spans="1:9" s="9" customFormat="1" ht="18">
      <c r="A27" s="11"/>
      <c r="B27" s="11"/>
      <c r="C27" s="11"/>
      <c r="D27" s="16"/>
      <c r="E27" s="12"/>
      <c r="F27" s="12"/>
      <c r="G27" s="12"/>
      <c r="H27" s="12"/>
      <c r="I27" s="11"/>
    </row>
    <row r="28" spans="1:9" s="9" customFormat="1" ht="18">
      <c r="A28" s="11"/>
      <c r="B28" s="11"/>
      <c r="C28" s="11"/>
      <c r="D28" s="16"/>
      <c r="E28" s="12"/>
      <c r="F28" s="12"/>
      <c r="G28" s="12"/>
      <c r="H28" s="12"/>
      <c r="I28" s="11"/>
    </row>
    <row r="29" spans="1:9" s="9" customFormat="1" ht="18">
      <c r="A29" s="11"/>
      <c r="B29" s="11"/>
      <c r="C29" s="11"/>
      <c r="D29" s="16"/>
      <c r="E29" s="12"/>
      <c r="F29" s="12"/>
      <c r="G29" s="12"/>
      <c r="H29" s="12"/>
      <c r="I29" s="11"/>
    </row>
    <row r="30" spans="1:9" s="9" customFormat="1" ht="18">
      <c r="A30" s="11"/>
      <c r="B30" s="11"/>
      <c r="C30" s="11"/>
      <c r="D30" s="15"/>
      <c r="E30" s="12"/>
      <c r="F30" s="12"/>
      <c r="G30" s="12"/>
      <c r="H30" s="12"/>
      <c r="I30" s="11"/>
    </row>
    <row r="31" spans="1:9" s="9" customFormat="1" ht="18">
      <c r="A31" s="11"/>
      <c r="B31" s="11"/>
      <c r="C31" s="11"/>
      <c r="D31" s="16"/>
      <c r="E31" s="12"/>
      <c r="F31" s="12"/>
      <c r="G31" s="12"/>
      <c r="H31" s="12"/>
      <c r="I31" s="11"/>
    </row>
    <row r="32" spans="1:9" s="9" customFormat="1" ht="18">
      <c r="A32" s="11"/>
      <c r="B32" s="11"/>
      <c r="C32" s="11"/>
      <c r="D32" s="16"/>
      <c r="E32" s="12"/>
      <c r="F32" s="12"/>
      <c r="G32" s="12"/>
      <c r="H32" s="12"/>
      <c r="I32" s="11"/>
    </row>
    <row r="33" spans="1:9" s="9" customFormat="1" ht="18">
      <c r="A33" s="11"/>
      <c r="B33" s="11"/>
      <c r="C33" s="11"/>
      <c r="D33" s="16"/>
      <c r="E33" s="12"/>
      <c r="F33" s="12"/>
      <c r="G33" s="12"/>
      <c r="H33" s="12"/>
      <c r="I33" s="11"/>
    </row>
    <row r="34" spans="1:9" s="9" customFormat="1" ht="18">
      <c r="A34" s="13"/>
      <c r="B34" s="13"/>
      <c r="C34" s="13"/>
      <c r="D34" s="14"/>
      <c r="E34" s="14"/>
      <c r="F34" s="14"/>
      <c r="G34" s="2" t="s">
        <v>450</v>
      </c>
      <c r="H34" s="3">
        <f>SUM(H10:H24)</f>
        <v>161.11250000000001</v>
      </c>
      <c r="I34" s="4" t="s">
        <v>328</v>
      </c>
    </row>
    <row r="35" spans="1:9" s="9" customFormat="1" ht="18">
      <c r="F35" s="14"/>
      <c r="G35" s="2" t="s">
        <v>451</v>
      </c>
      <c r="H35" s="17">
        <f>H34</f>
        <v>161.11250000000001</v>
      </c>
      <c r="I35" s="4" t="s">
        <v>328</v>
      </c>
    </row>
    <row r="36" spans="1:9" s="9" customFormat="1" ht="18"/>
    <row r="37" spans="1:9" ht="18">
      <c r="E37" s="5" t="s">
        <v>346</v>
      </c>
    </row>
    <row r="38" spans="1:9" ht="18">
      <c r="F38" s="5" t="s">
        <v>329</v>
      </c>
    </row>
    <row r="39" spans="1:9" ht="18">
      <c r="F39" s="6" t="s">
        <v>330</v>
      </c>
    </row>
    <row r="40" spans="1:9" ht="18">
      <c r="E40" s="5"/>
    </row>
  </sheetData>
  <mergeCells count="11">
    <mergeCell ref="F7:G7"/>
    <mergeCell ref="H7:I7"/>
    <mergeCell ref="A1:I1"/>
    <mergeCell ref="A2:I2"/>
    <mergeCell ref="A3:I3"/>
    <mergeCell ref="C4:H4"/>
    <mergeCell ref="C5:H5"/>
    <mergeCell ref="A6:B6"/>
    <mergeCell ref="D6:E6"/>
    <mergeCell ref="F6:G6"/>
    <mergeCell ref="H6:I6"/>
  </mergeCells>
  <pageMargins left="0.7" right="0.7" top="0.75" bottom="0.75" header="0.3" footer="0.3"/>
  <pageSetup paperSize="9" scale="85" orientation="portrait" horizontalDpi="4294967293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9"/>
  <sheetViews>
    <sheetView view="pageBreakPreview" topLeftCell="A10" zoomScale="115" zoomScaleNormal="100" zoomScaleSheetLayoutView="115" workbookViewId="0">
      <selection activeCell="R3" sqref="R3"/>
    </sheetView>
  </sheetViews>
  <sheetFormatPr defaultColWidth="9.75" defaultRowHeight="14.25"/>
  <cols>
    <col min="1" max="8" width="9.75" style="1"/>
    <col min="9" max="9" width="12" style="1" customWidth="1"/>
    <col min="10" max="12" width="9.75" style="1"/>
    <col min="13" max="13" width="11.875" style="1" customWidth="1"/>
    <col min="14" max="16384" width="9.75" style="1"/>
  </cols>
  <sheetData>
    <row r="1" spans="1:15" ht="18">
      <c r="A1" s="62"/>
      <c r="B1" s="507" t="s">
        <v>192</v>
      </c>
      <c r="C1" s="507"/>
      <c r="D1" s="507"/>
      <c r="E1" s="507"/>
      <c r="F1" s="507"/>
      <c r="G1" s="507"/>
      <c r="H1" s="507"/>
      <c r="I1" s="507"/>
      <c r="J1" s="507"/>
      <c r="K1" s="507"/>
      <c r="L1" s="507"/>
      <c r="M1" s="507"/>
    </row>
    <row r="2" spans="1:15" ht="16.5">
      <c r="A2" s="62"/>
      <c r="B2" s="508" t="s">
        <v>193</v>
      </c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8"/>
    </row>
    <row r="3" spans="1:15" ht="16.5">
      <c r="A3" s="62"/>
      <c r="B3" s="63" t="s">
        <v>194</v>
      </c>
      <c r="C3" s="64"/>
      <c r="D3" s="64"/>
      <c r="E3" s="64"/>
      <c r="F3" s="64"/>
      <c r="G3" s="64"/>
      <c r="H3" s="65"/>
      <c r="I3" s="66" t="s">
        <v>373</v>
      </c>
      <c r="J3" s="66" t="s">
        <v>195</v>
      </c>
      <c r="K3" s="66" t="s">
        <v>196</v>
      </c>
      <c r="L3" s="66" t="s">
        <v>197</v>
      </c>
      <c r="M3" s="62"/>
    </row>
    <row r="4" spans="1:15" ht="16.5">
      <c r="A4" s="62"/>
      <c r="B4" s="509" t="s">
        <v>198</v>
      </c>
      <c r="C4" s="510"/>
      <c r="D4" s="510"/>
      <c r="E4" s="510"/>
      <c r="F4" s="510"/>
      <c r="G4" s="510"/>
      <c r="H4" s="511"/>
      <c r="I4" s="67" t="s">
        <v>199</v>
      </c>
      <c r="J4" s="67" t="s">
        <v>200</v>
      </c>
      <c r="K4" s="67" t="s">
        <v>201</v>
      </c>
      <c r="L4" s="67" t="s">
        <v>202</v>
      </c>
      <c r="M4" s="67" t="s">
        <v>203</v>
      </c>
    </row>
    <row r="5" spans="1:15" ht="18">
      <c r="A5" s="62"/>
      <c r="B5" s="512" t="s">
        <v>204</v>
      </c>
      <c r="C5" s="512"/>
      <c r="D5" s="512"/>
      <c r="E5" s="512"/>
      <c r="F5" s="512"/>
      <c r="G5" s="512"/>
      <c r="H5" s="512"/>
      <c r="I5" s="68" t="s">
        <v>368</v>
      </c>
      <c r="J5" s="68" t="s">
        <v>205</v>
      </c>
      <c r="K5" s="68" t="s">
        <v>206</v>
      </c>
      <c r="L5" s="68" t="s">
        <v>207</v>
      </c>
      <c r="M5" s="68" t="s">
        <v>208</v>
      </c>
      <c r="O5" s="5"/>
    </row>
    <row r="6" spans="1:15" ht="16.5">
      <c r="A6" s="62"/>
      <c r="B6" s="69">
        <v>1</v>
      </c>
      <c r="C6" s="70" t="s">
        <v>209</v>
      </c>
      <c r="D6" s="71">
        <v>1.05</v>
      </c>
      <c r="E6" s="72" t="s">
        <v>35</v>
      </c>
      <c r="F6" s="73">
        <f>ราคาวัสดุ!J23</f>
        <v>3219.06</v>
      </c>
      <c r="G6" s="74" t="s">
        <v>23</v>
      </c>
      <c r="H6" s="75">
        <f>TRUNC(D6*F6,2)</f>
        <v>3380.01</v>
      </c>
      <c r="I6" s="76">
        <f>336*$H$6/1000</f>
        <v>1135.68336</v>
      </c>
      <c r="J6" s="76">
        <f>350*$H$6/1000</f>
        <v>1183.0035</v>
      </c>
      <c r="K6" s="76">
        <f>320*$H$6/1000</f>
        <v>1081.6032000000002</v>
      </c>
      <c r="L6" s="76">
        <f>290*$H$6/1000</f>
        <v>980.2029</v>
      </c>
      <c r="M6" s="77">
        <f>240*$H$6/1000</f>
        <v>811.20240000000001</v>
      </c>
    </row>
    <row r="7" spans="1:15" ht="16.5">
      <c r="A7" s="62"/>
      <c r="B7" s="78">
        <v>2</v>
      </c>
      <c r="C7" s="79" t="s">
        <v>210</v>
      </c>
      <c r="D7" s="80">
        <v>1.2</v>
      </c>
      <c r="E7" s="81" t="s">
        <v>35</v>
      </c>
      <c r="F7" s="82">
        <f>ราคาวัสดุ!J30</f>
        <v>263.77999999999997</v>
      </c>
      <c r="G7" s="83" t="s">
        <v>23</v>
      </c>
      <c r="H7" s="75">
        <f>TRUNC(D7*F7,2)</f>
        <v>316.52999999999997</v>
      </c>
      <c r="I7" s="84">
        <f>600*$H$7/1679</f>
        <v>113.11375818939844</v>
      </c>
      <c r="J7" s="84">
        <f>800*$H$7/1679</f>
        <v>150.81834425253126</v>
      </c>
      <c r="K7" s="84">
        <f>835*$H$7/1679</f>
        <v>157.41664681357952</v>
      </c>
      <c r="L7" s="84">
        <f>868*$H$7/1679</f>
        <v>163.63790351399641</v>
      </c>
      <c r="M7" s="84">
        <f>728*$H$7/1679</f>
        <v>137.24469326980343</v>
      </c>
      <c r="N7" s="85"/>
    </row>
    <row r="8" spans="1:15" ht="16.5">
      <c r="A8" s="62"/>
      <c r="B8" s="78">
        <v>3</v>
      </c>
      <c r="C8" s="79" t="s">
        <v>211</v>
      </c>
      <c r="D8" s="80">
        <v>1.1499999999999999</v>
      </c>
      <c r="E8" s="81" t="s">
        <v>35</v>
      </c>
      <c r="F8" s="82">
        <f>ราคาวัสดุ!J29</f>
        <v>659.11</v>
      </c>
      <c r="G8" s="83" t="s">
        <v>23</v>
      </c>
      <c r="H8" s="75">
        <f>TRUNC(D8*F8,2)</f>
        <v>757.97</v>
      </c>
      <c r="I8" s="84">
        <f>1090*$H$8/1565</f>
        <v>527.91520766773169</v>
      </c>
      <c r="J8" s="84">
        <f>1030*$H$8/1565</f>
        <v>498.85565495207669</v>
      </c>
      <c r="K8" s="84">
        <f>1070*$H$8/1565</f>
        <v>518.22869009584667</v>
      </c>
      <c r="L8" s="84">
        <f>1015*$H$8/1565</f>
        <v>491.59076677316295</v>
      </c>
      <c r="M8" s="84">
        <f>1218*$H$8/1565</f>
        <v>589.90892012779557</v>
      </c>
      <c r="N8" s="85"/>
    </row>
    <row r="9" spans="1:15" ht="16.5">
      <c r="A9" s="62"/>
      <c r="B9" s="78">
        <v>4</v>
      </c>
      <c r="C9" s="79" t="s">
        <v>212</v>
      </c>
      <c r="D9" s="80"/>
      <c r="E9" s="81"/>
      <c r="F9" s="82"/>
      <c r="G9" s="83"/>
      <c r="H9" s="75"/>
      <c r="I9" s="230">
        <v>0</v>
      </c>
      <c r="J9" s="230">
        <f>I9</f>
        <v>0</v>
      </c>
      <c r="K9" s="230">
        <f>I9</f>
        <v>0</v>
      </c>
      <c r="L9" s="230">
        <f>I9</f>
        <v>0</v>
      </c>
      <c r="M9" s="230">
        <f>I9</f>
        <v>0</v>
      </c>
      <c r="N9" s="85"/>
    </row>
    <row r="10" spans="1:15" ht="16.5">
      <c r="A10" s="62"/>
      <c r="B10" s="87">
        <v>5</v>
      </c>
      <c r="C10" s="88" t="s">
        <v>213</v>
      </c>
      <c r="D10" s="88"/>
      <c r="E10" s="88"/>
      <c r="F10" s="88"/>
      <c r="G10" s="88"/>
      <c r="H10" s="89"/>
      <c r="I10" s="90">
        <v>0</v>
      </c>
      <c r="J10" s="90">
        <v>0</v>
      </c>
      <c r="K10" s="90">
        <v>0</v>
      </c>
      <c r="L10" s="90">
        <v>0</v>
      </c>
      <c r="M10" s="91">
        <v>0</v>
      </c>
    </row>
    <row r="11" spans="1:15" ht="16.5">
      <c r="A11" s="62"/>
      <c r="B11" s="504" t="s">
        <v>33</v>
      </c>
      <c r="C11" s="505"/>
      <c r="D11" s="505"/>
      <c r="E11" s="505"/>
      <c r="F11" s="505"/>
      <c r="G11" s="505"/>
      <c r="H11" s="506"/>
      <c r="I11" s="92">
        <f>ROUNDDOWN(SUM(I6:I10),2)</f>
        <v>1776.71</v>
      </c>
      <c r="J11" s="92">
        <f>ROUNDDOWN(SUM(J6:J10),2)</f>
        <v>1832.67</v>
      </c>
      <c r="K11" s="92">
        <f>ROUNDDOWN(SUM(K6:K10),2)</f>
        <v>1757.24</v>
      </c>
      <c r="L11" s="92">
        <f>ROUNDDOWN(SUM(L6:L10),2)</f>
        <v>1635.43</v>
      </c>
      <c r="M11" s="93">
        <f>ROUNDDOWN(SUM(M6:M10),2)</f>
        <v>1538.35</v>
      </c>
    </row>
    <row r="12" spans="1:15" ht="16.5">
      <c r="A12" s="62"/>
      <c r="B12" s="65"/>
      <c r="C12" s="62"/>
      <c r="D12" s="62"/>
      <c r="E12" s="62"/>
      <c r="F12" s="62"/>
      <c r="G12" s="62"/>
      <c r="H12" s="62"/>
      <c r="I12" s="65"/>
      <c r="J12" s="65"/>
      <c r="K12" s="65"/>
      <c r="L12" s="65"/>
      <c r="M12" s="62"/>
    </row>
    <row r="13" spans="1:15" ht="16.5">
      <c r="A13" s="62"/>
      <c r="B13" s="63" t="s">
        <v>214</v>
      </c>
      <c r="C13" s="62"/>
      <c r="D13" s="62"/>
      <c r="E13" s="62"/>
      <c r="F13" s="62"/>
      <c r="G13" s="62"/>
      <c r="H13" s="62"/>
      <c r="I13" s="65"/>
      <c r="J13" s="65"/>
      <c r="K13" s="65"/>
      <c r="L13" s="65"/>
      <c r="M13" s="62"/>
    </row>
    <row r="14" spans="1:15" ht="16.5">
      <c r="A14" s="62"/>
      <c r="B14" s="509" t="s">
        <v>198</v>
      </c>
      <c r="C14" s="510"/>
      <c r="D14" s="510"/>
      <c r="E14" s="510"/>
      <c r="F14" s="510"/>
      <c r="G14" s="510"/>
      <c r="H14" s="511"/>
      <c r="I14" s="67" t="s">
        <v>199</v>
      </c>
      <c r="J14" s="67" t="s">
        <v>200</v>
      </c>
      <c r="K14" s="67" t="s">
        <v>201</v>
      </c>
      <c r="L14" s="67" t="s">
        <v>202</v>
      </c>
      <c r="M14" s="67" t="s">
        <v>203</v>
      </c>
    </row>
    <row r="15" spans="1:15" ht="16.5">
      <c r="A15" s="62"/>
      <c r="B15" s="512" t="s">
        <v>204</v>
      </c>
      <c r="C15" s="512"/>
      <c r="D15" s="512"/>
      <c r="E15" s="512"/>
      <c r="F15" s="512"/>
      <c r="G15" s="512"/>
      <c r="H15" s="512"/>
      <c r="I15" s="68" t="s">
        <v>368</v>
      </c>
      <c r="J15" s="68" t="s">
        <v>215</v>
      </c>
      <c r="K15" s="68" t="s">
        <v>216</v>
      </c>
      <c r="L15" s="68" t="s">
        <v>217</v>
      </c>
      <c r="M15" s="68" t="s">
        <v>218</v>
      </c>
    </row>
    <row r="16" spans="1:15" ht="16.5">
      <c r="A16" s="62"/>
      <c r="B16" s="69">
        <v>1</v>
      </c>
      <c r="C16" s="70" t="s">
        <v>209</v>
      </c>
      <c r="D16" s="94">
        <v>1.05</v>
      </c>
      <c r="E16" s="72" t="s">
        <v>35</v>
      </c>
      <c r="F16" s="73">
        <f>ราคาวัสดุ!J23</f>
        <v>3219.06</v>
      </c>
      <c r="G16" s="74" t="s">
        <v>23</v>
      </c>
      <c r="H16" s="75">
        <f>TRUNC(D16*F16,2)</f>
        <v>3380.01</v>
      </c>
      <c r="I16" s="76">
        <f>0.336*$H$16</f>
        <v>1135.6833600000002</v>
      </c>
      <c r="J16" s="77">
        <f>0.35*$H$16</f>
        <v>1183.0035</v>
      </c>
      <c r="K16" s="76">
        <f>0.32*$H$16</f>
        <v>1081.6032</v>
      </c>
      <c r="L16" s="76">
        <f>0.29*$H$16</f>
        <v>980.2029</v>
      </c>
      <c r="M16" s="77">
        <f>0.24*$H$16</f>
        <v>811.20240000000001</v>
      </c>
    </row>
    <row r="17" spans="1:14" ht="16.5">
      <c r="A17" s="62"/>
      <c r="B17" s="78">
        <v>2</v>
      </c>
      <c r="C17" s="79" t="s">
        <v>210</v>
      </c>
      <c r="D17" s="95">
        <v>1.2</v>
      </c>
      <c r="E17" s="81" t="s">
        <v>35</v>
      </c>
      <c r="F17" s="82">
        <f>ราคาวัสดุ!J30</f>
        <v>263.77999999999997</v>
      </c>
      <c r="G17" s="83" t="s">
        <v>23</v>
      </c>
      <c r="H17" s="75">
        <f>TRUNC(D17*F17,2)</f>
        <v>316.52999999999997</v>
      </c>
      <c r="I17" s="84">
        <f>0.6*$H$17</f>
        <v>189.91799999999998</v>
      </c>
      <c r="J17" s="96">
        <f>0.572*$H$17</f>
        <v>181.05515999999997</v>
      </c>
      <c r="K17" s="84">
        <f>0.596*$H$17</f>
        <v>188.65187999999998</v>
      </c>
      <c r="L17" s="84">
        <f>0.62*$H$17</f>
        <v>196.24859999999998</v>
      </c>
      <c r="M17" s="96">
        <f>0.52*$H$17</f>
        <v>164.59559999999999</v>
      </c>
    </row>
    <row r="18" spans="1:14" ht="16.5">
      <c r="A18" s="62"/>
      <c r="B18" s="78">
        <v>3</v>
      </c>
      <c r="C18" s="79" t="s">
        <v>211</v>
      </c>
      <c r="D18" s="95">
        <v>1.1499999999999999</v>
      </c>
      <c r="E18" s="81" t="s">
        <v>35</v>
      </c>
      <c r="F18" s="82">
        <f>ราคาวัสดุ!J29</f>
        <v>659.11</v>
      </c>
      <c r="G18" s="83" t="s">
        <v>23</v>
      </c>
      <c r="H18" s="75">
        <f>TRUNC(D18*F18,2)</f>
        <v>757.97</v>
      </c>
      <c r="I18" s="84">
        <f>1.09*$H$18</f>
        <v>826.18730000000005</v>
      </c>
      <c r="J18" s="96">
        <f>0.736*$H$18</f>
        <v>557.86591999999996</v>
      </c>
      <c r="K18" s="84">
        <f>0.764*$H$18</f>
        <v>579.08908000000008</v>
      </c>
      <c r="L18" s="84">
        <f>0.725*$H$18</f>
        <v>549.52824999999996</v>
      </c>
      <c r="M18" s="96">
        <f>0.87*$H$18</f>
        <v>659.43389999999999</v>
      </c>
    </row>
    <row r="19" spans="1:14" ht="16.5">
      <c r="A19" s="62"/>
      <c r="B19" s="78">
        <v>4</v>
      </c>
      <c r="C19" s="79" t="s">
        <v>212</v>
      </c>
      <c r="D19" s="80"/>
      <c r="E19" s="81"/>
      <c r="F19" s="82"/>
      <c r="G19" s="83"/>
      <c r="H19" s="75"/>
      <c r="I19" s="230">
        <f>I9</f>
        <v>0</v>
      </c>
      <c r="J19" s="230">
        <f>I19</f>
        <v>0</v>
      </c>
      <c r="K19" s="230">
        <f>I19</f>
        <v>0</v>
      </c>
      <c r="L19" s="230">
        <f>I19</f>
        <v>0</v>
      </c>
      <c r="M19" s="230">
        <f>I19</f>
        <v>0</v>
      </c>
      <c r="N19" s="85"/>
    </row>
    <row r="20" spans="1:14" ht="16.5">
      <c r="A20" s="62"/>
      <c r="B20" s="87">
        <v>5</v>
      </c>
      <c r="C20" s="88" t="s">
        <v>213</v>
      </c>
      <c r="D20" s="88"/>
      <c r="E20" s="88"/>
      <c r="F20" s="88"/>
      <c r="G20" s="88"/>
      <c r="H20" s="89"/>
      <c r="I20" s="90">
        <v>0</v>
      </c>
      <c r="J20" s="90">
        <v>0</v>
      </c>
      <c r="K20" s="90">
        <v>0</v>
      </c>
      <c r="L20" s="90">
        <v>0</v>
      </c>
      <c r="M20" s="91">
        <v>0</v>
      </c>
    </row>
    <row r="21" spans="1:14" ht="16.5">
      <c r="A21" s="62"/>
      <c r="B21" s="504" t="s">
        <v>33</v>
      </c>
      <c r="C21" s="505"/>
      <c r="D21" s="505"/>
      <c r="E21" s="505"/>
      <c r="F21" s="505"/>
      <c r="G21" s="505"/>
      <c r="H21" s="506"/>
      <c r="I21" s="92">
        <f>ROUNDDOWN(SUM(I16:I20),2)</f>
        <v>2151.7800000000002</v>
      </c>
      <c r="J21" s="92">
        <f>ROUNDDOWN(SUM(J16:J20),2)</f>
        <v>1921.92</v>
      </c>
      <c r="K21" s="92">
        <f>ROUNDDOWN(SUM(K16:K20),2)</f>
        <v>1849.34</v>
      </c>
      <c r="L21" s="92">
        <f>ROUNDDOWN(SUM(L16:L20),2)</f>
        <v>1725.97</v>
      </c>
      <c r="M21" s="93">
        <f>ROUNDDOWN(SUM(M16:M20),2)</f>
        <v>1635.23</v>
      </c>
    </row>
    <row r="22" spans="1:14" ht="16.5">
      <c r="A22" s="62"/>
      <c r="B22" s="97"/>
      <c r="C22" s="62"/>
      <c r="D22" s="62"/>
      <c r="E22" s="62"/>
      <c r="F22" s="62"/>
      <c r="G22" s="62"/>
      <c r="H22" s="62"/>
      <c r="I22" s="65"/>
      <c r="J22" s="65"/>
      <c r="K22" s="65"/>
      <c r="L22" s="65"/>
      <c r="M22" s="62"/>
    </row>
    <row r="23" spans="1:14" ht="16.5">
      <c r="A23" s="98" t="s">
        <v>219</v>
      </c>
      <c r="B23" s="62"/>
      <c r="C23" s="62"/>
      <c r="D23" s="62"/>
      <c r="E23" s="62"/>
      <c r="F23" s="62"/>
      <c r="G23" s="62"/>
      <c r="H23" s="65"/>
      <c r="I23" s="65"/>
      <c r="J23" s="65"/>
      <c r="K23" s="65"/>
      <c r="L23" s="62"/>
    </row>
    <row r="24" spans="1:14" ht="16.5">
      <c r="A24" s="62" t="s">
        <v>220</v>
      </c>
      <c r="B24" s="62"/>
      <c r="C24" s="62"/>
      <c r="D24" s="62"/>
      <c r="E24" s="62"/>
      <c r="F24" s="62"/>
      <c r="G24" s="65"/>
      <c r="H24" s="65"/>
      <c r="I24" s="65"/>
      <c r="J24" s="65"/>
      <c r="K24" s="62"/>
    </row>
    <row r="25" spans="1:14" ht="16.5">
      <c r="A25" s="62" t="s">
        <v>221</v>
      </c>
      <c r="B25" s="62"/>
      <c r="C25" s="62"/>
      <c r="D25" s="62"/>
      <c r="E25" s="62"/>
      <c r="F25" s="62"/>
      <c r="G25" s="65"/>
      <c r="H25" s="65"/>
      <c r="I25" s="65"/>
      <c r="J25" s="65"/>
      <c r="K25" s="62"/>
    </row>
    <row r="26" spans="1:14" ht="16.5">
      <c r="A26" s="99" t="s">
        <v>222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</row>
    <row r="27" spans="1:14" ht="16.5">
      <c r="A27" s="62" t="s">
        <v>223</v>
      </c>
      <c r="B27" s="62"/>
      <c r="C27" s="62"/>
      <c r="D27" s="62"/>
      <c r="E27" s="62"/>
      <c r="F27" s="62"/>
      <c r="G27" s="65"/>
      <c r="H27" s="65"/>
      <c r="I27" s="65"/>
      <c r="J27" s="65"/>
      <c r="K27" s="62"/>
    </row>
    <row r="28" spans="1:14" ht="16.5">
      <c r="A28" s="65"/>
      <c r="B28" s="62"/>
      <c r="C28" s="62"/>
      <c r="D28" s="62"/>
      <c r="E28" s="62"/>
      <c r="F28" s="62"/>
      <c r="G28" s="62"/>
      <c r="H28" s="65"/>
      <c r="I28" s="65"/>
      <c r="J28" s="65"/>
      <c r="K28" s="65"/>
      <c r="L28" s="62"/>
    </row>
    <row r="29" spans="1:14" ht="16.5">
      <c r="A29" s="97" t="s">
        <v>224</v>
      </c>
      <c r="B29" s="62"/>
      <c r="C29" s="62"/>
      <c r="D29" s="62"/>
      <c r="E29" s="62"/>
      <c r="F29" s="62"/>
      <c r="G29" s="62"/>
      <c r="H29" s="65"/>
      <c r="I29" s="65"/>
      <c r="J29" s="65"/>
      <c r="K29" s="65"/>
      <c r="L29" s="62"/>
    </row>
    <row r="30" spans="1:14" ht="16.5">
      <c r="A30" s="65"/>
      <c r="B30" s="97"/>
      <c r="C30" s="62"/>
      <c r="D30" s="62"/>
      <c r="E30" s="62"/>
      <c r="F30" s="62"/>
      <c r="G30" s="62"/>
      <c r="H30" s="65"/>
      <c r="I30" s="65"/>
      <c r="J30" s="65"/>
      <c r="K30" s="65"/>
      <c r="L30" s="62"/>
    </row>
    <row r="31" spans="1:14" ht="16.5">
      <c r="A31" s="65">
        <v>1.2</v>
      </c>
      <c r="B31" s="97" t="s">
        <v>355</v>
      </c>
      <c r="C31" s="62"/>
      <c r="D31" s="62"/>
      <c r="E31" s="62"/>
      <c r="F31" s="62"/>
      <c r="G31" s="62"/>
      <c r="H31" s="65"/>
      <c r="I31" s="65"/>
      <c r="J31" s="65"/>
      <c r="K31" s="65"/>
      <c r="L31" s="62"/>
    </row>
    <row r="32" spans="1:14" ht="16.5">
      <c r="A32" s="65"/>
      <c r="B32" s="97" t="s">
        <v>356</v>
      </c>
      <c r="C32" s="62"/>
      <c r="D32" s="62"/>
      <c r="E32" s="62"/>
      <c r="F32" s="62"/>
      <c r="G32" s="62"/>
      <c r="H32" s="65"/>
      <c r="I32" s="65"/>
      <c r="J32" s="65"/>
      <c r="K32" s="65"/>
      <c r="L32" s="62"/>
    </row>
    <row r="33" spans="1:14" ht="16.5">
      <c r="A33" s="65"/>
      <c r="B33" s="97" t="s">
        <v>357</v>
      </c>
      <c r="C33" s="62"/>
      <c r="D33" s="62" t="s">
        <v>358</v>
      </c>
      <c r="E33" s="65" t="s">
        <v>359</v>
      </c>
      <c r="F33" s="65" t="s">
        <v>359</v>
      </c>
      <c r="G33" s="65" t="s">
        <v>362</v>
      </c>
      <c r="H33" s="65" t="s">
        <v>363</v>
      </c>
      <c r="I33" s="65" t="s">
        <v>364</v>
      </c>
      <c r="J33" s="65"/>
      <c r="K33" s="65"/>
      <c r="L33" s="62"/>
    </row>
    <row r="34" spans="1:14" ht="16.5">
      <c r="A34" s="65"/>
      <c r="B34" s="97"/>
      <c r="C34" s="62"/>
      <c r="D34" s="62"/>
      <c r="E34" s="65" t="s">
        <v>360</v>
      </c>
      <c r="F34" s="65" t="s">
        <v>361</v>
      </c>
      <c r="G34" s="62"/>
      <c r="H34" s="65"/>
      <c r="I34" s="65"/>
      <c r="J34" s="65"/>
      <c r="K34" s="65"/>
      <c r="L34" s="62"/>
    </row>
    <row r="35" spans="1:14">
      <c r="B35" s="1" t="s">
        <v>204</v>
      </c>
      <c r="D35" s="1" t="s">
        <v>365</v>
      </c>
      <c r="E35" s="1" t="s">
        <v>366</v>
      </c>
      <c r="F35" s="1" t="s">
        <v>367</v>
      </c>
      <c r="G35" s="1" t="s">
        <v>368</v>
      </c>
      <c r="H35" s="1" t="s">
        <v>369</v>
      </c>
      <c r="I35" s="1" t="s">
        <v>370</v>
      </c>
    </row>
    <row r="36" spans="1:14">
      <c r="B36" s="1" t="s">
        <v>372</v>
      </c>
      <c r="D36" s="1" t="s">
        <v>374</v>
      </c>
      <c r="E36" s="1" t="s">
        <v>374</v>
      </c>
      <c r="F36" s="1" t="s">
        <v>374</v>
      </c>
      <c r="G36" s="1" t="s">
        <v>374</v>
      </c>
      <c r="H36" s="1" t="s">
        <v>374</v>
      </c>
      <c r="I36" s="1" t="s">
        <v>374</v>
      </c>
    </row>
    <row r="37" spans="1:14">
      <c r="B37" s="1" t="s">
        <v>371</v>
      </c>
      <c r="D37" s="1" t="s">
        <v>374</v>
      </c>
      <c r="E37" s="1" t="s">
        <v>374</v>
      </c>
      <c r="F37" s="1" t="s">
        <v>374</v>
      </c>
      <c r="G37" s="1" t="s">
        <v>374</v>
      </c>
      <c r="H37" s="1" t="s">
        <v>374</v>
      </c>
      <c r="I37" s="1" t="s">
        <v>374</v>
      </c>
    </row>
    <row r="38" spans="1:14">
      <c r="B38" s="1" t="s">
        <v>33</v>
      </c>
      <c r="D38" s="1" t="s">
        <v>374</v>
      </c>
      <c r="E38" s="1" t="s">
        <v>374</v>
      </c>
      <c r="F38" s="1" t="s">
        <v>374</v>
      </c>
      <c r="G38" s="1" t="s">
        <v>374</v>
      </c>
      <c r="H38" s="1" t="s">
        <v>374</v>
      </c>
      <c r="I38" s="1" t="s">
        <v>374</v>
      </c>
    </row>
    <row r="40" spans="1:14" ht="16.5">
      <c r="A40" s="62"/>
      <c r="B40" s="508" t="s">
        <v>225</v>
      </c>
      <c r="C40" s="508"/>
      <c r="D40" s="508"/>
      <c r="E40" s="508"/>
      <c r="F40" s="508"/>
      <c r="G40" s="508"/>
      <c r="H40" s="508"/>
      <c r="I40" s="508"/>
      <c r="J40" s="508"/>
      <c r="K40" s="508"/>
      <c r="L40" s="508"/>
      <c r="M40" s="508"/>
    </row>
    <row r="42" spans="1:14" ht="16.5">
      <c r="B42" s="63" t="s">
        <v>214</v>
      </c>
      <c r="C42" s="62"/>
      <c r="D42" s="62"/>
      <c r="E42" s="62"/>
      <c r="F42" s="62"/>
      <c r="G42" s="62"/>
      <c r="H42" s="62"/>
      <c r="I42" s="65"/>
      <c r="J42" s="65"/>
      <c r="K42" s="65"/>
      <c r="L42" s="65"/>
      <c r="M42" s="62"/>
    </row>
    <row r="43" spans="1:14" ht="16.5">
      <c r="B43" s="509" t="s">
        <v>198</v>
      </c>
      <c r="C43" s="510"/>
      <c r="D43" s="510"/>
      <c r="E43" s="510"/>
      <c r="F43" s="510"/>
      <c r="G43" s="510"/>
      <c r="H43" s="511"/>
      <c r="I43" s="67"/>
      <c r="J43" s="67"/>
      <c r="K43" s="67"/>
      <c r="L43" s="101" t="s">
        <v>226</v>
      </c>
      <c r="M43" s="67" t="s">
        <v>203</v>
      </c>
    </row>
    <row r="44" spans="1:14" ht="16.5">
      <c r="B44" s="512" t="s">
        <v>204</v>
      </c>
      <c r="C44" s="512"/>
      <c r="D44" s="512"/>
      <c r="E44" s="512"/>
      <c r="F44" s="512"/>
      <c r="G44" s="512"/>
      <c r="H44" s="512"/>
      <c r="I44" s="68"/>
      <c r="J44" s="68"/>
      <c r="K44" s="68"/>
      <c r="L44" s="68" t="s">
        <v>227</v>
      </c>
      <c r="M44" s="68" t="s">
        <v>228</v>
      </c>
    </row>
    <row r="45" spans="1:14" ht="16.5">
      <c r="B45" s="69">
        <v>1</v>
      </c>
      <c r="C45" s="70" t="s">
        <v>209</v>
      </c>
      <c r="D45" s="94">
        <v>1.05</v>
      </c>
      <c r="E45" s="72" t="s">
        <v>35</v>
      </c>
      <c r="F45" s="73">
        <f>F6</f>
        <v>3219.06</v>
      </c>
      <c r="G45" s="74" t="s">
        <v>23</v>
      </c>
      <c r="H45" s="75">
        <f>TRUNC(D45*F45,2)</f>
        <v>3380.01</v>
      </c>
      <c r="I45" s="76"/>
      <c r="J45" s="77"/>
      <c r="K45" s="76"/>
      <c r="L45" s="76">
        <f>300*$H$45/1000</f>
        <v>1014.0030000000002</v>
      </c>
      <c r="M45" s="77">
        <f>240*$H$45/1000</f>
        <v>811.20240000000001</v>
      </c>
    </row>
    <row r="46" spans="1:14" ht="16.5">
      <c r="B46" s="78">
        <v>2</v>
      </c>
      <c r="C46" s="79" t="s">
        <v>210</v>
      </c>
      <c r="D46" s="95">
        <v>1.2</v>
      </c>
      <c r="E46" s="81" t="s">
        <v>35</v>
      </c>
      <c r="F46" s="82">
        <f>F7</f>
        <v>263.77999999999997</v>
      </c>
      <c r="G46" s="83" t="s">
        <v>23</v>
      </c>
      <c r="H46" s="75">
        <f>TRUNC(D46*F46,2)</f>
        <v>316.52999999999997</v>
      </c>
      <c r="I46" s="84"/>
      <c r="J46" s="96"/>
      <c r="K46" s="84"/>
      <c r="L46" s="84">
        <f>299*$H$46/1000</f>
        <v>94.642469999999989</v>
      </c>
      <c r="M46" s="96">
        <f>429*$H$46/1000</f>
        <v>135.79137</v>
      </c>
    </row>
    <row r="47" spans="1:14" ht="16.5">
      <c r="B47" s="78">
        <v>3</v>
      </c>
      <c r="C47" s="79" t="s">
        <v>211</v>
      </c>
      <c r="D47" s="95">
        <v>1.1499999999999999</v>
      </c>
      <c r="E47" s="81" t="s">
        <v>35</v>
      </c>
      <c r="F47" s="82">
        <f>F8</f>
        <v>659.11</v>
      </c>
      <c r="G47" s="83" t="s">
        <v>23</v>
      </c>
      <c r="H47" s="75">
        <f>TRUNC(D47*F47,2)</f>
        <v>757.97</v>
      </c>
      <c r="I47" s="84"/>
      <c r="J47" s="96"/>
      <c r="K47" s="84"/>
      <c r="L47" s="84">
        <f>652*$H$47/1000</f>
        <v>494.19644</v>
      </c>
      <c r="M47" s="96">
        <f>767*$H$18/1000</f>
        <v>581.36298999999997</v>
      </c>
    </row>
    <row r="48" spans="1:14" ht="16.5">
      <c r="B48" s="78">
        <v>4</v>
      </c>
      <c r="C48" s="79" t="s">
        <v>229</v>
      </c>
      <c r="D48" s="80"/>
      <c r="E48" s="81"/>
      <c r="F48" s="82"/>
      <c r="G48" s="83"/>
      <c r="H48" s="75"/>
      <c r="I48" s="86"/>
      <c r="J48" s="86"/>
      <c r="K48" s="86"/>
      <c r="L48" s="86">
        <v>498</v>
      </c>
      <c r="M48" s="86">
        <v>398</v>
      </c>
      <c r="N48" s="85"/>
    </row>
    <row r="49" spans="2:13" ht="16.5">
      <c r="B49" s="504" t="s">
        <v>33</v>
      </c>
      <c r="C49" s="505"/>
      <c r="D49" s="505"/>
      <c r="E49" s="505"/>
      <c r="F49" s="505"/>
      <c r="G49" s="505"/>
      <c r="H49" s="506"/>
      <c r="I49" s="92">
        <f>ROUNDDOWN(SUM(I45:I48),2)</f>
        <v>0</v>
      </c>
      <c r="J49" s="92">
        <f>ROUNDDOWN(SUM(J45:J48),2)</f>
        <v>0</v>
      </c>
      <c r="K49" s="92">
        <f>ROUNDDOWN(SUM(K45:K48),2)</f>
        <v>0</v>
      </c>
      <c r="L49" s="92">
        <f>ROUNDDOWN(SUM(L45:L48),2)</f>
        <v>2100.84</v>
      </c>
      <c r="M49" s="93">
        <f>ROUNDDOWN(SUM(M45:M48),2)</f>
        <v>1926.35</v>
      </c>
    </row>
  </sheetData>
  <mergeCells count="12">
    <mergeCell ref="B49:H49"/>
    <mergeCell ref="B1:M1"/>
    <mergeCell ref="B2:M2"/>
    <mergeCell ref="B4:H4"/>
    <mergeCell ref="B5:H5"/>
    <mergeCell ref="B11:H11"/>
    <mergeCell ref="B14:H14"/>
    <mergeCell ref="B15:H15"/>
    <mergeCell ref="B21:H21"/>
    <mergeCell ref="B40:M40"/>
    <mergeCell ref="B43:H43"/>
    <mergeCell ref="B44:H44"/>
  </mergeCells>
  <conditionalFormatting sqref="L4:L11 L19:L20 L48">
    <cfRule type="expression" dxfId="5" priority="5">
      <formula>$BC$2=$L$4</formula>
    </cfRule>
  </conditionalFormatting>
  <conditionalFormatting sqref="K4:K11 K19:K20 K48">
    <cfRule type="expression" dxfId="4" priority="4">
      <formula>$BC$2=$K$4</formula>
    </cfRule>
  </conditionalFormatting>
  <conditionalFormatting sqref="K7:M7 J4:J11 J19:J20 K11:M11 J48">
    <cfRule type="expression" dxfId="3" priority="3">
      <formula>$BC$2=$J$4</formula>
    </cfRule>
  </conditionalFormatting>
  <conditionalFormatting sqref="I4:I11 J8:M9 I19:I20 J19:M19 J11:M11 I48:M48">
    <cfRule type="expression" dxfId="2" priority="2">
      <formula>$BC$2=$I$4</formula>
    </cfRule>
  </conditionalFormatting>
  <conditionalFormatting sqref="I15">
    <cfRule type="expression" dxfId="1" priority="1">
      <formula>$BC$2=$I$4</formula>
    </cfRule>
  </conditionalFormatting>
  <pageMargins left="0.7" right="0.7" top="0.75" bottom="0.75" header="0.3" footer="0.3"/>
  <pageSetup paperSize="9" scale="62" orientation="portrait" r:id="rId1"/>
  <colBreaks count="1" manualBreakCount="1">
    <brk id="13" max="1048575" man="1"/>
  </col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Normal="100" zoomScaleSheetLayoutView="100" workbookViewId="0">
      <selection activeCell="L6" sqref="L6"/>
    </sheetView>
  </sheetViews>
  <sheetFormatPr defaultRowHeight="18"/>
  <cols>
    <col min="1" max="1" width="5.125" style="19" customWidth="1"/>
    <col min="2" max="2" width="9" style="18"/>
    <col min="3" max="3" width="19.5" style="18" customWidth="1"/>
    <col min="4" max="4" width="9" style="19"/>
    <col min="5" max="5" width="8.75" style="20" bestFit="1" customWidth="1"/>
    <col min="6" max="7" width="9" style="18"/>
    <col min="8" max="8" width="8.5" style="18" customWidth="1"/>
    <col min="9" max="9" width="8.875" style="18" customWidth="1"/>
    <col min="10" max="10" width="9.125" style="20" customWidth="1"/>
    <col min="11" max="11" width="9" style="18"/>
    <col min="12" max="12" width="11.875" style="18" customWidth="1"/>
    <col min="13" max="16384" width="9" style="18"/>
  </cols>
  <sheetData>
    <row r="1" spans="1:15">
      <c r="A1" s="522" t="s">
        <v>230</v>
      </c>
      <c r="B1" s="522"/>
      <c r="C1" s="522"/>
      <c r="D1" s="522"/>
      <c r="E1" s="522"/>
      <c r="F1" s="522"/>
      <c r="G1" s="522"/>
      <c r="H1" s="522"/>
      <c r="I1" s="522"/>
      <c r="J1" s="522"/>
      <c r="K1" s="522"/>
      <c r="L1" s="522"/>
      <c r="M1" s="522"/>
      <c r="N1" s="522"/>
      <c r="O1" s="522"/>
    </row>
    <row r="2" spans="1:15">
      <c r="B2" s="18" t="s">
        <v>134</v>
      </c>
      <c r="E2" s="20" t="str">
        <f>สรุปราคากลาง!D3</f>
        <v xml:space="preserve">โครงการวางท่อพร้อมขยายผิวจราจร ถนนบ้านแม่ลาว หมู่ 19 - บ้านสันต้นแหน
</v>
      </c>
    </row>
    <row r="3" spans="1:15">
      <c r="E3" s="20" t="str">
        <f>สรุปราคากลาง!D4</f>
        <v>ถนน ค.ส.ล.กว้าง 1.50 เมตร ยาว 150 เมตร หรือพื้นที่ไม่น้อยกว่า 205.6 ตารางเมตร วางท่อ ค.ส.ล. 0.60 ม.</v>
      </c>
    </row>
    <row r="5" spans="1:15">
      <c r="B5" s="18" t="s">
        <v>136</v>
      </c>
      <c r="E5" s="20" t="str">
        <f>[2]สรุปราคากลาง!D7</f>
        <v>เทศบาลตำบลแม่ลาว</v>
      </c>
    </row>
    <row r="6" spans="1:15">
      <c r="B6" s="18" t="s">
        <v>231</v>
      </c>
      <c r="D6" s="19" t="s">
        <v>232</v>
      </c>
      <c r="E6" s="20" t="s">
        <v>233</v>
      </c>
      <c r="G6" s="18" t="s">
        <v>341</v>
      </c>
      <c r="J6" s="20" t="s">
        <v>234</v>
      </c>
      <c r="L6" s="21">
        <f>ข้อมูล!G9</f>
        <v>31.494999999999997</v>
      </c>
      <c r="M6" s="19" t="s">
        <v>235</v>
      </c>
    </row>
    <row r="7" spans="1:15">
      <c r="B7" s="18" t="s">
        <v>236</v>
      </c>
      <c r="D7" s="19">
        <v>0</v>
      </c>
      <c r="E7" s="22" t="s">
        <v>237</v>
      </c>
      <c r="H7" s="18" t="s">
        <v>238</v>
      </c>
      <c r="J7" s="22">
        <v>6</v>
      </c>
      <c r="K7" s="19" t="s">
        <v>237</v>
      </c>
    </row>
    <row r="8" spans="1:15">
      <c r="B8" s="18" t="s">
        <v>239</v>
      </c>
      <c r="D8" s="19">
        <v>0</v>
      </c>
      <c r="E8" s="22" t="s">
        <v>237</v>
      </c>
      <c r="H8" s="18" t="s">
        <v>240</v>
      </c>
      <c r="J8" s="22">
        <v>7</v>
      </c>
      <c r="K8" s="19" t="s">
        <v>237</v>
      </c>
    </row>
    <row r="9" spans="1:15">
      <c r="B9" s="18" t="s">
        <v>139</v>
      </c>
      <c r="E9" s="20" t="str">
        <f>สรุปราคากลาง!D9</f>
        <v xml:space="preserve">   8   เมษายน  2567</v>
      </c>
    </row>
    <row r="10" spans="1:15">
      <c r="A10" s="523" t="s">
        <v>241</v>
      </c>
      <c r="B10" s="525" t="s">
        <v>242</v>
      </c>
      <c r="C10" s="525"/>
      <c r="D10" s="523" t="s">
        <v>142</v>
      </c>
      <c r="E10" s="23" t="s">
        <v>243</v>
      </c>
      <c r="F10" s="24" t="s">
        <v>244</v>
      </c>
      <c r="G10" s="25" t="s">
        <v>31</v>
      </c>
      <c r="H10" s="24" t="s">
        <v>245</v>
      </c>
      <c r="I10" s="25" t="s">
        <v>246</v>
      </c>
      <c r="J10" s="26" t="s">
        <v>247</v>
      </c>
      <c r="K10" s="525" t="s">
        <v>248</v>
      </c>
      <c r="L10" s="525"/>
      <c r="M10" s="519" t="s">
        <v>219</v>
      </c>
      <c r="N10" s="520"/>
      <c r="O10" s="521"/>
    </row>
    <row r="11" spans="1:15">
      <c r="A11" s="524"/>
      <c r="B11" s="526"/>
      <c r="C11" s="526"/>
      <c r="D11" s="524"/>
      <c r="E11" s="27" t="s">
        <v>249</v>
      </c>
      <c r="F11" s="28" t="s">
        <v>250</v>
      </c>
      <c r="G11" s="29" t="s">
        <v>249</v>
      </c>
      <c r="H11" s="28" t="s">
        <v>249</v>
      </c>
      <c r="I11" s="29" t="s">
        <v>249</v>
      </c>
      <c r="J11" s="30" t="s">
        <v>249</v>
      </c>
      <c r="K11" s="526"/>
      <c r="L11" s="526"/>
      <c r="M11" s="513" t="s">
        <v>251</v>
      </c>
      <c r="N11" s="515"/>
      <c r="O11" s="514"/>
    </row>
    <row r="12" spans="1:15">
      <c r="A12" s="24">
        <v>1</v>
      </c>
      <c r="B12" s="31" t="s">
        <v>252</v>
      </c>
      <c r="C12" s="31"/>
      <c r="D12" s="24" t="s">
        <v>253</v>
      </c>
      <c r="E12" s="32">
        <v>24627.43</v>
      </c>
      <c r="F12" s="36">
        <v>25</v>
      </c>
      <c r="G12" s="39">
        <v>39.5</v>
      </c>
      <c r="H12" s="34">
        <v>80</v>
      </c>
      <c r="I12" s="33"/>
      <c r="J12" s="35">
        <f>E12+H12+G12</f>
        <v>24746.93</v>
      </c>
      <c r="K12" s="516" t="s">
        <v>267</v>
      </c>
      <c r="L12" s="516"/>
      <c r="M12" s="517" t="s">
        <v>254</v>
      </c>
      <c r="N12" s="516"/>
      <c r="O12" s="518"/>
    </row>
    <row r="13" spans="1:15">
      <c r="A13" s="36">
        <v>2</v>
      </c>
      <c r="B13" s="37" t="s">
        <v>255</v>
      </c>
      <c r="C13" s="37"/>
      <c r="D13" s="36" t="s">
        <v>253</v>
      </c>
      <c r="E13" s="38">
        <v>23130.37</v>
      </c>
      <c r="F13" s="36">
        <v>25</v>
      </c>
      <c r="G13" s="39">
        <f>G12</f>
        <v>39.5</v>
      </c>
      <c r="H13" s="40">
        <f>H12</f>
        <v>80</v>
      </c>
      <c r="I13" s="39"/>
      <c r="J13" s="35">
        <f t="shared" ref="J13:J20" si="0">E13+H13+G13</f>
        <v>23249.87</v>
      </c>
      <c r="K13" s="516" t="s">
        <v>267</v>
      </c>
      <c r="L13" s="516"/>
      <c r="M13" s="517" t="s">
        <v>254</v>
      </c>
      <c r="N13" s="516"/>
      <c r="O13" s="518"/>
    </row>
    <row r="14" spans="1:15">
      <c r="A14" s="36">
        <v>3</v>
      </c>
      <c r="B14" s="37" t="s">
        <v>256</v>
      </c>
      <c r="C14" s="37"/>
      <c r="D14" s="36" t="s">
        <v>253</v>
      </c>
      <c r="E14" s="38">
        <v>24785.3</v>
      </c>
      <c r="F14" s="36">
        <v>25</v>
      </c>
      <c r="G14" s="39">
        <f t="shared" ref="G14:G20" si="1">G13</f>
        <v>39.5</v>
      </c>
      <c r="H14" s="40">
        <f>H12</f>
        <v>80</v>
      </c>
      <c r="I14" s="39"/>
      <c r="J14" s="35">
        <f t="shared" si="0"/>
        <v>24904.799999999999</v>
      </c>
      <c r="K14" s="516" t="s">
        <v>267</v>
      </c>
      <c r="L14" s="516"/>
      <c r="M14" s="517" t="s">
        <v>254</v>
      </c>
      <c r="N14" s="516"/>
      <c r="O14" s="518"/>
    </row>
    <row r="15" spans="1:15">
      <c r="A15" s="36">
        <v>4</v>
      </c>
      <c r="B15" s="37" t="s">
        <v>257</v>
      </c>
      <c r="C15" s="37"/>
      <c r="D15" s="36" t="s">
        <v>253</v>
      </c>
      <c r="E15" s="38">
        <v>27369.82</v>
      </c>
      <c r="F15" s="36">
        <v>25</v>
      </c>
      <c r="G15" s="39">
        <f t="shared" si="1"/>
        <v>39.5</v>
      </c>
      <c r="H15" s="40">
        <f>H14</f>
        <v>80</v>
      </c>
      <c r="I15" s="39"/>
      <c r="J15" s="35">
        <f t="shared" si="0"/>
        <v>27489.32</v>
      </c>
      <c r="K15" s="516" t="s">
        <v>267</v>
      </c>
      <c r="L15" s="516"/>
      <c r="M15" s="517" t="s">
        <v>254</v>
      </c>
      <c r="N15" s="516"/>
      <c r="O15" s="518"/>
    </row>
    <row r="16" spans="1:15">
      <c r="A16" s="36">
        <v>5</v>
      </c>
      <c r="B16" s="37" t="s">
        <v>258</v>
      </c>
      <c r="C16" s="37"/>
      <c r="D16" s="36" t="s">
        <v>253</v>
      </c>
      <c r="E16" s="38">
        <v>25345.5</v>
      </c>
      <c r="F16" s="36">
        <v>25</v>
      </c>
      <c r="G16" s="39">
        <f t="shared" si="1"/>
        <v>39.5</v>
      </c>
      <c r="H16" s="40">
        <f t="shared" ref="H16:H20" si="2">H15</f>
        <v>80</v>
      </c>
      <c r="I16" s="39"/>
      <c r="J16" s="35">
        <f t="shared" si="0"/>
        <v>25465</v>
      </c>
      <c r="K16" s="516" t="s">
        <v>267</v>
      </c>
      <c r="L16" s="516"/>
      <c r="M16" s="517" t="s">
        <v>254</v>
      </c>
      <c r="N16" s="516"/>
      <c r="O16" s="518"/>
    </row>
    <row r="17" spans="1:19">
      <c r="A17" s="36">
        <v>6</v>
      </c>
      <c r="B17" s="37" t="s">
        <v>259</v>
      </c>
      <c r="C17" s="37"/>
      <c r="D17" s="36" t="s">
        <v>253</v>
      </c>
      <c r="E17" s="38">
        <v>22171.7</v>
      </c>
      <c r="F17" s="36">
        <v>25</v>
      </c>
      <c r="G17" s="39">
        <f t="shared" si="1"/>
        <v>39.5</v>
      </c>
      <c r="H17" s="40">
        <f t="shared" si="2"/>
        <v>80</v>
      </c>
      <c r="I17" s="39"/>
      <c r="J17" s="35">
        <f t="shared" si="0"/>
        <v>22291.200000000001</v>
      </c>
      <c r="K17" s="516" t="s">
        <v>267</v>
      </c>
      <c r="L17" s="516"/>
      <c r="M17" s="517" t="s">
        <v>254</v>
      </c>
      <c r="N17" s="516"/>
      <c r="O17" s="518"/>
    </row>
    <row r="18" spans="1:19">
      <c r="A18" s="36">
        <v>7</v>
      </c>
      <c r="B18" s="37" t="s">
        <v>260</v>
      </c>
      <c r="C18" s="37"/>
      <c r="D18" s="36" t="s">
        <v>253</v>
      </c>
      <c r="E18" s="38">
        <v>22866.14</v>
      </c>
      <c r="F18" s="36">
        <v>25</v>
      </c>
      <c r="G18" s="39">
        <f t="shared" si="1"/>
        <v>39.5</v>
      </c>
      <c r="H18" s="40">
        <f t="shared" si="2"/>
        <v>80</v>
      </c>
      <c r="I18" s="39"/>
      <c r="J18" s="35">
        <f t="shared" si="0"/>
        <v>22985.64</v>
      </c>
      <c r="K18" s="516" t="s">
        <v>267</v>
      </c>
      <c r="L18" s="516"/>
      <c r="M18" s="517" t="s">
        <v>254</v>
      </c>
      <c r="N18" s="516"/>
      <c r="O18" s="518"/>
    </row>
    <row r="19" spans="1:19">
      <c r="A19" s="36">
        <v>8</v>
      </c>
      <c r="B19" s="37" t="s">
        <v>261</v>
      </c>
      <c r="C19" s="37"/>
      <c r="D19" s="36" t="s">
        <v>253</v>
      </c>
      <c r="E19" s="38">
        <v>22865.48</v>
      </c>
      <c r="F19" s="36">
        <v>25</v>
      </c>
      <c r="G19" s="39">
        <f t="shared" si="1"/>
        <v>39.5</v>
      </c>
      <c r="H19" s="40">
        <f t="shared" si="2"/>
        <v>80</v>
      </c>
      <c r="I19" s="39"/>
      <c r="J19" s="35">
        <f t="shared" si="0"/>
        <v>22984.98</v>
      </c>
      <c r="K19" s="516" t="s">
        <v>267</v>
      </c>
      <c r="L19" s="516"/>
      <c r="M19" s="517" t="s">
        <v>254</v>
      </c>
      <c r="N19" s="516"/>
      <c r="O19" s="518"/>
    </row>
    <row r="20" spans="1:19">
      <c r="A20" s="36">
        <v>9</v>
      </c>
      <c r="B20" s="37" t="s">
        <v>262</v>
      </c>
      <c r="C20" s="37"/>
      <c r="D20" s="36" t="s">
        <v>253</v>
      </c>
      <c r="E20" s="38">
        <v>25037.18</v>
      </c>
      <c r="F20" s="36">
        <v>25</v>
      </c>
      <c r="G20" s="39">
        <f t="shared" si="1"/>
        <v>39.5</v>
      </c>
      <c r="H20" s="40">
        <f t="shared" si="2"/>
        <v>80</v>
      </c>
      <c r="I20" s="39"/>
      <c r="J20" s="35">
        <f t="shared" si="0"/>
        <v>25156.68</v>
      </c>
      <c r="K20" s="516" t="s">
        <v>267</v>
      </c>
      <c r="L20" s="516"/>
      <c r="M20" s="517" t="s">
        <v>254</v>
      </c>
      <c r="N20" s="516"/>
      <c r="O20" s="518"/>
    </row>
    <row r="21" spans="1:19">
      <c r="A21" s="36">
        <v>10</v>
      </c>
      <c r="B21" s="37" t="s">
        <v>263</v>
      </c>
      <c r="C21" s="37"/>
      <c r="D21" s="36" t="s">
        <v>264</v>
      </c>
      <c r="E21" s="41">
        <v>33</v>
      </c>
      <c r="F21" s="36"/>
      <c r="G21" s="39"/>
      <c r="H21" s="40"/>
      <c r="I21" s="39"/>
      <c r="J21" s="35">
        <f>E21+H21</f>
        <v>33</v>
      </c>
      <c r="K21" s="516"/>
      <c r="L21" s="516"/>
      <c r="M21" s="517" t="s">
        <v>459</v>
      </c>
      <c r="N21" s="516"/>
      <c r="O21" s="518"/>
    </row>
    <row r="22" spans="1:19">
      <c r="A22" s="36">
        <v>11</v>
      </c>
      <c r="B22" s="37" t="s">
        <v>112</v>
      </c>
      <c r="C22" s="37"/>
      <c r="D22" s="36" t="s">
        <v>265</v>
      </c>
      <c r="E22" s="41">
        <v>46.73</v>
      </c>
      <c r="F22" s="36"/>
      <c r="G22" s="39"/>
      <c r="H22" s="40"/>
      <c r="I22" s="39"/>
      <c r="J22" s="35">
        <f>E22+H22</f>
        <v>46.73</v>
      </c>
      <c r="K22" s="516"/>
      <c r="L22" s="516"/>
      <c r="M22" s="517" t="s">
        <v>254</v>
      </c>
      <c r="N22" s="516"/>
      <c r="O22" s="518"/>
    </row>
    <row r="23" spans="1:19">
      <c r="A23" s="36">
        <v>12</v>
      </c>
      <c r="B23" s="37" t="s">
        <v>266</v>
      </c>
      <c r="C23" s="37"/>
      <c r="D23" s="36" t="s">
        <v>253</v>
      </c>
      <c r="E23" s="41">
        <v>3130.84</v>
      </c>
      <c r="F23" s="36">
        <v>25</v>
      </c>
      <c r="G23" s="39">
        <v>38.22</v>
      </c>
      <c r="H23" s="40">
        <v>50</v>
      </c>
      <c r="I23" s="39"/>
      <c r="J23" s="35">
        <f>E23+G23+H23</f>
        <v>3219.06</v>
      </c>
      <c r="K23" s="516" t="s">
        <v>267</v>
      </c>
      <c r="L23" s="516"/>
      <c r="M23" s="517" t="s">
        <v>254</v>
      </c>
      <c r="N23" s="516"/>
      <c r="O23" s="518"/>
    </row>
    <row r="24" spans="1:19" hidden="1">
      <c r="A24" s="36">
        <v>13</v>
      </c>
      <c r="B24" s="37" t="s">
        <v>268</v>
      </c>
      <c r="C24" s="37"/>
      <c r="D24" s="36" t="s">
        <v>253</v>
      </c>
      <c r="E24" s="41"/>
      <c r="F24" s="36"/>
      <c r="G24" s="39">
        <v>0</v>
      </c>
      <c r="H24" s="40">
        <v>35</v>
      </c>
      <c r="I24" s="39">
        <v>0</v>
      </c>
      <c r="J24" s="35"/>
      <c r="K24" s="516"/>
      <c r="L24" s="516"/>
      <c r="M24" s="517"/>
      <c r="N24" s="516"/>
      <c r="O24" s="518"/>
    </row>
    <row r="25" spans="1:19" hidden="1">
      <c r="A25" s="36">
        <v>14</v>
      </c>
      <c r="B25" s="37" t="s">
        <v>269</v>
      </c>
      <c r="C25" s="37"/>
      <c r="D25" s="36" t="s">
        <v>253</v>
      </c>
      <c r="E25" s="41"/>
      <c r="F25" s="36"/>
      <c r="G25" s="39">
        <v>0</v>
      </c>
      <c r="H25" s="40">
        <v>0</v>
      </c>
      <c r="I25" s="39">
        <v>0</v>
      </c>
      <c r="J25" s="35"/>
      <c r="K25" s="516"/>
      <c r="L25" s="516"/>
      <c r="M25" s="517"/>
      <c r="N25" s="516"/>
      <c r="O25" s="518"/>
      <c r="P25" s="42"/>
      <c r="S25" s="36"/>
    </row>
    <row r="26" spans="1:19" hidden="1">
      <c r="A26" s="28">
        <v>15</v>
      </c>
      <c r="B26" s="37" t="s">
        <v>270</v>
      </c>
      <c r="C26" s="37"/>
      <c r="D26" s="36" t="s">
        <v>253</v>
      </c>
      <c r="E26" s="41"/>
      <c r="F26" s="36"/>
      <c r="G26" s="39">
        <v>0</v>
      </c>
      <c r="H26" s="40">
        <v>35</v>
      </c>
      <c r="I26" s="39">
        <v>0</v>
      </c>
      <c r="J26" s="43"/>
      <c r="K26" s="516"/>
      <c r="L26" s="516"/>
      <c r="M26" s="517"/>
      <c r="N26" s="516"/>
      <c r="O26" s="518"/>
      <c r="P26" s="42"/>
      <c r="S26" s="36"/>
    </row>
    <row r="27" spans="1:19" hidden="1">
      <c r="A27" s="24">
        <v>16</v>
      </c>
      <c r="B27" s="44" t="s">
        <v>271</v>
      </c>
      <c r="C27" s="31"/>
      <c r="D27" s="45" t="s">
        <v>272</v>
      </c>
      <c r="E27" s="46"/>
      <c r="F27" s="45"/>
      <c r="G27" s="47"/>
      <c r="H27" s="47"/>
      <c r="I27" s="47"/>
      <c r="J27" s="35"/>
      <c r="K27" s="519"/>
      <c r="L27" s="520"/>
      <c r="M27" s="519"/>
      <c r="N27" s="520"/>
      <c r="O27" s="521"/>
      <c r="P27" s="42"/>
    </row>
    <row r="28" spans="1:19" hidden="1">
      <c r="A28" s="36">
        <v>17</v>
      </c>
      <c r="B28" s="48" t="s">
        <v>273</v>
      </c>
      <c r="C28" s="37"/>
      <c r="D28" s="49" t="s">
        <v>272</v>
      </c>
      <c r="E28" s="50"/>
      <c r="F28" s="49"/>
      <c r="G28" s="51"/>
      <c r="H28" s="51"/>
      <c r="I28" s="51"/>
      <c r="J28" s="35"/>
      <c r="K28" s="517"/>
      <c r="L28" s="518"/>
      <c r="M28" s="517"/>
      <c r="N28" s="516"/>
      <c r="O28" s="518"/>
      <c r="P28" s="42"/>
    </row>
    <row r="29" spans="1:19">
      <c r="A29" s="36">
        <v>13</v>
      </c>
      <c r="B29" s="37" t="s">
        <v>274</v>
      </c>
      <c r="C29" s="37"/>
      <c r="D29" s="36" t="s">
        <v>272</v>
      </c>
      <c r="E29" s="41">
        <v>605.61</v>
      </c>
      <c r="F29" s="36">
        <v>25</v>
      </c>
      <c r="G29" s="41">
        <v>53.5</v>
      </c>
      <c r="H29" s="40"/>
      <c r="I29" s="39"/>
      <c r="J29" s="35">
        <f>E29+G29+H29</f>
        <v>659.11</v>
      </c>
      <c r="K29" s="516" t="s">
        <v>267</v>
      </c>
      <c r="L29" s="516"/>
      <c r="M29" s="517" t="s">
        <v>254</v>
      </c>
      <c r="N29" s="516"/>
      <c r="O29" s="518"/>
    </row>
    <row r="30" spans="1:19">
      <c r="A30" s="36">
        <v>14</v>
      </c>
      <c r="B30" s="37" t="s">
        <v>275</v>
      </c>
      <c r="C30" s="37"/>
      <c r="D30" s="36" t="s">
        <v>272</v>
      </c>
      <c r="E30" s="41">
        <v>210.28</v>
      </c>
      <c r="F30" s="36">
        <v>25</v>
      </c>
      <c r="G30" s="41">
        <v>53.5</v>
      </c>
      <c r="H30" s="40"/>
      <c r="I30" s="39"/>
      <c r="J30" s="35">
        <f>E30+G30+H30</f>
        <v>263.77999999999997</v>
      </c>
      <c r="K30" s="516" t="s">
        <v>267</v>
      </c>
      <c r="L30" s="516"/>
      <c r="M30" s="517" t="s">
        <v>254</v>
      </c>
      <c r="N30" s="516"/>
      <c r="O30" s="518"/>
    </row>
    <row r="31" spans="1:19">
      <c r="A31" s="36">
        <v>15</v>
      </c>
      <c r="B31" s="37" t="s">
        <v>105</v>
      </c>
      <c r="C31" s="37"/>
      <c r="D31" s="36" t="s">
        <v>272</v>
      </c>
      <c r="E31" s="41">
        <v>280.38</v>
      </c>
      <c r="F31" s="36">
        <v>25</v>
      </c>
      <c r="G31" s="41">
        <v>53.5</v>
      </c>
      <c r="H31" s="40"/>
      <c r="I31" s="39"/>
      <c r="J31" s="35">
        <f>E31+G31+H31</f>
        <v>333.88</v>
      </c>
      <c r="K31" s="516" t="s">
        <v>267</v>
      </c>
      <c r="L31" s="516"/>
      <c r="M31" s="517" t="s">
        <v>254</v>
      </c>
      <c r="N31" s="516"/>
      <c r="O31" s="518"/>
    </row>
    <row r="32" spans="1:19">
      <c r="A32" s="36">
        <v>16</v>
      </c>
      <c r="B32" s="37" t="s">
        <v>463</v>
      </c>
      <c r="C32" s="37"/>
      <c r="D32" s="36" t="s">
        <v>119</v>
      </c>
      <c r="E32" s="41">
        <v>700.93</v>
      </c>
      <c r="F32" s="36"/>
      <c r="G32" s="39"/>
      <c r="H32" s="40"/>
      <c r="I32" s="39"/>
      <c r="J32" s="35">
        <f>E32</f>
        <v>700.93</v>
      </c>
      <c r="K32" s="516"/>
      <c r="L32" s="516"/>
      <c r="M32" s="517" t="s">
        <v>254</v>
      </c>
      <c r="N32" s="516"/>
      <c r="O32" s="518"/>
    </row>
    <row r="33" spans="1:15" hidden="1">
      <c r="A33" s="36">
        <v>22</v>
      </c>
      <c r="B33" s="37" t="s">
        <v>276</v>
      </c>
      <c r="C33" s="37"/>
      <c r="D33" s="36" t="s">
        <v>272</v>
      </c>
      <c r="E33" s="41"/>
      <c r="F33" s="36"/>
      <c r="G33" s="39"/>
      <c r="H33" s="40"/>
      <c r="I33" s="39"/>
      <c r="J33" s="35"/>
      <c r="K33" s="516"/>
      <c r="L33" s="516"/>
      <c r="M33" s="517"/>
      <c r="N33" s="516"/>
      <c r="O33" s="518"/>
    </row>
    <row r="34" spans="1:15">
      <c r="A34" s="28"/>
      <c r="B34" s="52"/>
      <c r="C34" s="52"/>
      <c r="D34" s="28"/>
      <c r="E34" s="53"/>
      <c r="F34" s="28"/>
      <c r="G34" s="54"/>
      <c r="H34" s="55"/>
      <c r="I34" s="54"/>
      <c r="J34" s="43"/>
      <c r="K34" s="515"/>
      <c r="L34" s="515"/>
      <c r="M34" s="513"/>
      <c r="N34" s="515"/>
      <c r="O34" s="514"/>
    </row>
    <row r="35" spans="1:15" hidden="1">
      <c r="A35" s="36">
        <v>24</v>
      </c>
      <c r="B35" s="37" t="s">
        <v>277</v>
      </c>
      <c r="C35" s="37"/>
      <c r="D35" s="36" t="s">
        <v>272</v>
      </c>
      <c r="E35" s="41"/>
      <c r="F35" s="36"/>
      <c r="G35" s="39"/>
      <c r="H35" s="40"/>
      <c r="I35" s="39"/>
      <c r="J35" s="35"/>
      <c r="K35" s="516"/>
      <c r="L35" s="516"/>
      <c r="M35" s="517"/>
      <c r="N35" s="516"/>
      <c r="O35" s="518"/>
    </row>
    <row r="36" spans="1:15" hidden="1">
      <c r="A36" s="36">
        <v>25</v>
      </c>
      <c r="B36" s="37" t="s">
        <v>278</v>
      </c>
      <c r="C36" s="37"/>
      <c r="D36" s="36" t="s">
        <v>119</v>
      </c>
      <c r="E36" s="41"/>
      <c r="F36" s="36"/>
      <c r="G36" s="39"/>
      <c r="H36" s="40"/>
      <c r="I36" s="39"/>
      <c r="J36" s="35"/>
      <c r="K36" s="516"/>
      <c r="L36" s="516"/>
      <c r="M36" s="517"/>
      <c r="N36" s="516"/>
      <c r="O36" s="518"/>
    </row>
    <row r="37" spans="1:15" hidden="1">
      <c r="A37" s="36">
        <v>26</v>
      </c>
      <c r="B37" s="37" t="s">
        <v>279</v>
      </c>
      <c r="C37" s="37"/>
      <c r="D37" s="36" t="s">
        <v>119</v>
      </c>
      <c r="E37" s="41"/>
      <c r="F37" s="36"/>
      <c r="G37" s="39"/>
      <c r="H37" s="40"/>
      <c r="I37" s="39"/>
      <c r="J37" s="35"/>
      <c r="K37" s="516"/>
      <c r="L37" s="516"/>
      <c r="M37" s="517"/>
      <c r="N37" s="516"/>
      <c r="O37" s="518"/>
    </row>
    <row r="38" spans="1:15" hidden="1">
      <c r="A38" s="36">
        <v>27</v>
      </c>
      <c r="B38" s="37" t="s">
        <v>280</v>
      </c>
      <c r="C38" s="37"/>
      <c r="D38" s="36" t="s">
        <v>119</v>
      </c>
      <c r="E38" s="41"/>
      <c r="F38" s="36"/>
      <c r="G38" s="39"/>
      <c r="H38" s="40"/>
      <c r="I38" s="39"/>
      <c r="J38" s="35"/>
      <c r="K38" s="516"/>
      <c r="L38" s="516"/>
      <c r="M38" s="517"/>
      <c r="N38" s="516"/>
      <c r="O38" s="518"/>
    </row>
    <row r="39" spans="1:15" hidden="1">
      <c r="A39" s="36">
        <v>28</v>
      </c>
      <c r="B39" s="37" t="s">
        <v>281</v>
      </c>
      <c r="C39" s="37"/>
      <c r="D39" s="36" t="s">
        <v>119</v>
      </c>
      <c r="E39" s="41"/>
      <c r="F39" s="36"/>
      <c r="G39" s="39"/>
      <c r="H39" s="40"/>
      <c r="I39" s="39"/>
      <c r="J39" s="35"/>
      <c r="K39" s="516"/>
      <c r="L39" s="516"/>
      <c r="M39" s="517"/>
      <c r="N39" s="516"/>
      <c r="O39" s="518"/>
    </row>
    <row r="40" spans="1:15" hidden="1">
      <c r="A40" s="36">
        <v>29</v>
      </c>
      <c r="B40" s="37" t="s">
        <v>282</v>
      </c>
      <c r="C40" s="37"/>
      <c r="D40" s="36" t="s">
        <v>119</v>
      </c>
      <c r="E40" s="41"/>
      <c r="F40" s="36"/>
      <c r="G40" s="39"/>
      <c r="H40" s="40"/>
      <c r="I40" s="39"/>
      <c r="J40" s="35"/>
      <c r="K40" s="516"/>
      <c r="L40" s="516"/>
      <c r="M40" s="517"/>
      <c r="N40" s="516"/>
      <c r="O40" s="518"/>
    </row>
    <row r="41" spans="1:15" hidden="1">
      <c r="A41" s="36">
        <v>30</v>
      </c>
      <c r="B41" s="48" t="s">
        <v>283</v>
      </c>
      <c r="C41" s="37"/>
      <c r="D41" s="36" t="s">
        <v>284</v>
      </c>
      <c r="E41" s="41"/>
      <c r="F41" s="36"/>
      <c r="G41" s="39"/>
      <c r="H41" s="40"/>
      <c r="I41" s="39"/>
      <c r="J41" s="35"/>
      <c r="K41" s="516"/>
      <c r="L41" s="516"/>
      <c r="M41" s="517"/>
      <c r="N41" s="516"/>
      <c r="O41" s="518"/>
    </row>
    <row r="42" spans="1:15" hidden="1">
      <c r="A42" s="36">
        <v>31</v>
      </c>
      <c r="B42" s="48" t="s">
        <v>285</v>
      </c>
      <c r="C42" s="37"/>
      <c r="D42" s="36" t="s">
        <v>286</v>
      </c>
      <c r="E42" s="41"/>
      <c r="F42" s="36"/>
      <c r="G42" s="39"/>
      <c r="H42" s="40"/>
      <c r="I42" s="39"/>
      <c r="J42" s="35"/>
      <c r="K42" s="516"/>
      <c r="L42" s="516"/>
      <c r="M42" s="517"/>
      <c r="N42" s="516"/>
      <c r="O42" s="518"/>
    </row>
    <row r="43" spans="1:15" hidden="1">
      <c r="A43" s="36">
        <v>32</v>
      </c>
      <c r="B43" s="37" t="s">
        <v>287</v>
      </c>
      <c r="C43" s="37"/>
      <c r="D43" s="36" t="s">
        <v>284</v>
      </c>
      <c r="E43" s="41"/>
      <c r="F43" s="36"/>
      <c r="G43" s="39"/>
      <c r="H43" s="40"/>
      <c r="I43" s="39"/>
      <c r="J43" s="35"/>
      <c r="K43" s="516"/>
      <c r="L43" s="516"/>
      <c r="M43" s="517"/>
      <c r="N43" s="516"/>
      <c r="O43" s="518"/>
    </row>
    <row r="44" spans="1:15" hidden="1">
      <c r="A44" s="36">
        <v>33</v>
      </c>
      <c r="B44" s="37" t="s">
        <v>288</v>
      </c>
      <c r="C44" s="37"/>
      <c r="D44" s="36" t="s">
        <v>289</v>
      </c>
      <c r="E44" s="41"/>
      <c r="F44" s="36"/>
      <c r="G44" s="39"/>
      <c r="H44" s="40"/>
      <c r="I44" s="39"/>
      <c r="J44" s="35"/>
      <c r="K44" s="516"/>
      <c r="L44" s="516"/>
      <c r="M44" s="517"/>
      <c r="N44" s="516"/>
      <c r="O44" s="518"/>
    </row>
    <row r="45" spans="1:15" hidden="1">
      <c r="A45" s="36">
        <v>34</v>
      </c>
      <c r="B45" s="37" t="s">
        <v>290</v>
      </c>
      <c r="C45" s="37"/>
      <c r="D45" s="36" t="s">
        <v>289</v>
      </c>
      <c r="E45" s="41"/>
      <c r="F45" s="36"/>
      <c r="G45" s="39"/>
      <c r="H45" s="40"/>
      <c r="I45" s="39"/>
      <c r="J45" s="35"/>
      <c r="K45" s="516"/>
      <c r="L45" s="516"/>
      <c r="M45" s="517"/>
      <c r="N45" s="516"/>
      <c r="O45" s="518"/>
    </row>
    <row r="46" spans="1:15" hidden="1">
      <c r="A46" s="36">
        <v>35</v>
      </c>
      <c r="B46" s="37" t="s">
        <v>291</v>
      </c>
      <c r="C46" s="37"/>
      <c r="D46" s="36" t="s">
        <v>119</v>
      </c>
      <c r="E46" s="41"/>
      <c r="F46" s="36"/>
      <c r="G46" s="39"/>
      <c r="H46" s="40"/>
      <c r="I46" s="39"/>
      <c r="J46" s="35"/>
      <c r="K46" s="516"/>
      <c r="L46" s="516"/>
      <c r="M46" s="517"/>
      <c r="N46" s="516"/>
      <c r="O46" s="518"/>
    </row>
    <row r="47" spans="1:15" hidden="1">
      <c r="A47" s="36">
        <v>36</v>
      </c>
      <c r="B47" s="37" t="s">
        <v>292</v>
      </c>
      <c r="C47" s="37"/>
      <c r="D47" s="36" t="s">
        <v>119</v>
      </c>
      <c r="E47" s="41"/>
      <c r="F47" s="36"/>
      <c r="G47" s="39"/>
      <c r="H47" s="40"/>
      <c r="I47" s="39"/>
      <c r="J47" s="35"/>
      <c r="K47" s="516"/>
      <c r="L47" s="516"/>
      <c r="M47" s="517"/>
      <c r="N47" s="516"/>
      <c r="O47" s="518"/>
    </row>
    <row r="48" spans="1:15" hidden="1">
      <c r="A48" s="36">
        <v>37</v>
      </c>
      <c r="B48" s="37" t="s">
        <v>293</v>
      </c>
      <c r="C48" s="37"/>
      <c r="D48" s="36" t="s">
        <v>119</v>
      </c>
      <c r="E48" s="41"/>
      <c r="F48" s="36"/>
      <c r="G48" s="39"/>
      <c r="H48" s="40"/>
      <c r="I48" s="39"/>
      <c r="J48" s="35"/>
      <c r="K48" s="516"/>
      <c r="L48" s="516"/>
      <c r="M48" s="517"/>
      <c r="N48" s="516"/>
      <c r="O48" s="518"/>
    </row>
    <row r="49" spans="1:16" hidden="1">
      <c r="A49" s="36">
        <v>38</v>
      </c>
      <c r="B49" s="37" t="s">
        <v>294</v>
      </c>
      <c r="C49" s="37"/>
      <c r="D49" s="36" t="s">
        <v>79</v>
      </c>
      <c r="E49" s="41"/>
      <c r="F49" s="36"/>
      <c r="G49" s="39"/>
      <c r="H49" s="40"/>
      <c r="I49" s="39"/>
      <c r="J49" s="35"/>
      <c r="K49" s="516"/>
      <c r="L49" s="516"/>
      <c r="M49" s="517"/>
      <c r="N49" s="516"/>
      <c r="O49" s="518"/>
    </row>
    <row r="50" spans="1:16" hidden="1">
      <c r="A50" s="36">
        <v>39</v>
      </c>
      <c r="B50" s="37" t="s">
        <v>295</v>
      </c>
      <c r="C50" s="37"/>
      <c r="D50" s="36" t="s">
        <v>119</v>
      </c>
      <c r="E50" s="41"/>
      <c r="F50" s="36"/>
      <c r="G50" s="39"/>
      <c r="H50" s="40"/>
      <c r="I50" s="39"/>
      <c r="J50" s="35"/>
      <c r="K50" s="516"/>
      <c r="L50" s="516"/>
      <c r="M50" s="517"/>
      <c r="N50" s="516"/>
      <c r="O50" s="518"/>
    </row>
    <row r="51" spans="1:16" hidden="1">
      <c r="A51" s="36">
        <v>40</v>
      </c>
      <c r="B51" s="37" t="s">
        <v>296</v>
      </c>
      <c r="C51" s="37"/>
      <c r="D51" s="36" t="s">
        <v>272</v>
      </c>
      <c r="E51" s="41"/>
      <c r="F51" s="36"/>
      <c r="G51" s="39"/>
      <c r="H51" s="40"/>
      <c r="I51" s="39"/>
      <c r="J51" s="35"/>
      <c r="K51" s="516"/>
      <c r="L51" s="516"/>
      <c r="M51" s="517"/>
      <c r="N51" s="516"/>
      <c r="O51" s="518"/>
    </row>
    <row r="52" spans="1:16" hidden="1">
      <c r="A52" s="36">
        <v>41</v>
      </c>
      <c r="B52" s="37" t="s">
        <v>297</v>
      </c>
      <c r="C52" s="37"/>
      <c r="D52" s="36" t="s">
        <v>272</v>
      </c>
      <c r="E52" s="41"/>
      <c r="F52" s="36"/>
      <c r="G52" s="39"/>
      <c r="H52" s="40"/>
      <c r="I52" s="39"/>
      <c r="J52" s="35"/>
      <c r="K52" s="516"/>
      <c r="L52" s="516"/>
      <c r="M52" s="517"/>
      <c r="N52" s="516"/>
      <c r="O52" s="518"/>
    </row>
    <row r="53" spans="1:16" hidden="1">
      <c r="A53" s="36">
        <v>42</v>
      </c>
      <c r="B53" s="37" t="s">
        <v>298</v>
      </c>
      <c r="C53" s="37"/>
      <c r="D53" s="36" t="s">
        <v>71</v>
      </c>
      <c r="E53" s="41"/>
      <c r="F53" s="36"/>
      <c r="G53" s="39"/>
      <c r="H53" s="40"/>
      <c r="I53" s="39"/>
      <c r="J53" s="35"/>
      <c r="K53" s="516"/>
      <c r="L53" s="516"/>
      <c r="M53" s="49"/>
      <c r="N53" s="56"/>
      <c r="O53" s="57"/>
    </row>
    <row r="54" spans="1:16" hidden="1">
      <c r="A54" s="36">
        <v>42</v>
      </c>
      <c r="B54" s="52" t="s">
        <v>299</v>
      </c>
      <c r="C54" s="52"/>
      <c r="D54" s="28" t="s">
        <v>300</v>
      </c>
      <c r="E54" s="53"/>
      <c r="F54" s="28"/>
      <c r="G54" s="54"/>
      <c r="H54" s="55"/>
      <c r="I54" s="54"/>
      <c r="J54" s="43"/>
      <c r="K54" s="513"/>
      <c r="L54" s="514"/>
      <c r="M54" s="513"/>
      <c r="N54" s="515"/>
      <c r="O54" s="514"/>
      <c r="P54" s="42"/>
    </row>
    <row r="55" spans="1:16">
      <c r="A55" s="56"/>
      <c r="B55" s="37"/>
      <c r="C55" s="37"/>
      <c r="D55" s="56"/>
      <c r="E55" s="41"/>
      <c r="F55" s="56"/>
      <c r="G55" s="39"/>
      <c r="H55" s="39"/>
      <c r="I55" s="39"/>
      <c r="J55" s="41"/>
      <c r="K55" s="56"/>
      <c r="L55" s="56"/>
      <c r="M55" s="56"/>
      <c r="N55" s="56"/>
      <c r="O55" s="56"/>
      <c r="P55" s="58"/>
    </row>
    <row r="56" spans="1:16">
      <c r="B56" s="59"/>
      <c r="C56" s="59"/>
      <c r="E56" s="60"/>
      <c r="F56" s="19"/>
      <c r="G56" s="61"/>
      <c r="H56" s="61"/>
      <c r="I56" s="61"/>
      <c r="J56" s="60"/>
      <c r="K56" s="59"/>
      <c r="L56" s="59"/>
      <c r="M56" s="19"/>
      <c r="N56" s="19"/>
      <c r="O56" s="19"/>
    </row>
  </sheetData>
  <mergeCells count="92">
    <mergeCell ref="A1:O1"/>
    <mergeCell ref="A10:A11"/>
    <mergeCell ref="B10:C11"/>
    <mergeCell ref="D10:D11"/>
    <mergeCell ref="K10:L11"/>
    <mergeCell ref="M10:O10"/>
    <mergeCell ref="M11:O11"/>
    <mergeCell ref="K12:L12"/>
    <mergeCell ref="M12:O12"/>
    <mergeCell ref="K13:L13"/>
    <mergeCell ref="M13:O13"/>
    <mergeCell ref="K14:L14"/>
    <mergeCell ref="M14:O14"/>
    <mergeCell ref="K15:L15"/>
    <mergeCell ref="M15:O15"/>
    <mergeCell ref="K16:L16"/>
    <mergeCell ref="M16:O16"/>
    <mergeCell ref="K17:L17"/>
    <mergeCell ref="M17:O17"/>
    <mergeCell ref="K18:L18"/>
    <mergeCell ref="M18:O18"/>
    <mergeCell ref="K19:L19"/>
    <mergeCell ref="M19:O19"/>
    <mergeCell ref="K20:L20"/>
    <mergeCell ref="M20:O20"/>
    <mergeCell ref="K21:L21"/>
    <mergeCell ref="M21:O21"/>
    <mergeCell ref="K22:L22"/>
    <mergeCell ref="M22:O22"/>
    <mergeCell ref="K23:L23"/>
    <mergeCell ref="M23:O23"/>
    <mergeCell ref="K24:L24"/>
    <mergeCell ref="M24:O24"/>
    <mergeCell ref="K25:L25"/>
    <mergeCell ref="M25:O25"/>
    <mergeCell ref="K26:L26"/>
    <mergeCell ref="M26:O26"/>
    <mergeCell ref="K27:L27"/>
    <mergeCell ref="M27:O27"/>
    <mergeCell ref="K28:L28"/>
    <mergeCell ref="M28:O28"/>
    <mergeCell ref="K29:L29"/>
    <mergeCell ref="M29:O29"/>
    <mergeCell ref="K30:L30"/>
    <mergeCell ref="M30:O30"/>
    <mergeCell ref="K31:L31"/>
    <mergeCell ref="M31:O31"/>
    <mergeCell ref="K32:L32"/>
    <mergeCell ref="M32:O32"/>
    <mergeCell ref="K33:L33"/>
    <mergeCell ref="M33:O33"/>
    <mergeCell ref="K34:L34"/>
    <mergeCell ref="M34:O34"/>
    <mergeCell ref="K35:L35"/>
    <mergeCell ref="M35:O35"/>
    <mergeCell ref="K36:L36"/>
    <mergeCell ref="M36:O36"/>
    <mergeCell ref="K37:L37"/>
    <mergeCell ref="M37:O37"/>
    <mergeCell ref="K38:L38"/>
    <mergeCell ref="M38:O38"/>
    <mergeCell ref="K39:L39"/>
    <mergeCell ref="M39:O39"/>
    <mergeCell ref="K40:L40"/>
    <mergeCell ref="M40:O40"/>
    <mergeCell ref="K41:L41"/>
    <mergeCell ref="M41:O41"/>
    <mergeCell ref="K42:L42"/>
    <mergeCell ref="M42:O42"/>
    <mergeCell ref="K43:L43"/>
    <mergeCell ref="M43:O43"/>
    <mergeCell ref="K44:L44"/>
    <mergeCell ref="M44:O44"/>
    <mergeCell ref="K45:L45"/>
    <mergeCell ref="M45:O45"/>
    <mergeCell ref="K46:L46"/>
    <mergeCell ref="M46:O46"/>
    <mergeCell ref="K47:L47"/>
    <mergeCell ref="M47:O47"/>
    <mergeCell ref="K54:L54"/>
    <mergeCell ref="M54:O54"/>
    <mergeCell ref="K48:L48"/>
    <mergeCell ref="M48:O48"/>
    <mergeCell ref="K49:L49"/>
    <mergeCell ref="M49:O49"/>
    <mergeCell ref="K50:L50"/>
    <mergeCell ref="M50:O50"/>
    <mergeCell ref="K51:L51"/>
    <mergeCell ref="M51:O51"/>
    <mergeCell ref="K52:L52"/>
    <mergeCell ref="M52:O52"/>
    <mergeCell ref="K53:L53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view="pageBreakPreview" topLeftCell="A11" zoomScaleNormal="100" zoomScaleSheetLayoutView="100" workbookViewId="0">
      <selection activeCell="L16" sqref="L16"/>
    </sheetView>
  </sheetViews>
  <sheetFormatPr defaultRowHeight="18"/>
  <cols>
    <col min="1" max="16384" width="9" style="5"/>
  </cols>
  <sheetData>
    <row r="1" spans="1:10">
      <c r="A1" s="527" t="s">
        <v>81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>
      <c r="A2" s="212" t="s">
        <v>352</v>
      </c>
      <c r="B2" s="213"/>
      <c r="C2" s="214"/>
      <c r="D2" s="214"/>
      <c r="E2" s="215"/>
      <c r="F2" s="214"/>
      <c r="G2" s="216"/>
      <c r="H2" s="215"/>
      <c r="I2" s="217"/>
      <c r="J2" s="218"/>
    </row>
    <row r="3" spans="1:10">
      <c r="A3" s="219" t="s">
        <v>57</v>
      </c>
      <c r="B3" s="220"/>
      <c r="C3" s="214"/>
      <c r="D3" s="216">
        <v>1</v>
      </c>
      <c r="E3" s="221" t="s">
        <v>49</v>
      </c>
      <c r="F3" s="215"/>
      <c r="G3" s="221"/>
      <c r="H3" s="222"/>
      <c r="I3" s="223"/>
      <c r="J3" s="222"/>
    </row>
    <row r="4" spans="1:10">
      <c r="A4" s="219" t="s">
        <v>302</v>
      </c>
      <c r="B4" s="224"/>
      <c r="C4" s="225"/>
      <c r="D4" s="226">
        <v>1</v>
      </c>
      <c r="E4" s="221" t="s">
        <v>303</v>
      </c>
      <c r="F4" s="227">
        <v>747.66</v>
      </c>
      <c r="G4" s="221" t="s">
        <v>16</v>
      </c>
      <c r="H4" s="214" t="s">
        <v>23</v>
      </c>
      <c r="I4" s="216">
        <f>ROUND(F4*D4,2)</f>
        <v>747.66</v>
      </c>
      <c r="J4" s="217" t="s">
        <v>62</v>
      </c>
    </row>
    <row r="5" spans="1:10">
      <c r="A5" s="219" t="s">
        <v>304</v>
      </c>
      <c r="B5" s="220"/>
      <c r="C5" s="225"/>
      <c r="D5" s="226">
        <v>0.3</v>
      </c>
      <c r="E5" s="221" t="s">
        <v>303</v>
      </c>
      <c r="F5" s="227">
        <v>612.15</v>
      </c>
      <c r="G5" s="221" t="s">
        <v>16</v>
      </c>
      <c r="H5" s="214" t="s">
        <v>23</v>
      </c>
      <c r="I5" s="216">
        <f>ROUND(F5*D5,2)</f>
        <v>183.65</v>
      </c>
      <c r="J5" s="217" t="s">
        <v>62</v>
      </c>
    </row>
    <row r="6" spans="1:10">
      <c r="A6" s="224" t="s">
        <v>305</v>
      </c>
      <c r="B6" s="220"/>
      <c r="C6" s="225"/>
      <c r="D6" s="226">
        <v>0.3</v>
      </c>
      <c r="E6" s="221" t="s">
        <v>306</v>
      </c>
      <c r="F6" s="228">
        <v>30</v>
      </c>
      <c r="G6" s="221" t="s">
        <v>16</v>
      </c>
      <c r="H6" s="214" t="s">
        <v>23</v>
      </c>
      <c r="I6" s="216">
        <f>ROUND(F6*D6,2)</f>
        <v>9</v>
      </c>
      <c r="J6" s="217" t="s">
        <v>62</v>
      </c>
    </row>
    <row r="7" spans="1:10">
      <c r="A7" s="224" t="s">
        <v>307</v>
      </c>
      <c r="B7" s="220"/>
      <c r="C7" s="225"/>
      <c r="D7" s="226">
        <v>0.25</v>
      </c>
      <c r="E7" s="221" t="s">
        <v>308</v>
      </c>
      <c r="F7" s="227">
        <v>56.07</v>
      </c>
      <c r="G7" s="221" t="s">
        <v>16</v>
      </c>
      <c r="H7" s="214" t="s">
        <v>23</v>
      </c>
      <c r="I7" s="216">
        <f>ROUND(F7*D7,2)</f>
        <v>14.02</v>
      </c>
      <c r="J7" s="217" t="s">
        <v>62</v>
      </c>
    </row>
    <row r="8" spans="1:10">
      <c r="A8" s="224"/>
      <c r="B8" s="220"/>
      <c r="C8" s="225"/>
      <c r="D8" s="226"/>
      <c r="E8" s="221"/>
      <c r="F8" s="228" t="s">
        <v>33</v>
      </c>
      <c r="G8" s="221"/>
      <c r="H8" s="214" t="s">
        <v>23</v>
      </c>
      <c r="I8" s="216">
        <f>I4+I5+I6+I7</f>
        <v>954.32999999999993</v>
      </c>
      <c r="J8" s="217" t="s">
        <v>62</v>
      </c>
    </row>
    <row r="9" spans="1:10">
      <c r="A9" s="224" t="s">
        <v>309</v>
      </c>
      <c r="B9" s="220"/>
      <c r="C9" s="225"/>
      <c r="D9" s="226"/>
      <c r="E9" s="221">
        <f>I8</f>
        <v>954.32999999999993</v>
      </c>
      <c r="F9" s="228" t="s">
        <v>53</v>
      </c>
      <c r="G9" s="221">
        <v>4</v>
      </c>
      <c r="H9" s="214" t="s">
        <v>23</v>
      </c>
      <c r="I9" s="216">
        <f>E9/G9</f>
        <v>238.58249999999998</v>
      </c>
      <c r="J9" s="217" t="s">
        <v>62</v>
      </c>
    </row>
    <row r="10" spans="1:10">
      <c r="A10" s="224" t="s">
        <v>310</v>
      </c>
      <c r="B10" s="220"/>
      <c r="C10" s="225"/>
      <c r="D10" s="226"/>
      <c r="E10" s="221"/>
      <c r="F10" s="228"/>
      <c r="G10" s="221"/>
      <c r="H10" s="214" t="s">
        <v>23</v>
      </c>
      <c r="I10" s="216">
        <v>133</v>
      </c>
      <c r="J10" s="217" t="s">
        <v>62</v>
      </c>
    </row>
    <row r="11" spans="1:10">
      <c r="A11" s="224" t="s">
        <v>311</v>
      </c>
      <c r="B11" s="220"/>
      <c r="C11" s="225"/>
      <c r="D11" s="226"/>
      <c r="E11" s="221"/>
      <c r="F11" s="228"/>
      <c r="G11" s="221"/>
      <c r="H11" s="214" t="s">
        <v>23</v>
      </c>
      <c r="I11" s="216">
        <v>0</v>
      </c>
      <c r="J11" s="217" t="s">
        <v>62</v>
      </c>
    </row>
    <row r="12" spans="1:10">
      <c r="A12" s="213"/>
      <c r="B12" s="229"/>
      <c r="C12" s="213"/>
      <c r="D12" s="213"/>
      <c r="E12" s="213"/>
      <c r="F12" s="213"/>
      <c r="G12" s="225" t="s">
        <v>33</v>
      </c>
      <c r="H12" s="214" t="s">
        <v>23</v>
      </c>
      <c r="I12" s="216">
        <f>ROUNDDOWN(SUM(I9:I11),2)</f>
        <v>371.58</v>
      </c>
      <c r="J12" s="217" t="s">
        <v>62</v>
      </c>
    </row>
    <row r="14" spans="1:10">
      <c r="A14" s="212" t="s">
        <v>353</v>
      </c>
      <c r="B14" s="213"/>
      <c r="C14" s="214"/>
      <c r="D14" s="214"/>
      <c r="E14" s="215"/>
      <c r="F14" s="214"/>
      <c r="G14" s="216"/>
      <c r="H14" s="215"/>
      <c r="I14" s="217"/>
      <c r="J14" s="218"/>
    </row>
    <row r="15" spans="1:10">
      <c r="A15" s="219" t="s">
        <v>57</v>
      </c>
      <c r="B15" s="220"/>
      <c r="C15" s="214"/>
      <c r="D15" s="216">
        <v>1</v>
      </c>
      <c r="E15" s="221" t="s">
        <v>49</v>
      </c>
      <c r="F15" s="215"/>
      <c r="G15" s="221"/>
      <c r="H15" s="222"/>
      <c r="I15" s="223"/>
      <c r="J15" s="222"/>
    </row>
    <row r="16" spans="1:10">
      <c r="A16" s="219" t="s">
        <v>302</v>
      </c>
      <c r="B16" s="224"/>
      <c r="C16" s="225"/>
      <c r="D16" s="226">
        <v>1</v>
      </c>
      <c r="E16" s="221" t="s">
        <v>303</v>
      </c>
      <c r="F16" s="228">
        <f>F4</f>
        <v>747.66</v>
      </c>
      <c r="G16" s="221" t="s">
        <v>16</v>
      </c>
      <c r="H16" s="214" t="s">
        <v>23</v>
      </c>
      <c r="I16" s="216">
        <f>ROUND(F16*D16,2)</f>
        <v>747.66</v>
      </c>
      <c r="J16" s="217" t="s">
        <v>62</v>
      </c>
    </row>
    <row r="17" spans="1:10">
      <c r="A17" s="219" t="s">
        <v>304</v>
      </c>
      <c r="B17" s="220"/>
      <c r="C17" s="225"/>
      <c r="D17" s="226">
        <v>0.3</v>
      </c>
      <c r="E17" s="221" t="s">
        <v>303</v>
      </c>
      <c r="F17" s="228">
        <f>F5</f>
        <v>612.15</v>
      </c>
      <c r="G17" s="221" t="s">
        <v>16</v>
      </c>
      <c r="H17" s="214" t="s">
        <v>23</v>
      </c>
      <c r="I17" s="216">
        <f>ROUND(F17*D17,2)</f>
        <v>183.65</v>
      </c>
      <c r="J17" s="217" t="s">
        <v>62</v>
      </c>
    </row>
    <row r="18" spans="1:10">
      <c r="A18" s="224" t="s">
        <v>305</v>
      </c>
      <c r="B18" s="220"/>
      <c r="C18" s="225"/>
      <c r="D18" s="226">
        <v>0.3</v>
      </c>
      <c r="E18" s="221" t="s">
        <v>306</v>
      </c>
      <c r="F18" s="228">
        <f>F6</f>
        <v>30</v>
      </c>
      <c r="G18" s="221" t="s">
        <v>16</v>
      </c>
      <c r="H18" s="214" t="s">
        <v>23</v>
      </c>
      <c r="I18" s="216">
        <f>ROUND(F18*D18,2)</f>
        <v>9</v>
      </c>
      <c r="J18" s="217" t="s">
        <v>62</v>
      </c>
    </row>
    <row r="19" spans="1:10">
      <c r="A19" s="224" t="s">
        <v>307</v>
      </c>
      <c r="B19" s="220"/>
      <c r="C19" s="225"/>
      <c r="D19" s="226">
        <v>0.25</v>
      </c>
      <c r="E19" s="221" t="s">
        <v>308</v>
      </c>
      <c r="F19" s="228">
        <f>F7</f>
        <v>56.07</v>
      </c>
      <c r="G19" s="221" t="s">
        <v>16</v>
      </c>
      <c r="H19" s="214" t="s">
        <v>23</v>
      </c>
      <c r="I19" s="216">
        <f>ROUND(F19*D19,2)</f>
        <v>14.02</v>
      </c>
      <c r="J19" s="217" t="s">
        <v>62</v>
      </c>
    </row>
    <row r="20" spans="1:10">
      <c r="A20" s="224"/>
      <c r="B20" s="220"/>
      <c r="C20" s="225"/>
      <c r="D20" s="226"/>
      <c r="E20" s="221"/>
      <c r="F20" s="228" t="s">
        <v>33</v>
      </c>
      <c r="G20" s="221"/>
      <c r="H20" s="214" t="s">
        <v>23</v>
      </c>
      <c r="I20" s="216">
        <f>I16+I17+I18+I19</f>
        <v>954.32999999999993</v>
      </c>
      <c r="J20" s="217" t="s">
        <v>62</v>
      </c>
    </row>
    <row r="21" spans="1:10">
      <c r="A21" s="224" t="s">
        <v>312</v>
      </c>
      <c r="B21" s="220"/>
      <c r="C21" s="225"/>
      <c r="D21" s="226"/>
      <c r="E21" s="221">
        <f>I20</f>
        <v>954.32999999999993</v>
      </c>
      <c r="F21" s="228" t="s">
        <v>53</v>
      </c>
      <c r="G21" s="221">
        <v>5</v>
      </c>
      <c r="H21" s="214" t="s">
        <v>23</v>
      </c>
      <c r="I21" s="216">
        <f>E21/G21</f>
        <v>190.86599999999999</v>
      </c>
      <c r="J21" s="217" t="s">
        <v>62</v>
      </c>
    </row>
    <row r="22" spans="1:10">
      <c r="A22" s="224" t="s">
        <v>310</v>
      </c>
      <c r="B22" s="220"/>
      <c r="C22" s="225"/>
      <c r="D22" s="226"/>
      <c r="E22" s="221"/>
      <c r="F22" s="228"/>
      <c r="G22" s="221"/>
      <c r="H22" s="214" t="s">
        <v>23</v>
      </c>
      <c r="I22" s="216">
        <v>133</v>
      </c>
      <c r="J22" s="217" t="s">
        <v>62</v>
      </c>
    </row>
    <row r="23" spans="1:10">
      <c r="A23" s="224" t="s">
        <v>311</v>
      </c>
      <c r="B23" s="220"/>
      <c r="C23" s="225"/>
      <c r="D23" s="226"/>
      <c r="E23" s="221"/>
      <c r="F23" s="228"/>
      <c r="G23" s="221"/>
      <c r="H23" s="214" t="s">
        <v>23</v>
      </c>
      <c r="I23" s="216">
        <v>0</v>
      </c>
      <c r="J23" s="217" t="s">
        <v>62</v>
      </c>
    </row>
    <row r="24" spans="1:10">
      <c r="A24" s="213"/>
      <c r="B24" s="229"/>
      <c r="C24" s="213"/>
      <c r="D24" s="213"/>
      <c r="E24" s="213"/>
      <c r="F24" s="213"/>
      <c r="G24" s="225" t="s">
        <v>33</v>
      </c>
      <c r="H24" s="214" t="s">
        <v>23</v>
      </c>
      <c r="I24" s="216">
        <f>ROUNDDOWN(SUM(I21:I23),2)</f>
        <v>323.86</v>
      </c>
      <c r="J24" s="217" t="s">
        <v>62</v>
      </c>
    </row>
  </sheetData>
  <mergeCells count="1">
    <mergeCell ref="A1:J1"/>
  </mergeCells>
  <pageMargins left="0.7" right="0.7" top="0.75" bottom="0.75" header="0.3" footer="0.3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88"/>
  <sheetViews>
    <sheetView zoomScaleNormal="100" zoomScaleSheetLayoutView="100" workbookViewId="0">
      <selection activeCell="N6" sqref="N6"/>
    </sheetView>
  </sheetViews>
  <sheetFormatPr defaultRowHeight="18"/>
  <cols>
    <col min="1" max="1" width="8" style="5" customWidth="1"/>
    <col min="2" max="2" width="7.125" style="5" customWidth="1"/>
    <col min="3" max="3" width="7" style="5" customWidth="1"/>
    <col min="4" max="4" width="9.125" style="5" customWidth="1"/>
    <col min="5" max="5" width="8.5" style="5" customWidth="1"/>
    <col min="6" max="6" width="8.125" style="5" customWidth="1"/>
    <col min="7" max="7" width="5.375" style="5" customWidth="1"/>
    <col min="8" max="8" width="9" style="5" customWidth="1"/>
    <col min="9" max="9" width="8.75" style="5" customWidth="1"/>
    <col min="10" max="10" width="8.5" style="5" customWidth="1"/>
    <col min="11" max="11" width="10.5" style="5" customWidth="1"/>
    <col min="12" max="12" width="7.875" style="5" customWidth="1"/>
    <col min="13" max="15" width="9" style="5"/>
    <col min="16" max="16" width="13.75" style="5" customWidth="1"/>
    <col min="17" max="16384" width="9" style="5"/>
  </cols>
  <sheetData>
    <row r="1" spans="1:14">
      <c r="J1" s="102"/>
      <c r="L1" s="103" t="s">
        <v>17</v>
      </c>
    </row>
    <row r="2" spans="1:14">
      <c r="A2" s="530" t="s">
        <v>18</v>
      </c>
      <c r="B2" s="530"/>
      <c r="C2" s="530"/>
      <c r="D2" s="530"/>
      <c r="E2" s="530"/>
      <c r="F2" s="530"/>
      <c r="G2" s="530"/>
      <c r="H2" s="530"/>
      <c r="I2" s="530"/>
      <c r="J2" s="530"/>
      <c r="K2" s="530"/>
    </row>
    <row r="3" spans="1:14">
      <c r="A3" s="104" t="s">
        <v>19</v>
      </c>
      <c r="B3" s="105"/>
      <c r="C3" s="233" t="str">
        <f>Sheet1!C3</f>
        <v xml:space="preserve">โครงการวางท่อพร้อมขยายผิวจราจร ถนนบ้านแม่ลาว หมู่ 19 - บ้านสันต้นแหน
</v>
      </c>
      <c r="D3" s="233"/>
      <c r="E3" s="233"/>
      <c r="F3" s="233"/>
      <c r="G3" s="233"/>
      <c r="H3" s="233"/>
      <c r="I3" s="233"/>
      <c r="J3" s="233"/>
      <c r="K3" s="233"/>
      <c r="L3" s="235"/>
    </row>
    <row r="4" spans="1:14">
      <c r="A4" s="104"/>
      <c r="B4" s="105"/>
      <c r="C4" s="233" t="str">
        <f>ข้อมูล!B5</f>
        <v>ถนน ค.ส.ล.กว้าง 1.50 เมตร ยาว 150 เมตร หรือพื้นที่ไม่น้อยกว่า 205.6 ตารางเมตร วางท่อ ค.ส.ล. 0.60 ม.</v>
      </c>
      <c r="D4" s="233"/>
      <c r="E4" s="233"/>
      <c r="F4" s="233"/>
      <c r="G4" s="233"/>
      <c r="H4" s="233"/>
      <c r="I4" s="233"/>
      <c r="J4" s="233"/>
      <c r="K4" s="233"/>
      <c r="L4" s="235"/>
    </row>
    <row r="5" spans="1:14">
      <c r="A5" s="104"/>
      <c r="B5" s="105"/>
      <c r="C5" s="274" t="str">
        <f>ข้อมูล!B6</f>
        <v>และบ่อพักจำนวน 15 บ่อพร้อมป้ายประชาสัมพันธ์รายละเอียดตามแบบแปลนและรายการที่เทศบาลตำบลแม่ลาวกำหนด</v>
      </c>
      <c r="D5" s="274"/>
      <c r="E5" s="274"/>
      <c r="F5" s="274"/>
      <c r="G5" s="274"/>
      <c r="H5" s="274"/>
      <c r="I5" s="274"/>
      <c r="J5" s="274"/>
      <c r="K5" s="274"/>
      <c r="L5" s="235"/>
    </row>
    <row r="6" spans="1:14">
      <c r="A6" s="104"/>
      <c r="B6" s="105"/>
      <c r="C6" s="531" t="str">
        <f>ข้อมูล!B7</f>
        <v>รายละเอียดตามแบบแปลนและรายการที่เทศบาลตำบลแม่ลาวกำหนด</v>
      </c>
      <c r="D6" s="531"/>
      <c r="E6" s="531"/>
      <c r="F6" s="531"/>
      <c r="G6" s="531"/>
      <c r="H6" s="531"/>
      <c r="I6" s="531"/>
      <c r="J6" s="531"/>
      <c r="K6" s="531"/>
      <c r="L6" s="531"/>
    </row>
    <row r="7" spans="1:14">
      <c r="A7" s="104" t="s">
        <v>3</v>
      </c>
      <c r="B7" s="105"/>
      <c r="C7" s="531" t="str">
        <f>ข้อมูล!B4</f>
        <v xml:space="preserve"> หมู่ 19 ตำบลดงมะดะ อำเภอแม่ลาว จังหวัดเชียงราย </v>
      </c>
      <c r="D7" s="531"/>
      <c r="E7" s="531"/>
      <c r="F7" s="531"/>
      <c r="G7" s="531"/>
      <c r="H7" s="531"/>
      <c r="I7" s="531"/>
      <c r="J7" s="531"/>
      <c r="K7" s="531"/>
    </row>
    <row r="8" spans="1:14">
      <c r="A8" s="104" t="s">
        <v>20</v>
      </c>
      <c r="B8" s="105"/>
      <c r="C8" s="531" t="str">
        <f>[2]สรุปราคากลาง!D7</f>
        <v>เทศบาลตำบลแม่ลาว</v>
      </c>
      <c r="D8" s="531"/>
      <c r="E8" s="531"/>
      <c r="F8" s="531"/>
      <c r="G8" s="531"/>
      <c r="H8" s="531"/>
      <c r="I8" s="531"/>
      <c r="J8" s="531"/>
      <c r="K8" s="531"/>
    </row>
    <row r="9" spans="1:14">
      <c r="A9" s="104" t="s">
        <v>21</v>
      </c>
      <c r="B9" s="105"/>
      <c r="C9" s="532" t="str">
        <f>สรุปราคากลาง!D9</f>
        <v xml:space="preserve">   8   เมษายน  2567</v>
      </c>
      <c r="D9" s="532"/>
      <c r="E9" s="532"/>
      <c r="F9" s="532"/>
      <c r="G9" s="532"/>
      <c r="H9" s="532"/>
      <c r="I9" s="532"/>
      <c r="J9" s="532"/>
      <c r="K9" s="233"/>
    </row>
    <row r="10" spans="1:14">
      <c r="H10" s="5" t="s">
        <v>22</v>
      </c>
      <c r="J10" s="106" t="s">
        <v>23</v>
      </c>
      <c r="K10" s="107">
        <v>31.24</v>
      </c>
    </row>
    <row r="11" spans="1:14">
      <c r="A11" s="108" t="s">
        <v>154</v>
      </c>
      <c r="B11" s="109"/>
      <c r="C11" s="109"/>
      <c r="D11" s="109"/>
      <c r="E11" s="109"/>
      <c r="F11" s="109"/>
      <c r="G11" s="109"/>
    </row>
    <row r="12" spans="1:14">
      <c r="A12" s="109" t="s">
        <v>340</v>
      </c>
      <c r="B12" s="109"/>
      <c r="C12" s="109"/>
      <c r="D12" s="109"/>
      <c r="E12" s="109"/>
      <c r="G12" s="110" t="s">
        <v>23</v>
      </c>
      <c r="H12" s="111">
        <v>1.8</v>
      </c>
      <c r="I12" s="110" t="s">
        <v>26</v>
      </c>
      <c r="K12" s="109"/>
    </row>
    <row r="13" spans="1:14" ht="18.75" thickBot="1">
      <c r="A13" s="109"/>
      <c r="B13" s="109"/>
      <c r="D13" s="109" t="s">
        <v>27</v>
      </c>
      <c r="E13" s="110"/>
      <c r="F13" s="110"/>
      <c r="G13" s="110" t="s">
        <v>23</v>
      </c>
      <c r="H13" s="112">
        <f>H12</f>
        <v>1.8</v>
      </c>
      <c r="I13" s="110" t="s">
        <v>26</v>
      </c>
    </row>
    <row r="14" spans="1:14" ht="18.75" thickTop="1"/>
    <row r="15" spans="1:14" hidden="1">
      <c r="A15" s="108" t="s">
        <v>24</v>
      </c>
      <c r="B15" s="109"/>
      <c r="C15" s="109"/>
      <c r="D15" s="109"/>
      <c r="E15" s="109"/>
      <c r="F15" s="109"/>
      <c r="G15" s="109"/>
      <c r="N15" s="109"/>
    </row>
    <row r="16" spans="1:14" hidden="1">
      <c r="A16" s="109" t="s">
        <v>25</v>
      </c>
      <c r="B16" s="109"/>
      <c r="C16" s="109"/>
      <c r="D16" s="109"/>
      <c r="E16" s="109"/>
      <c r="G16" s="110" t="s">
        <v>23</v>
      </c>
      <c r="H16" s="111">
        <v>14.75</v>
      </c>
      <c r="I16" s="110" t="s">
        <v>26</v>
      </c>
      <c r="K16" s="109"/>
      <c r="L16" s="109"/>
    </row>
    <row r="17" spans="1:18" ht="18.75" hidden="1" thickBot="1">
      <c r="A17" s="109"/>
      <c r="B17" s="109"/>
      <c r="D17" s="109" t="s">
        <v>27</v>
      </c>
      <c r="E17" s="110"/>
      <c r="F17" s="110"/>
      <c r="G17" s="110" t="s">
        <v>23</v>
      </c>
      <c r="H17" s="112">
        <f>H16</f>
        <v>14.75</v>
      </c>
      <c r="I17" s="110" t="s">
        <v>26</v>
      </c>
    </row>
    <row r="18" spans="1:18" ht="18.75" hidden="1" thickTop="1"/>
    <row r="19" spans="1:18" hidden="1">
      <c r="A19" s="108" t="s">
        <v>28</v>
      </c>
      <c r="B19" s="109"/>
      <c r="C19" s="109"/>
      <c r="D19" s="109"/>
      <c r="E19" s="109"/>
      <c r="F19" s="109"/>
      <c r="G19" s="109"/>
      <c r="H19" s="109"/>
      <c r="J19" s="109"/>
      <c r="K19" s="109"/>
      <c r="L19" s="113"/>
      <c r="M19" s="114"/>
      <c r="N19" s="115"/>
      <c r="O19" s="115"/>
      <c r="P19" s="116"/>
      <c r="Q19" s="115"/>
      <c r="R19" s="117"/>
    </row>
    <row r="20" spans="1:18" hidden="1">
      <c r="A20" s="109" t="s">
        <v>29</v>
      </c>
      <c r="B20" s="109"/>
      <c r="C20" s="109"/>
      <c r="D20" s="109"/>
      <c r="E20" s="109"/>
      <c r="F20" s="109"/>
      <c r="G20" s="110" t="s">
        <v>23</v>
      </c>
      <c r="H20" s="118">
        <v>0</v>
      </c>
      <c r="I20" s="110" t="s">
        <v>30</v>
      </c>
      <c r="L20" s="117"/>
      <c r="M20" s="117"/>
      <c r="N20" s="117"/>
      <c r="O20" s="117"/>
      <c r="P20" s="117"/>
      <c r="Q20" s="117"/>
      <c r="R20" s="117"/>
    </row>
    <row r="21" spans="1:18" hidden="1">
      <c r="A21" s="109" t="s">
        <v>31</v>
      </c>
      <c r="B21" s="109"/>
      <c r="C21" s="119"/>
      <c r="D21" s="120">
        <v>0</v>
      </c>
      <c r="E21" s="109" t="s">
        <v>32</v>
      </c>
      <c r="F21" s="121">
        <f>[2]ข้อมูลราคาวัสดุ!G28</f>
        <v>0</v>
      </c>
      <c r="G21" s="110" t="s">
        <v>23</v>
      </c>
      <c r="H21" s="122">
        <v>0</v>
      </c>
      <c r="I21" s="110" t="s">
        <v>30</v>
      </c>
    </row>
    <row r="22" spans="1:18" hidden="1">
      <c r="A22" s="109" t="s">
        <v>33</v>
      </c>
      <c r="B22" s="109"/>
      <c r="C22" s="113"/>
      <c r="D22" s="109"/>
      <c r="E22" s="109"/>
      <c r="F22" s="109"/>
      <c r="G22" s="110" t="s">
        <v>23</v>
      </c>
      <c r="H22" s="123">
        <f>H20+H21</f>
        <v>0</v>
      </c>
      <c r="I22" s="110" t="s">
        <v>30</v>
      </c>
    </row>
    <row r="23" spans="1:18" hidden="1">
      <c r="A23" s="109" t="s">
        <v>34</v>
      </c>
      <c r="B23" s="109"/>
      <c r="C23" s="124"/>
      <c r="D23" s="125">
        <v>0</v>
      </c>
      <c r="E23" s="110" t="s">
        <v>35</v>
      </c>
      <c r="F23" s="126">
        <v>1.5</v>
      </c>
      <c r="G23" s="110" t="s">
        <v>23</v>
      </c>
      <c r="H23" s="123">
        <f>D23*F23</f>
        <v>0</v>
      </c>
      <c r="I23" s="110" t="s">
        <v>30</v>
      </c>
    </row>
    <row r="24" spans="1:18" hidden="1">
      <c r="A24" s="109" t="s">
        <v>36</v>
      </c>
      <c r="B24" s="109"/>
      <c r="C24" s="109"/>
      <c r="D24" s="109"/>
      <c r="E24" s="109"/>
      <c r="F24" s="109"/>
      <c r="G24" s="110" t="s">
        <v>23</v>
      </c>
      <c r="H24" s="123">
        <v>0</v>
      </c>
      <c r="I24" s="110" t="s">
        <v>30</v>
      </c>
    </row>
    <row r="25" spans="1:18" hidden="1">
      <c r="A25" s="109" t="s">
        <v>37</v>
      </c>
      <c r="B25" s="109"/>
      <c r="C25" s="109"/>
      <c r="D25" s="109"/>
      <c r="E25" s="109"/>
      <c r="F25" s="109"/>
      <c r="G25" s="110" t="s">
        <v>23</v>
      </c>
      <c r="H25" s="122">
        <v>0</v>
      </c>
      <c r="I25" s="110" t="s">
        <v>30</v>
      </c>
      <c r="L25" s="103"/>
    </row>
    <row r="26" spans="1:18" hidden="1">
      <c r="A26" s="109"/>
      <c r="B26" s="109"/>
      <c r="C26" s="109"/>
      <c r="D26" s="109" t="s">
        <v>38</v>
      </c>
      <c r="E26" s="109"/>
      <c r="F26" s="109"/>
      <c r="G26" s="110" t="s">
        <v>23</v>
      </c>
      <c r="H26" s="127">
        <f>ROUNDDOWN(SUM(H23:H25),2)</f>
        <v>0</v>
      </c>
      <c r="I26" s="110" t="s">
        <v>30</v>
      </c>
    </row>
    <row r="27" spans="1:18" ht="18.75" hidden="1" thickBot="1">
      <c r="A27" s="109"/>
      <c r="B27" s="109"/>
      <c r="C27" s="109"/>
      <c r="D27" s="109" t="s">
        <v>27</v>
      </c>
      <c r="E27" s="128"/>
      <c r="F27" s="109"/>
      <c r="G27" s="110" t="s">
        <v>23</v>
      </c>
      <c r="H27" s="129">
        <f>H26</f>
        <v>0</v>
      </c>
      <c r="I27" s="110" t="s">
        <v>30</v>
      </c>
    </row>
    <row r="28" spans="1:18" ht="18.75" hidden="1" thickTop="1">
      <c r="A28" s="109"/>
      <c r="B28" s="109"/>
      <c r="C28" s="109"/>
      <c r="D28" s="109"/>
      <c r="E28" s="128"/>
      <c r="F28" s="109"/>
      <c r="G28" s="110"/>
      <c r="H28" s="130"/>
      <c r="I28" s="110"/>
    </row>
    <row r="29" spans="1:18" hidden="1"/>
    <row r="30" spans="1:18">
      <c r="A30" s="108" t="s">
        <v>39</v>
      </c>
      <c r="B30" s="131"/>
      <c r="C30" s="131"/>
      <c r="D30" s="131"/>
      <c r="E30" s="131"/>
      <c r="F30" s="131"/>
      <c r="G30" s="131"/>
      <c r="H30" s="131"/>
      <c r="I30" s="131"/>
    </row>
    <row r="31" spans="1:18">
      <c r="A31" s="109" t="s">
        <v>40</v>
      </c>
      <c r="B31" s="109"/>
      <c r="C31" s="109"/>
      <c r="D31" s="109"/>
      <c r="E31" s="109"/>
      <c r="F31" s="109"/>
      <c r="G31" s="109"/>
      <c r="H31" s="118">
        <v>210.28</v>
      </c>
      <c r="I31" s="110" t="s">
        <v>30</v>
      </c>
    </row>
    <row r="32" spans="1:18">
      <c r="A32" s="109" t="s">
        <v>31</v>
      </c>
      <c r="B32" s="109"/>
      <c r="C32" s="132"/>
      <c r="D32" s="120">
        <v>25</v>
      </c>
      <c r="E32" s="109" t="s">
        <v>32</v>
      </c>
      <c r="F32" s="133">
        <v>56.2</v>
      </c>
      <c r="G32" s="109"/>
      <c r="H32" s="134">
        <f>F32</f>
        <v>56.2</v>
      </c>
      <c r="I32" s="110" t="s">
        <v>30</v>
      </c>
      <c r="K32" s="109"/>
    </row>
    <row r="33" spans="1:11">
      <c r="A33" s="109" t="s">
        <v>33</v>
      </c>
      <c r="B33" s="109"/>
      <c r="C33" s="113"/>
      <c r="D33" s="109"/>
      <c r="E33" s="109"/>
      <c r="F33" s="109"/>
      <c r="G33" s="109"/>
      <c r="H33" s="134">
        <f>H31+H32</f>
        <v>266.48</v>
      </c>
      <c r="I33" s="110" t="s">
        <v>30</v>
      </c>
      <c r="K33" s="109"/>
    </row>
    <row r="34" spans="1:11">
      <c r="A34" s="109" t="s">
        <v>34</v>
      </c>
      <c r="B34" s="109"/>
      <c r="C34" s="124"/>
      <c r="D34" s="135">
        <f>H33</f>
        <v>266.48</v>
      </c>
      <c r="E34" s="110" t="s">
        <v>35</v>
      </c>
      <c r="F34" s="126">
        <v>1.4</v>
      </c>
      <c r="G34" s="109"/>
      <c r="H34" s="136">
        <f>D34*F34</f>
        <v>373.072</v>
      </c>
      <c r="I34" s="110" t="s">
        <v>30</v>
      </c>
      <c r="K34" s="109"/>
    </row>
    <row r="35" spans="1:11">
      <c r="A35" s="109" t="s">
        <v>41</v>
      </c>
      <c r="B35" s="109"/>
      <c r="C35" s="109"/>
      <c r="D35" s="109"/>
      <c r="E35" s="109"/>
      <c r="F35" s="109"/>
      <c r="G35" s="109"/>
      <c r="H35" s="137">
        <f>0.75*49.09</f>
        <v>36.817500000000003</v>
      </c>
      <c r="I35" s="110" t="s">
        <v>30</v>
      </c>
    </row>
    <row r="36" spans="1:11">
      <c r="A36" s="109"/>
      <c r="B36" s="109"/>
      <c r="C36" s="109"/>
      <c r="D36" s="109" t="s">
        <v>38</v>
      </c>
      <c r="E36" s="109"/>
      <c r="F36" s="109"/>
      <c r="G36" s="110" t="s">
        <v>23</v>
      </c>
      <c r="H36" s="138">
        <f>H34+H35</f>
        <v>409.8895</v>
      </c>
      <c r="I36" s="110" t="s">
        <v>30</v>
      </c>
    </row>
    <row r="37" spans="1:11" ht="18.75" thickBot="1">
      <c r="A37" s="109"/>
      <c r="B37" s="109"/>
      <c r="C37" s="109"/>
      <c r="D37" s="109"/>
      <c r="E37" s="128" t="s">
        <v>27</v>
      </c>
      <c r="F37" s="109"/>
      <c r="G37" s="110" t="s">
        <v>23</v>
      </c>
      <c r="H37" s="112">
        <f>H36</f>
        <v>409.8895</v>
      </c>
    </row>
    <row r="38" spans="1:11" ht="18.75" thickTop="1">
      <c r="A38" s="109"/>
      <c r="B38" s="109"/>
      <c r="C38" s="109"/>
      <c r="D38" s="109"/>
      <c r="E38" s="128"/>
      <c r="F38" s="109"/>
      <c r="G38" s="110"/>
      <c r="H38" s="116"/>
      <c r="I38" s="110"/>
    </row>
    <row r="39" spans="1:11">
      <c r="A39" s="108" t="s">
        <v>452</v>
      </c>
      <c r="B39" s="109"/>
      <c r="C39" s="109"/>
      <c r="D39" s="109"/>
      <c r="E39" s="128"/>
      <c r="F39" s="109"/>
      <c r="G39" s="110"/>
      <c r="H39" s="116"/>
      <c r="I39" s="110"/>
    </row>
    <row r="40" spans="1:11">
      <c r="A40" s="109" t="s">
        <v>453</v>
      </c>
      <c r="B40" s="109"/>
      <c r="C40" s="109"/>
      <c r="D40" s="109"/>
      <c r="E40" s="128"/>
      <c r="F40" s="109"/>
      <c r="G40" s="110"/>
      <c r="H40" s="116"/>
      <c r="I40" s="303">
        <v>8.7899999999999991</v>
      </c>
      <c r="J40" s="110" t="s">
        <v>30</v>
      </c>
    </row>
    <row r="41" spans="1:11">
      <c r="A41" s="5" t="s">
        <v>496</v>
      </c>
      <c r="I41" s="300">
        <v>11.45</v>
      </c>
      <c r="J41" s="110" t="s">
        <v>30</v>
      </c>
    </row>
    <row r="42" spans="1:11">
      <c r="A42" s="5" t="s">
        <v>247</v>
      </c>
      <c r="I42" s="301">
        <f>I40+I41</f>
        <v>20.239999999999998</v>
      </c>
      <c r="J42" s="110" t="s">
        <v>30</v>
      </c>
    </row>
    <row r="43" spans="1:11">
      <c r="A43" s="5" t="s">
        <v>454</v>
      </c>
      <c r="D43" s="5">
        <v>1.25</v>
      </c>
      <c r="I43" s="302">
        <f>I42*D43</f>
        <v>25.299999999999997</v>
      </c>
      <c r="J43" s="110" t="s">
        <v>30</v>
      </c>
    </row>
    <row r="44" spans="1:11">
      <c r="A44" s="5" t="s">
        <v>455</v>
      </c>
      <c r="I44" s="304">
        <v>33.9</v>
      </c>
      <c r="J44" s="110" t="s">
        <v>30</v>
      </c>
    </row>
    <row r="45" spans="1:11" ht="18.75" thickBot="1">
      <c r="A45" s="5" t="s">
        <v>27</v>
      </c>
      <c r="I45" s="305">
        <f>I43+I44</f>
        <v>59.199999999999996</v>
      </c>
      <c r="J45" s="110" t="s">
        <v>30</v>
      </c>
    </row>
    <row r="46" spans="1:11" ht="18.75" thickTop="1">
      <c r="A46" s="201" t="s">
        <v>456</v>
      </c>
    </row>
    <row r="47" spans="1:11">
      <c r="A47" s="5" t="s">
        <v>457</v>
      </c>
    </row>
    <row r="48" spans="1:11">
      <c r="A48" s="5" t="s">
        <v>458</v>
      </c>
    </row>
    <row r="49" spans="1:14">
      <c r="G49" s="110"/>
      <c r="L49" s="103" t="s">
        <v>42</v>
      </c>
    </row>
    <row r="50" spans="1:14">
      <c r="A50" s="139"/>
      <c r="B50" s="113"/>
      <c r="C50" s="113"/>
      <c r="D50" s="113"/>
      <c r="E50" s="113"/>
      <c r="F50" s="113"/>
      <c r="G50" s="117"/>
      <c r="H50" s="117"/>
      <c r="I50" s="117"/>
      <c r="J50" s="117"/>
    </row>
    <row r="51" spans="1:14">
      <c r="A51" s="108" t="s">
        <v>43</v>
      </c>
      <c r="B51" s="109"/>
      <c r="C51" s="109"/>
      <c r="D51" s="109"/>
      <c r="E51" s="109"/>
      <c r="F51" s="109"/>
      <c r="G51" s="140"/>
      <c r="J51" s="141" t="s">
        <v>44</v>
      </c>
      <c r="K51" s="142">
        <v>15</v>
      </c>
      <c r="L51" s="131" t="s">
        <v>45</v>
      </c>
    </row>
    <row r="52" spans="1:14">
      <c r="A52" s="109" t="s">
        <v>46</v>
      </c>
      <c r="B52" s="109"/>
      <c r="C52" s="143">
        <v>1.5</v>
      </c>
      <c r="D52" s="232" t="s">
        <v>5</v>
      </c>
      <c r="E52" s="232"/>
      <c r="F52" s="110" t="s">
        <v>47</v>
      </c>
      <c r="G52" s="143">
        <v>10</v>
      </c>
      <c r="H52" s="232" t="s">
        <v>5</v>
      </c>
      <c r="I52" s="144"/>
      <c r="J52" s="110" t="s">
        <v>48</v>
      </c>
      <c r="K52" s="145">
        <f>$C$52*$G$52</f>
        <v>15</v>
      </c>
      <c r="L52" s="6" t="s">
        <v>49</v>
      </c>
    </row>
    <row r="53" spans="1:14">
      <c r="A53" s="109" t="s">
        <v>50</v>
      </c>
      <c r="B53" s="109"/>
      <c r="C53" s="109"/>
      <c r="D53" s="109"/>
      <c r="G53" s="146"/>
      <c r="I53" s="109"/>
      <c r="J53" s="110" t="s">
        <v>48</v>
      </c>
      <c r="K53" s="147">
        <f>1.5*150*0.15</f>
        <v>33.75</v>
      </c>
      <c r="L53" s="148" t="s">
        <v>51</v>
      </c>
    </row>
    <row r="54" spans="1:14">
      <c r="A54" s="109" t="s">
        <v>52</v>
      </c>
      <c r="B54" s="109"/>
      <c r="C54" s="109"/>
      <c r="D54" s="533">
        <v>150000</v>
      </c>
      <c r="E54" s="533"/>
      <c r="F54" s="115" t="s">
        <v>53</v>
      </c>
      <c r="G54" s="534">
        <f>IF($K$53&lt;5000,5000,$K$53)</f>
        <v>5000</v>
      </c>
      <c r="H54" s="534"/>
      <c r="I54" s="109"/>
      <c r="J54" s="110" t="s">
        <v>48</v>
      </c>
      <c r="K54" s="149">
        <f>$D$54/$G$54</f>
        <v>30</v>
      </c>
      <c r="L54" s="110" t="s">
        <v>30</v>
      </c>
    </row>
    <row r="55" spans="1:14">
      <c r="A55" s="109" t="s">
        <v>54</v>
      </c>
      <c r="B55" s="109"/>
      <c r="C55" s="109"/>
      <c r="D55" s="150"/>
      <c r="E55" s="150"/>
      <c r="F55" s="115"/>
      <c r="G55" s="231"/>
      <c r="H55" s="231"/>
      <c r="I55" s="109"/>
      <c r="J55" s="110"/>
      <c r="K55" s="151"/>
      <c r="L55" s="110"/>
    </row>
    <row r="56" spans="1:14">
      <c r="A56" s="109" t="s">
        <v>55</v>
      </c>
      <c r="B56" s="109"/>
      <c r="C56" s="109"/>
      <c r="D56" s="110" t="s">
        <v>23</v>
      </c>
      <c r="E56" s="117"/>
      <c r="F56" s="152">
        <v>1822.43</v>
      </c>
      <c r="G56" s="110" t="s">
        <v>56</v>
      </c>
      <c r="H56" s="126">
        <v>0</v>
      </c>
      <c r="I56" s="124"/>
      <c r="J56" s="110" t="s">
        <v>48</v>
      </c>
      <c r="K56" s="153">
        <f>$F$56+$H$56</f>
        <v>1822.43</v>
      </c>
      <c r="L56" s="110" t="s">
        <v>30</v>
      </c>
      <c r="N56" s="117"/>
    </row>
    <row r="57" spans="1:14">
      <c r="A57" s="109" t="s">
        <v>57</v>
      </c>
      <c r="B57" s="109"/>
      <c r="C57" s="109"/>
      <c r="D57" s="109"/>
      <c r="E57" s="124"/>
      <c r="F57" s="154">
        <f>K52</f>
        <v>15</v>
      </c>
      <c r="G57" s="109" t="s">
        <v>58</v>
      </c>
      <c r="H57" s="155"/>
      <c r="I57" s="155"/>
      <c r="J57" s="110" t="s">
        <v>48</v>
      </c>
      <c r="K57" s="156">
        <f>K52</f>
        <v>15</v>
      </c>
      <c r="L57" s="110" t="s">
        <v>58</v>
      </c>
    </row>
    <row r="58" spans="1:14">
      <c r="A58" s="109" t="s">
        <v>59</v>
      </c>
      <c r="B58" s="109"/>
      <c r="C58" s="110" t="s">
        <v>48</v>
      </c>
      <c r="D58" s="126">
        <f>K52</f>
        <v>15</v>
      </c>
      <c r="E58" s="157" t="s">
        <v>35</v>
      </c>
      <c r="F58" s="126">
        <f>K51</f>
        <v>15</v>
      </c>
      <c r="G58" s="110" t="s">
        <v>53</v>
      </c>
      <c r="H58" s="143">
        <v>100</v>
      </c>
      <c r="I58" s="155"/>
      <c r="J58" s="110" t="s">
        <v>48</v>
      </c>
      <c r="K58" s="158">
        <f>$D$58*$F$58/100</f>
        <v>2.25</v>
      </c>
      <c r="L58" s="148" t="s">
        <v>51</v>
      </c>
    </row>
    <row r="59" spans="1:14">
      <c r="A59" s="109" t="s">
        <v>55</v>
      </c>
      <c r="B59" s="109"/>
      <c r="C59" s="109"/>
      <c r="D59" s="159">
        <f>K58</f>
        <v>2.25</v>
      </c>
      <c r="E59" s="160" t="s">
        <v>60</v>
      </c>
      <c r="F59" s="161">
        <f>K56</f>
        <v>1822.43</v>
      </c>
      <c r="G59" s="528"/>
      <c r="H59" s="528"/>
      <c r="I59" s="109"/>
      <c r="J59" s="110" t="s">
        <v>48</v>
      </c>
      <c r="K59" s="162">
        <f>$D$59*$F$59</f>
        <v>4100.4674999999997</v>
      </c>
      <c r="L59" s="110" t="s">
        <v>16</v>
      </c>
    </row>
    <row r="60" spans="1:14">
      <c r="A60" s="109" t="s">
        <v>354</v>
      </c>
      <c r="B60" s="109"/>
      <c r="C60" s="124"/>
      <c r="D60" s="150"/>
      <c r="E60" s="110"/>
      <c r="F60" s="110"/>
      <c r="G60" s="150"/>
      <c r="H60" s="150"/>
      <c r="I60" s="109"/>
      <c r="J60" s="110"/>
      <c r="K60" s="163"/>
      <c r="L60" s="110"/>
    </row>
    <row r="61" spans="1:14">
      <c r="C61" s="110" t="s">
        <v>48</v>
      </c>
      <c r="D61" s="307">
        <v>11.45</v>
      </c>
      <c r="E61" s="157" t="s">
        <v>35</v>
      </c>
      <c r="F61" s="306">
        <v>15.34</v>
      </c>
      <c r="G61" s="157" t="s">
        <v>35</v>
      </c>
      <c r="H61" s="165">
        <f>K58</f>
        <v>2.25</v>
      </c>
      <c r="I61" s="109"/>
      <c r="J61" s="110" t="s">
        <v>23</v>
      </c>
      <c r="K61" s="166">
        <f>$D$61*$F$61*$H$61</f>
        <v>395.19675000000001</v>
      </c>
      <c r="L61" s="110" t="s">
        <v>16</v>
      </c>
    </row>
    <row r="62" spans="1:14">
      <c r="A62" s="109" t="s">
        <v>61</v>
      </c>
      <c r="B62" s="109"/>
      <c r="C62" s="308">
        <v>15</v>
      </c>
      <c r="D62" s="110" t="s">
        <v>58</v>
      </c>
      <c r="E62" s="157" t="s">
        <v>35</v>
      </c>
      <c r="F62" s="126">
        <f>ราคาวัสดุ!J21</f>
        <v>33</v>
      </c>
      <c r="G62" s="529" t="s">
        <v>62</v>
      </c>
      <c r="H62" s="529"/>
      <c r="J62" s="110" t="s">
        <v>23</v>
      </c>
      <c r="K62" s="167">
        <f>$C$62*$F$62</f>
        <v>495</v>
      </c>
      <c r="L62" s="110" t="s">
        <v>16</v>
      </c>
      <c r="M62" s="109"/>
    </row>
    <row r="63" spans="1:14">
      <c r="A63" s="109" t="s">
        <v>63</v>
      </c>
      <c r="B63" s="109"/>
      <c r="C63" s="165">
        <f>K57</f>
        <v>15</v>
      </c>
      <c r="D63" s="110" t="s">
        <v>58</v>
      </c>
      <c r="E63" s="157" t="s">
        <v>35</v>
      </c>
      <c r="F63" s="126">
        <v>5</v>
      </c>
      <c r="G63" s="529" t="s">
        <v>62</v>
      </c>
      <c r="H63" s="529"/>
      <c r="J63" s="110" t="s">
        <v>23</v>
      </c>
      <c r="K63" s="167">
        <f>$C$63*$F$63</f>
        <v>75</v>
      </c>
      <c r="L63" s="110" t="s">
        <v>16</v>
      </c>
      <c r="M63" s="109"/>
    </row>
    <row r="64" spans="1:14">
      <c r="A64" s="109" t="s">
        <v>64</v>
      </c>
      <c r="B64" s="109"/>
      <c r="C64" s="115"/>
      <c r="F64" s="168">
        <f>21.94/2</f>
        <v>10.97</v>
      </c>
      <c r="G64" s="157" t="s">
        <v>35</v>
      </c>
      <c r="H64" s="126">
        <f>G52</f>
        <v>10</v>
      </c>
      <c r="J64" s="110" t="s">
        <v>23</v>
      </c>
      <c r="K64" s="169">
        <f>$F$64*$H$64</f>
        <v>109.7</v>
      </c>
      <c r="L64" s="110" t="s">
        <v>16</v>
      </c>
      <c r="M64" s="170"/>
    </row>
    <row r="65" spans="1:13">
      <c r="A65" s="109" t="s">
        <v>65</v>
      </c>
      <c r="B65" s="109"/>
      <c r="C65" s="170"/>
      <c r="F65" s="168">
        <v>12.65</v>
      </c>
      <c r="G65" s="6" t="s">
        <v>35</v>
      </c>
      <c r="H65" s="164">
        <f>K57</f>
        <v>15</v>
      </c>
      <c r="J65" s="110" t="s">
        <v>23</v>
      </c>
      <c r="K65" s="122">
        <f>$F$65*$H$65</f>
        <v>189.75</v>
      </c>
      <c r="L65" s="110" t="s">
        <v>16</v>
      </c>
      <c r="M65" s="109"/>
    </row>
    <row r="66" spans="1:13">
      <c r="A66" s="109" t="s">
        <v>66</v>
      </c>
      <c r="B66" s="109"/>
      <c r="C66" s="170"/>
      <c r="F66" s="168">
        <v>9.68</v>
      </c>
      <c r="G66" s="6" t="s">
        <v>35</v>
      </c>
      <c r="H66" s="164">
        <f>K57</f>
        <v>15</v>
      </c>
      <c r="J66" s="110" t="s">
        <v>23</v>
      </c>
      <c r="K66" s="122">
        <f>$F$66*$H$66</f>
        <v>145.19999999999999</v>
      </c>
      <c r="L66" s="110" t="s">
        <v>16</v>
      </c>
      <c r="M66" s="109"/>
    </row>
    <row r="67" spans="1:13">
      <c r="A67" s="109" t="s">
        <v>38</v>
      </c>
      <c r="B67" s="109"/>
      <c r="C67" s="113"/>
      <c r="D67" s="113"/>
      <c r="E67" s="113"/>
      <c r="F67" s="113"/>
      <c r="J67" s="110" t="s">
        <v>23</v>
      </c>
      <c r="K67" s="127">
        <f>ROUNDDOWN(SUM(K59:K61)+K62+K63+K64+K65+K66,2)</f>
        <v>5510.31</v>
      </c>
      <c r="L67" s="110" t="s">
        <v>16</v>
      </c>
      <c r="M67" s="109"/>
    </row>
    <row r="68" spans="1:13" ht="18.75" thickBot="1">
      <c r="A68" s="232" t="s">
        <v>27</v>
      </c>
      <c r="B68" s="109"/>
      <c r="C68" s="170"/>
      <c r="D68" s="171">
        <f>K67</f>
        <v>5510.31</v>
      </c>
      <c r="E68" s="172" t="s">
        <v>53</v>
      </c>
      <c r="F68" s="126">
        <f>K52</f>
        <v>15</v>
      </c>
      <c r="J68" s="110" t="s">
        <v>23</v>
      </c>
      <c r="K68" s="129">
        <f>ROUNDDOWN(D68/F68,2)</f>
        <v>367.35</v>
      </c>
      <c r="L68" s="110" t="s">
        <v>62</v>
      </c>
      <c r="M68" s="109"/>
    </row>
    <row r="69" spans="1:13" ht="18.75" thickTop="1">
      <c r="A69" s="232"/>
      <c r="B69" s="109"/>
      <c r="C69" s="170"/>
      <c r="D69" s="173"/>
      <c r="E69" s="172"/>
      <c r="F69" s="172"/>
      <c r="G69" s="110"/>
      <c r="H69" s="130"/>
      <c r="I69" s="110"/>
      <c r="J69" s="109"/>
      <c r="K69" s="109"/>
      <c r="L69" s="109"/>
      <c r="M69" s="109"/>
    </row>
    <row r="70" spans="1:13">
      <c r="A70" s="232"/>
      <c r="B70" s="109"/>
      <c r="C70" s="170"/>
      <c r="D70" s="173"/>
      <c r="E70" s="172"/>
      <c r="F70" s="172"/>
      <c r="G70" s="110"/>
      <c r="H70" s="130"/>
      <c r="I70" s="110"/>
      <c r="J70" s="109"/>
      <c r="K70" s="109"/>
      <c r="L70" s="109"/>
      <c r="M70" s="109"/>
    </row>
    <row r="71" spans="1:13">
      <c r="A71" s="108" t="s">
        <v>67</v>
      </c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</row>
    <row r="72" spans="1:13">
      <c r="A72" s="109" t="s">
        <v>68</v>
      </c>
      <c r="B72" s="109"/>
      <c r="C72" s="109"/>
      <c r="D72" s="120">
        <v>4</v>
      </c>
      <c r="E72" s="109" t="s">
        <v>69</v>
      </c>
      <c r="F72" s="109"/>
      <c r="G72" s="109"/>
      <c r="H72" s="109"/>
      <c r="I72" s="109"/>
      <c r="J72" s="109"/>
      <c r="K72" s="109"/>
      <c r="L72" s="109"/>
      <c r="M72" s="109"/>
    </row>
    <row r="73" spans="1:13">
      <c r="A73" s="109" t="s">
        <v>70</v>
      </c>
      <c r="B73" s="109"/>
      <c r="C73" s="109"/>
      <c r="D73" s="174">
        <v>5.56</v>
      </c>
      <c r="E73" s="110" t="s">
        <v>71</v>
      </c>
      <c r="F73" s="110" t="s">
        <v>60</v>
      </c>
      <c r="H73" s="175">
        <f>ราคาวัสดุ!J15/1000</f>
        <v>27.489319999999999</v>
      </c>
      <c r="I73" s="6" t="s">
        <v>72</v>
      </c>
      <c r="J73" s="110" t="s">
        <v>48</v>
      </c>
      <c r="K73" s="176">
        <f t="shared" ref="K73:K79" si="0">D73*H73</f>
        <v>152.84061919999999</v>
      </c>
      <c r="L73" s="110" t="s">
        <v>16</v>
      </c>
      <c r="M73" s="109"/>
    </row>
    <row r="74" spans="1:13">
      <c r="A74" s="109" t="s">
        <v>73</v>
      </c>
      <c r="B74" s="109"/>
      <c r="C74" s="109"/>
      <c r="D74" s="174">
        <f>D72/0.5</f>
        <v>8</v>
      </c>
      <c r="E74" s="110" t="s">
        <v>74</v>
      </c>
      <c r="F74" s="110" t="s">
        <v>60</v>
      </c>
      <c r="H74" s="177">
        <v>10</v>
      </c>
      <c r="J74" s="110" t="s">
        <v>48</v>
      </c>
      <c r="K74" s="176">
        <f t="shared" si="0"/>
        <v>80</v>
      </c>
      <c r="L74" s="110" t="s">
        <v>16</v>
      </c>
      <c r="M74" s="109"/>
    </row>
    <row r="75" spans="1:13">
      <c r="A75" s="109" t="s">
        <v>75</v>
      </c>
      <c r="B75" s="109"/>
      <c r="C75" s="109"/>
      <c r="D75" s="174">
        <v>0</v>
      </c>
      <c r="E75" s="110" t="s">
        <v>49</v>
      </c>
      <c r="F75" s="110" t="s">
        <v>60</v>
      </c>
      <c r="H75" s="177">
        <v>400</v>
      </c>
      <c r="J75" s="110" t="s">
        <v>48</v>
      </c>
      <c r="K75" s="176">
        <f t="shared" si="0"/>
        <v>0</v>
      </c>
      <c r="L75" s="110" t="s">
        <v>16</v>
      </c>
      <c r="M75" s="109"/>
    </row>
    <row r="76" spans="1:13">
      <c r="A76" s="109" t="s">
        <v>76</v>
      </c>
      <c r="B76" s="109"/>
      <c r="C76" s="109"/>
      <c r="D76" s="178">
        <f>ROUNDDOWN(D72*0.025*0.025*1000,2)</f>
        <v>2.5</v>
      </c>
      <c r="E76" s="110" t="s">
        <v>77</v>
      </c>
      <c r="F76" s="110" t="s">
        <v>60</v>
      </c>
      <c r="H76" s="177">
        <v>45</v>
      </c>
      <c r="J76" s="110" t="s">
        <v>48</v>
      </c>
      <c r="K76" s="179">
        <f t="shared" si="0"/>
        <v>112.5</v>
      </c>
      <c r="L76" s="110" t="s">
        <v>16</v>
      </c>
      <c r="M76" s="109"/>
    </row>
    <row r="77" spans="1:13">
      <c r="A77" s="109" t="s">
        <v>78</v>
      </c>
      <c r="B77" s="109"/>
      <c r="C77" s="109"/>
      <c r="D77" s="174">
        <f>D72</f>
        <v>4</v>
      </c>
      <c r="E77" s="110" t="s">
        <v>79</v>
      </c>
      <c r="F77" s="110" t="s">
        <v>60</v>
      </c>
      <c r="H77" s="180">
        <v>15.37</v>
      </c>
      <c r="J77" s="110" t="s">
        <v>48</v>
      </c>
      <c r="K77" s="179">
        <f t="shared" si="0"/>
        <v>61.48</v>
      </c>
      <c r="L77" s="110" t="s">
        <v>16</v>
      </c>
      <c r="M77" s="109"/>
    </row>
    <row r="78" spans="1:13">
      <c r="A78" s="109" t="s">
        <v>80</v>
      </c>
      <c r="B78" s="109"/>
      <c r="C78" s="109"/>
      <c r="D78" s="174">
        <v>4</v>
      </c>
      <c r="E78" s="110" t="s">
        <v>79</v>
      </c>
      <c r="F78" s="110" t="s">
        <v>60</v>
      </c>
      <c r="H78" s="177">
        <v>10</v>
      </c>
      <c r="J78" s="110" t="s">
        <v>48</v>
      </c>
      <c r="K78" s="179">
        <f t="shared" si="0"/>
        <v>40</v>
      </c>
      <c r="L78" s="110" t="s">
        <v>16</v>
      </c>
      <c r="M78" s="109"/>
    </row>
    <row r="79" spans="1:13">
      <c r="A79" s="109" t="s">
        <v>81</v>
      </c>
      <c r="B79" s="109"/>
      <c r="C79" s="109"/>
      <c r="D79" s="174">
        <f>D72*0.15</f>
        <v>0.6</v>
      </c>
      <c r="E79" s="110" t="s">
        <v>49</v>
      </c>
      <c r="F79" s="110" t="s">
        <v>60</v>
      </c>
      <c r="H79" s="177">
        <f>ไม้แบบ!I24</f>
        <v>323.86</v>
      </c>
      <c r="J79" s="110" t="s">
        <v>48</v>
      </c>
      <c r="K79" s="181">
        <f t="shared" si="0"/>
        <v>194.316</v>
      </c>
      <c r="L79" s="110" t="s">
        <v>16</v>
      </c>
      <c r="M79" s="109"/>
    </row>
    <row r="80" spans="1:13">
      <c r="A80" s="109" t="s">
        <v>38</v>
      </c>
      <c r="B80" s="109"/>
      <c r="C80" s="109"/>
      <c r="D80" s="170"/>
      <c r="F80" s="170"/>
      <c r="G80" s="109"/>
      <c r="H80" s="109"/>
      <c r="J80" s="110" t="s">
        <v>48</v>
      </c>
      <c r="K80" s="156">
        <f>ROUNDDOWN(SUM(K73:K76),2)</f>
        <v>345.34</v>
      </c>
      <c r="L80" s="110" t="s">
        <v>16</v>
      </c>
      <c r="M80" s="109"/>
    </row>
    <row r="81" spans="1:15" ht="18.75" thickBot="1">
      <c r="A81" s="182" t="s">
        <v>27</v>
      </c>
      <c r="B81" s="109"/>
      <c r="C81" s="109"/>
      <c r="D81" s="164">
        <f>$K$80</f>
        <v>345.34</v>
      </c>
      <c r="E81" s="110" t="s">
        <v>53</v>
      </c>
      <c r="F81" s="164">
        <f>$D$72</f>
        <v>4</v>
      </c>
      <c r="H81" s="150"/>
      <c r="J81" s="110" t="s">
        <v>48</v>
      </c>
      <c r="K81" s="183">
        <f>ROUNDDOWN(D81/F81,2)</f>
        <v>86.33</v>
      </c>
      <c r="L81" s="110" t="s">
        <v>82</v>
      </c>
      <c r="M81" s="109"/>
    </row>
    <row r="82" spans="1:15" ht="18.75" thickTop="1">
      <c r="A82" s="108" t="s">
        <v>465</v>
      </c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</row>
    <row r="83" spans="1:15">
      <c r="A83" s="109" t="s">
        <v>68</v>
      </c>
      <c r="B83" s="109"/>
      <c r="C83" s="109"/>
      <c r="D83" s="120">
        <v>10</v>
      </c>
      <c r="E83" s="109" t="s">
        <v>69</v>
      </c>
      <c r="F83" s="109"/>
      <c r="G83" s="109"/>
      <c r="H83" s="109"/>
      <c r="I83" s="109"/>
      <c r="J83" s="109"/>
      <c r="K83" s="109"/>
      <c r="L83" s="109"/>
      <c r="M83" s="109"/>
    </row>
    <row r="84" spans="1:15">
      <c r="A84" s="109" t="s">
        <v>70</v>
      </c>
      <c r="B84" s="109"/>
      <c r="C84" s="109" t="s">
        <v>466</v>
      </c>
      <c r="D84" s="174">
        <f>13.5*0.888</f>
        <v>11.988</v>
      </c>
      <c r="E84" s="110" t="s">
        <v>71</v>
      </c>
      <c r="F84" s="110" t="s">
        <v>60</v>
      </c>
      <c r="H84" s="175">
        <f>ราคาวัสดุ!J17/1000</f>
        <v>22.2912</v>
      </c>
      <c r="I84" s="6" t="s">
        <v>72</v>
      </c>
      <c r="J84" s="110" t="s">
        <v>48</v>
      </c>
      <c r="K84" s="176">
        <f t="shared" ref="K84:K86" si="1">D84*H84</f>
        <v>267.22690560000001</v>
      </c>
      <c r="L84" s="110" t="s">
        <v>16</v>
      </c>
      <c r="M84" s="109"/>
    </row>
    <row r="85" spans="1:15">
      <c r="A85" s="109" t="s">
        <v>76</v>
      </c>
      <c r="B85" s="109"/>
      <c r="C85" s="109"/>
      <c r="D85" s="178">
        <f>ROUNDDOWN(D83*0.025*0.025*1000,2)</f>
        <v>6.25</v>
      </c>
      <c r="E85" s="110" t="s">
        <v>77</v>
      </c>
      <c r="F85" s="110" t="s">
        <v>60</v>
      </c>
      <c r="H85" s="177">
        <v>45</v>
      </c>
      <c r="J85" s="110" t="s">
        <v>48</v>
      </c>
      <c r="K85" s="179">
        <f t="shared" si="1"/>
        <v>281.25</v>
      </c>
      <c r="L85" s="110" t="s">
        <v>16</v>
      </c>
      <c r="M85" s="109"/>
    </row>
    <row r="86" spans="1:15">
      <c r="A86" s="109" t="s">
        <v>78</v>
      </c>
      <c r="B86" s="109"/>
      <c r="C86" s="109"/>
      <c r="D86" s="174">
        <f>D83</f>
        <v>10</v>
      </c>
      <c r="E86" s="110" t="s">
        <v>79</v>
      </c>
      <c r="F86" s="110" t="s">
        <v>60</v>
      </c>
      <c r="H86" s="180">
        <f>H77</f>
        <v>15.37</v>
      </c>
      <c r="J86" s="110" t="s">
        <v>48</v>
      </c>
      <c r="K86" s="179">
        <f t="shared" si="1"/>
        <v>153.69999999999999</v>
      </c>
      <c r="L86" s="110" t="s">
        <v>16</v>
      </c>
      <c r="M86" s="109"/>
    </row>
    <row r="87" spans="1:15">
      <c r="A87" s="109" t="s">
        <v>38</v>
      </c>
      <c r="B87" s="109"/>
      <c r="C87" s="109"/>
      <c r="D87" s="170"/>
      <c r="F87" s="170"/>
      <c r="G87" s="109"/>
      <c r="H87" s="109"/>
      <c r="J87" s="110" t="s">
        <v>48</v>
      </c>
      <c r="K87" s="156">
        <f>K84+K85+K86</f>
        <v>702.17690560000005</v>
      </c>
      <c r="L87" s="110" t="s">
        <v>16</v>
      </c>
      <c r="M87" s="109"/>
    </row>
    <row r="88" spans="1:15" ht="18.75" thickBot="1">
      <c r="A88" s="182" t="s">
        <v>27</v>
      </c>
      <c r="B88" s="109"/>
      <c r="C88" s="109"/>
      <c r="D88" s="164">
        <f>K87</f>
        <v>702.17690560000005</v>
      </c>
      <c r="E88" s="110" t="s">
        <v>53</v>
      </c>
      <c r="F88" s="164">
        <f>D83</f>
        <v>10</v>
      </c>
      <c r="H88" s="150"/>
      <c r="J88" s="110" t="s">
        <v>48</v>
      </c>
      <c r="K88" s="183">
        <f>ROUNDDOWN(D88/F88,2)</f>
        <v>70.209999999999994</v>
      </c>
      <c r="L88" s="110" t="s">
        <v>82</v>
      </c>
      <c r="M88" s="109"/>
    </row>
    <row r="89" spans="1:15" ht="18.75" thickTop="1">
      <c r="A89" s="232"/>
      <c r="B89" s="109"/>
      <c r="C89" s="170"/>
      <c r="D89" s="173"/>
      <c r="E89" s="172"/>
      <c r="F89" s="172"/>
      <c r="G89" s="110"/>
      <c r="H89" s="130"/>
      <c r="I89" s="110"/>
      <c r="J89" s="109"/>
      <c r="K89" s="109"/>
      <c r="L89" s="109"/>
      <c r="M89" s="109"/>
    </row>
    <row r="90" spans="1:15">
      <c r="A90" s="232"/>
      <c r="B90" s="109"/>
      <c r="C90" s="170"/>
      <c r="D90" s="173"/>
      <c r="E90" s="172"/>
      <c r="F90" s="172"/>
      <c r="G90" s="110"/>
      <c r="H90" s="130"/>
      <c r="I90" s="110"/>
      <c r="J90" s="109"/>
      <c r="K90" s="109"/>
      <c r="L90" s="109"/>
      <c r="M90" s="109"/>
    </row>
    <row r="91" spans="1:15">
      <c r="A91" s="232"/>
      <c r="B91" s="109"/>
      <c r="C91" s="170"/>
      <c r="D91" s="173"/>
      <c r="E91" s="172"/>
      <c r="F91" s="172"/>
      <c r="G91" s="110"/>
      <c r="H91" s="130"/>
      <c r="I91" s="110"/>
      <c r="J91" s="109"/>
      <c r="K91" s="109"/>
      <c r="L91" s="109"/>
      <c r="M91" s="109"/>
    </row>
    <row r="92" spans="1:15">
      <c r="A92" s="232"/>
      <c r="B92" s="109"/>
      <c r="C92" s="170"/>
      <c r="D92" s="173"/>
      <c r="E92" s="172"/>
      <c r="F92" s="172"/>
      <c r="G92" s="110"/>
      <c r="H92" s="130"/>
      <c r="I92" s="110"/>
      <c r="J92" s="109"/>
      <c r="K92" s="109"/>
      <c r="L92" s="109"/>
      <c r="M92" s="109"/>
    </row>
    <row r="93" spans="1:15">
      <c r="A93" s="232"/>
      <c r="B93" s="109"/>
      <c r="C93" s="170"/>
      <c r="D93" s="173"/>
      <c r="E93" s="172"/>
      <c r="F93" s="172"/>
      <c r="G93" s="110"/>
      <c r="H93" s="130"/>
      <c r="I93" s="110"/>
      <c r="J93" s="109"/>
      <c r="K93" s="109"/>
      <c r="L93" s="103" t="s">
        <v>83</v>
      </c>
      <c r="M93" s="109"/>
    </row>
    <row r="94" spans="1:15">
      <c r="A94" s="108" t="s">
        <v>84</v>
      </c>
      <c r="B94" s="109"/>
      <c r="C94" s="109"/>
      <c r="D94" s="109"/>
      <c r="E94" s="109"/>
      <c r="F94" s="109"/>
      <c r="G94" s="109"/>
      <c r="H94" s="109"/>
      <c r="I94" s="109"/>
      <c r="J94" s="109"/>
      <c r="K94" s="109"/>
      <c r="L94" s="109"/>
      <c r="M94" s="109"/>
    </row>
    <row r="95" spans="1:15">
      <c r="A95" s="109" t="s">
        <v>68</v>
      </c>
      <c r="B95" s="109"/>
      <c r="C95" s="109"/>
      <c r="D95" s="120">
        <v>1.5</v>
      </c>
      <c r="E95" s="109" t="s">
        <v>69</v>
      </c>
      <c r="F95" s="109"/>
      <c r="G95" s="109"/>
      <c r="H95" s="109"/>
      <c r="I95" s="109"/>
      <c r="J95" s="109"/>
      <c r="K95" s="109"/>
      <c r="L95" s="109"/>
      <c r="M95" s="109"/>
      <c r="O95" s="5">
        <v>22</v>
      </c>
    </row>
    <row r="96" spans="1:15">
      <c r="A96" s="109" t="s">
        <v>70</v>
      </c>
      <c r="B96" s="109"/>
      <c r="C96" s="109" t="s">
        <v>461</v>
      </c>
      <c r="D96" s="174">
        <f>1.5*1.39</f>
        <v>2.085</v>
      </c>
      <c r="E96" s="110" t="s">
        <v>71</v>
      </c>
      <c r="F96" s="110" t="s">
        <v>60</v>
      </c>
      <c r="H96" s="175">
        <f>ราคาวัสดุ!J15/1000</f>
        <v>27.489319999999999</v>
      </c>
      <c r="J96" s="110" t="s">
        <v>48</v>
      </c>
      <c r="K96" s="176">
        <f>D96*H96</f>
        <v>57.315232199999997</v>
      </c>
      <c r="L96" s="110" t="s">
        <v>16</v>
      </c>
      <c r="M96" s="109"/>
    </row>
    <row r="97" spans="1:13">
      <c r="A97" s="109" t="s">
        <v>70</v>
      </c>
      <c r="B97" s="109"/>
      <c r="C97" s="109" t="s">
        <v>462</v>
      </c>
      <c r="D97" s="174">
        <f>1.5*4*0.222</f>
        <v>1.3320000000000001</v>
      </c>
      <c r="E97" s="110" t="s">
        <v>71</v>
      </c>
      <c r="F97" s="110" t="s">
        <v>60</v>
      </c>
      <c r="H97" s="175">
        <f>ราคาวัสดุ!J12/1000</f>
        <v>24.746929999999999</v>
      </c>
      <c r="J97" s="110"/>
      <c r="K97" s="176">
        <f>D97*H97</f>
        <v>32.96291076</v>
      </c>
      <c r="L97" s="110" t="s">
        <v>16</v>
      </c>
      <c r="M97" s="109"/>
    </row>
    <row r="98" spans="1:13">
      <c r="A98" s="109" t="s">
        <v>85</v>
      </c>
      <c r="B98" s="109"/>
      <c r="C98" s="109"/>
      <c r="D98" s="174">
        <f>$D$95</f>
        <v>1.5</v>
      </c>
      <c r="E98" s="110" t="s">
        <v>79</v>
      </c>
      <c r="F98" s="110" t="s">
        <v>60</v>
      </c>
      <c r="H98" s="180">
        <v>15.15</v>
      </c>
      <c r="J98" s="110" t="s">
        <v>48</v>
      </c>
      <c r="K98" s="176">
        <f>D98*H98</f>
        <v>22.725000000000001</v>
      </c>
      <c r="L98" s="110" t="s">
        <v>16</v>
      </c>
      <c r="M98" s="109"/>
    </row>
    <row r="99" spans="1:13">
      <c r="A99" s="109" t="s">
        <v>86</v>
      </c>
      <c r="B99" s="109"/>
      <c r="C99" s="109"/>
      <c r="D99" s="174">
        <f>D95/0.5</f>
        <v>3</v>
      </c>
      <c r="E99" s="110" t="s">
        <v>74</v>
      </c>
      <c r="F99" s="110" t="s">
        <v>60</v>
      </c>
      <c r="H99" s="177">
        <v>0</v>
      </c>
      <c r="J99" s="110" t="s">
        <v>48</v>
      </c>
      <c r="K99" s="176">
        <f>D99*H99</f>
        <v>0</v>
      </c>
      <c r="L99" s="110" t="s">
        <v>16</v>
      </c>
      <c r="M99" s="109"/>
    </row>
    <row r="100" spans="1:13">
      <c r="A100" s="109" t="s">
        <v>76</v>
      </c>
      <c r="B100" s="109"/>
      <c r="C100" s="109"/>
      <c r="D100" s="178">
        <f>ROUNDDOWN(D95*0.01*(0.15/4)*1000,2)</f>
        <v>0.56000000000000005</v>
      </c>
      <c r="E100" s="110" t="s">
        <v>77</v>
      </c>
      <c r="F100" s="110" t="s">
        <v>60</v>
      </c>
      <c r="H100" s="177">
        <v>45</v>
      </c>
      <c r="J100" s="110" t="s">
        <v>48</v>
      </c>
      <c r="K100" s="179">
        <f>ROUNDDOWN(D100*H100,2)</f>
        <v>25.2</v>
      </c>
      <c r="L100" s="110" t="s">
        <v>16</v>
      </c>
      <c r="M100" s="109"/>
    </row>
    <row r="101" spans="1:13">
      <c r="A101" s="109" t="s">
        <v>80</v>
      </c>
      <c r="B101" s="109"/>
      <c r="C101" s="109"/>
      <c r="D101" s="174">
        <f>D95</f>
        <v>1.5</v>
      </c>
      <c r="E101" s="110" t="s">
        <v>79</v>
      </c>
      <c r="F101" s="110" t="s">
        <v>60</v>
      </c>
      <c r="H101" s="177">
        <v>10</v>
      </c>
      <c r="J101" s="110" t="s">
        <v>48</v>
      </c>
      <c r="K101" s="179">
        <f>D101*H101</f>
        <v>15</v>
      </c>
      <c r="L101" s="110" t="s">
        <v>16</v>
      </c>
      <c r="M101" s="109"/>
    </row>
    <row r="102" spans="1:13">
      <c r="A102" s="109" t="s">
        <v>38</v>
      </c>
      <c r="B102" s="109"/>
      <c r="C102" s="109"/>
      <c r="D102" s="170"/>
      <c r="F102" s="170"/>
      <c r="G102" s="109"/>
      <c r="H102" s="109"/>
      <c r="J102" s="110" t="s">
        <v>48</v>
      </c>
      <c r="K102" s="156">
        <f>ROUNDDOWN(SUM(K96:K101),2)</f>
        <v>153.19999999999999</v>
      </c>
      <c r="L102" s="110" t="s">
        <v>16</v>
      </c>
      <c r="M102" s="109"/>
    </row>
    <row r="103" spans="1:13" ht="18.75" thickBot="1">
      <c r="A103" s="182" t="s">
        <v>27</v>
      </c>
      <c r="B103" s="109"/>
      <c r="C103" s="109"/>
      <c r="D103" s="164">
        <f>$K$102</f>
        <v>153.19999999999999</v>
      </c>
      <c r="E103" s="110" t="s">
        <v>53</v>
      </c>
      <c r="F103" s="164">
        <f>$D$95</f>
        <v>1.5</v>
      </c>
      <c r="H103" s="150"/>
      <c r="J103" s="110" t="s">
        <v>48</v>
      </c>
      <c r="K103" s="183">
        <f>ROUNDDOWN(D103/F103,2)</f>
        <v>102.13</v>
      </c>
      <c r="L103" s="110" t="s">
        <v>82</v>
      </c>
      <c r="M103" s="109"/>
    </row>
    <row r="104" spans="1:13" ht="18.75" thickTop="1">
      <c r="A104" s="232"/>
      <c r="B104" s="109"/>
      <c r="C104" s="170"/>
      <c r="D104" s="173"/>
      <c r="E104" s="172"/>
      <c r="F104" s="172"/>
      <c r="G104" s="110"/>
      <c r="H104" s="130"/>
      <c r="I104" s="110"/>
      <c r="J104" s="109"/>
      <c r="K104" s="109"/>
      <c r="L104" s="109"/>
      <c r="M104" s="109"/>
    </row>
    <row r="105" spans="1:13" hidden="1">
      <c r="A105" s="108" t="s">
        <v>87</v>
      </c>
      <c r="B105" s="109"/>
      <c r="C105" s="109"/>
      <c r="D105" s="109"/>
      <c r="E105" s="109"/>
      <c r="F105" s="109"/>
      <c r="G105" s="109"/>
      <c r="H105" s="109"/>
      <c r="I105" s="109"/>
      <c r="J105" s="109"/>
      <c r="K105" s="109"/>
      <c r="L105" s="109"/>
      <c r="M105" s="109"/>
    </row>
    <row r="106" spans="1:13" hidden="1">
      <c r="A106" s="109" t="s">
        <v>68</v>
      </c>
      <c r="B106" s="109"/>
      <c r="C106" s="109"/>
      <c r="D106" s="120">
        <v>0</v>
      </c>
      <c r="E106" s="109" t="s">
        <v>69</v>
      </c>
      <c r="F106" s="109"/>
      <c r="G106" s="109"/>
      <c r="H106" s="109"/>
      <c r="I106" s="109"/>
      <c r="J106" s="109"/>
      <c r="K106" s="109"/>
      <c r="L106" s="109"/>
      <c r="M106" s="109"/>
    </row>
    <row r="107" spans="1:13" hidden="1">
      <c r="A107" s="109" t="s">
        <v>70</v>
      </c>
      <c r="B107" s="109"/>
      <c r="C107" s="109"/>
      <c r="D107" s="174">
        <f>((D106/0.5)*0.5)*0.888</f>
        <v>0</v>
      </c>
      <c r="E107" s="110" t="s">
        <v>71</v>
      </c>
      <c r="F107" s="110" t="s">
        <v>60</v>
      </c>
      <c r="H107" s="175">
        <f>[2]ข้อมูลราคาวัสดุ!J17/1000</f>
        <v>21.68056</v>
      </c>
      <c r="J107" s="110" t="s">
        <v>48</v>
      </c>
      <c r="K107" s="176">
        <f>D107*H107</f>
        <v>0</v>
      </c>
      <c r="L107" s="110" t="s">
        <v>16</v>
      </c>
      <c r="M107" s="109"/>
    </row>
    <row r="108" spans="1:13" hidden="1">
      <c r="A108" s="109" t="s">
        <v>85</v>
      </c>
      <c r="B108" s="109"/>
      <c r="C108" s="109"/>
      <c r="D108" s="174">
        <f>$D$106</f>
        <v>0</v>
      </c>
      <c r="E108" s="110" t="s">
        <v>79</v>
      </c>
      <c r="F108" s="110" t="s">
        <v>60</v>
      </c>
      <c r="H108" s="177">
        <v>24.02</v>
      </c>
      <c r="J108" s="110" t="s">
        <v>48</v>
      </c>
      <c r="K108" s="176">
        <f>D108*H108</f>
        <v>0</v>
      </c>
      <c r="L108" s="110" t="s">
        <v>16</v>
      </c>
      <c r="M108" s="109"/>
    </row>
    <row r="109" spans="1:13" hidden="1">
      <c r="A109" s="109" t="s">
        <v>76</v>
      </c>
      <c r="B109" s="109"/>
      <c r="C109" s="109"/>
      <c r="D109" s="178">
        <f>ROUNDDOWN(D106*0.01*(0.15/4)*1000,2)</f>
        <v>0</v>
      </c>
      <c r="E109" s="110" t="s">
        <v>77</v>
      </c>
      <c r="F109" s="110" t="s">
        <v>60</v>
      </c>
      <c r="H109" s="177">
        <v>45</v>
      </c>
      <c r="J109" s="110" t="s">
        <v>48</v>
      </c>
      <c r="K109" s="179">
        <f>ROUNDDOWN(D109*H109,2)</f>
        <v>0</v>
      </c>
      <c r="L109" s="110" t="s">
        <v>16</v>
      </c>
      <c r="M109" s="109"/>
    </row>
    <row r="110" spans="1:13" hidden="1">
      <c r="A110" s="109" t="s">
        <v>38</v>
      </c>
      <c r="B110" s="109"/>
      <c r="C110" s="109"/>
      <c r="D110" s="170"/>
      <c r="F110" s="170"/>
      <c r="G110" s="109"/>
      <c r="H110" s="109"/>
      <c r="J110" s="110" t="s">
        <v>48</v>
      </c>
      <c r="K110" s="156">
        <f>ROUNDDOWN(SUM(K107:K109),2)</f>
        <v>0</v>
      </c>
      <c r="L110" s="110" t="s">
        <v>16</v>
      </c>
      <c r="M110" s="109"/>
    </row>
    <row r="111" spans="1:13" ht="18.75" hidden="1" thickBot="1">
      <c r="A111" s="182" t="s">
        <v>27</v>
      </c>
      <c r="B111" s="109"/>
      <c r="C111" s="109"/>
      <c r="D111" s="164">
        <f>$K$110</f>
        <v>0</v>
      </c>
      <c r="E111" s="110" t="s">
        <v>53</v>
      </c>
      <c r="F111" s="164">
        <v>10</v>
      </c>
      <c r="H111" s="150"/>
      <c r="J111" s="110" t="s">
        <v>48</v>
      </c>
      <c r="K111" s="183">
        <f>ROUNDDOWN(D111/F111,2)</f>
        <v>0</v>
      </c>
      <c r="L111" s="110" t="s">
        <v>82</v>
      </c>
      <c r="M111" s="109"/>
    </row>
    <row r="112" spans="1:13" ht="18.75" hidden="1" thickTop="1">
      <c r="A112" s="232"/>
      <c r="B112" s="109"/>
      <c r="C112" s="170"/>
      <c r="D112" s="173"/>
      <c r="E112" s="172"/>
      <c r="F112" s="172"/>
      <c r="G112" s="110"/>
      <c r="H112" s="130"/>
      <c r="I112" s="110"/>
      <c r="J112" s="109"/>
      <c r="K112" s="109"/>
      <c r="L112" s="109"/>
      <c r="M112" s="109"/>
    </row>
    <row r="113" spans="1:17" hidden="1">
      <c r="A113" s="108" t="s">
        <v>351</v>
      </c>
      <c r="B113" s="109"/>
      <c r="C113" s="109"/>
      <c r="D113" s="109"/>
      <c r="E113" s="109"/>
      <c r="F113" s="109"/>
      <c r="G113" s="109"/>
      <c r="H113" s="109"/>
      <c r="J113" s="109"/>
    </row>
    <row r="114" spans="1:17" hidden="1">
      <c r="A114" s="109" t="s">
        <v>88</v>
      </c>
      <c r="B114" s="143">
        <f>1.4*1*0.65</f>
        <v>0.90999999999999992</v>
      </c>
      <c r="C114" s="109" t="s">
        <v>89</v>
      </c>
      <c r="D114" s="128" t="s">
        <v>60</v>
      </c>
      <c r="E114" s="109"/>
      <c r="F114" s="126">
        <v>18.48</v>
      </c>
      <c r="G114" s="110" t="s">
        <v>23</v>
      </c>
      <c r="H114" s="169">
        <f>B114*F114</f>
        <v>16.816800000000001</v>
      </c>
      <c r="I114" s="110" t="s">
        <v>90</v>
      </c>
    </row>
    <row r="115" spans="1:17" hidden="1">
      <c r="A115" s="109" t="s">
        <v>91</v>
      </c>
      <c r="B115" s="109"/>
      <c r="C115" s="119"/>
      <c r="D115" s="184"/>
      <c r="E115" s="109"/>
      <c r="F115" s="113"/>
      <c r="G115" s="110" t="s">
        <v>23</v>
      </c>
      <c r="H115" s="122">
        <v>373.83</v>
      </c>
      <c r="I115" s="110" t="s">
        <v>90</v>
      </c>
    </row>
    <row r="116" spans="1:17" hidden="1">
      <c r="A116" s="109" t="s">
        <v>92</v>
      </c>
      <c r="B116" s="109"/>
      <c r="C116" s="113"/>
      <c r="D116" s="113"/>
      <c r="E116" s="113"/>
      <c r="F116" s="113"/>
      <c r="G116" s="110" t="s">
        <v>23</v>
      </c>
      <c r="H116" s="185"/>
      <c r="I116" s="110"/>
    </row>
    <row r="117" spans="1:17" hidden="1">
      <c r="A117" s="109" t="s">
        <v>93</v>
      </c>
      <c r="B117" s="186"/>
      <c r="C117" s="187"/>
      <c r="D117" s="188"/>
      <c r="E117" s="189"/>
      <c r="F117" s="190"/>
      <c r="G117" s="110" t="s">
        <v>23</v>
      </c>
      <c r="H117" s="191"/>
      <c r="I117" s="110"/>
    </row>
    <row r="118" spans="1:17" hidden="1">
      <c r="A118" s="109" t="s">
        <v>94</v>
      </c>
      <c r="B118" s="143">
        <v>25</v>
      </c>
      <c r="C118" s="128" t="s">
        <v>95</v>
      </c>
      <c r="D118" s="143">
        <v>60.88</v>
      </c>
      <c r="E118" s="109" t="s">
        <v>96</v>
      </c>
      <c r="F118" s="192" t="s">
        <v>97</v>
      </c>
      <c r="G118" s="110" t="s">
        <v>23</v>
      </c>
      <c r="H118" s="193">
        <f>(D118*13)+300</f>
        <v>1091.44</v>
      </c>
      <c r="I118" s="232" t="s">
        <v>98</v>
      </c>
    </row>
    <row r="119" spans="1:17" hidden="1">
      <c r="A119" s="109" t="s">
        <v>99</v>
      </c>
      <c r="B119" s="109"/>
      <c r="C119" s="194" t="s">
        <v>23</v>
      </c>
      <c r="D119" s="126">
        <f>H118</f>
        <v>1091.44</v>
      </c>
      <c r="E119" s="194" t="s">
        <v>100</v>
      </c>
      <c r="F119" s="109"/>
      <c r="G119" s="110" t="s">
        <v>23</v>
      </c>
      <c r="H119" s="122">
        <f>H118/32</f>
        <v>34.107500000000002</v>
      </c>
      <c r="I119" s="110" t="s">
        <v>90</v>
      </c>
    </row>
    <row r="120" spans="1:17" hidden="1">
      <c r="A120" s="109" t="s">
        <v>101</v>
      </c>
      <c r="B120" s="109"/>
      <c r="C120" s="109"/>
      <c r="D120" s="109"/>
      <c r="E120" s="109"/>
      <c r="F120" s="109"/>
      <c r="G120" s="110"/>
      <c r="H120" s="122">
        <v>140</v>
      </c>
      <c r="I120" s="110" t="s">
        <v>90</v>
      </c>
    </row>
    <row r="121" spans="1:17" hidden="1">
      <c r="A121" s="109"/>
      <c r="B121" s="109"/>
      <c r="C121" s="109"/>
      <c r="D121" s="109" t="s">
        <v>38</v>
      </c>
      <c r="E121" s="109"/>
      <c r="F121" s="109"/>
      <c r="G121" s="110" t="s">
        <v>23</v>
      </c>
      <c r="H121" s="127">
        <f>H114+H115+H119+H120</f>
        <v>564.75430000000006</v>
      </c>
      <c r="I121" s="110" t="s">
        <v>90</v>
      </c>
    </row>
    <row r="122" spans="1:17" ht="18.75" hidden="1" thickBot="1">
      <c r="A122" s="109"/>
      <c r="B122" s="109"/>
      <c r="C122" s="109"/>
      <c r="D122" s="109" t="s">
        <v>27</v>
      </c>
      <c r="E122" s="128"/>
      <c r="F122" s="109"/>
      <c r="G122" s="110" t="s">
        <v>23</v>
      </c>
      <c r="H122" s="129">
        <f>H121</f>
        <v>564.75430000000006</v>
      </c>
      <c r="I122" s="110" t="s">
        <v>90</v>
      </c>
    </row>
    <row r="123" spans="1:17" ht="18.75" hidden="1" thickTop="1"/>
    <row r="124" spans="1:17" hidden="1">
      <c r="A124" s="108" t="s">
        <v>102</v>
      </c>
      <c r="B124" s="109"/>
      <c r="C124" s="109"/>
      <c r="D124" s="109"/>
      <c r="E124" s="109"/>
      <c r="F124" s="109"/>
      <c r="G124" s="109"/>
    </row>
    <row r="125" spans="1:17" hidden="1">
      <c r="A125" s="5" t="s">
        <v>103</v>
      </c>
      <c r="D125" s="143">
        <f>ROUNDDOWN(2.1*2.1*1.7,2)</f>
        <v>7.49</v>
      </c>
      <c r="E125" s="6" t="s">
        <v>51</v>
      </c>
      <c r="G125" s="6" t="s">
        <v>60</v>
      </c>
      <c r="H125" s="126">
        <v>18.48</v>
      </c>
      <c r="I125" s="5" t="s">
        <v>30</v>
      </c>
      <c r="J125" s="110" t="s">
        <v>48</v>
      </c>
      <c r="K125" s="176">
        <f t="shared" ref="K125:K133" si="2">D125*H125</f>
        <v>138.4152</v>
      </c>
      <c r="L125" s="110" t="s">
        <v>16</v>
      </c>
      <c r="P125" s="195" t="s">
        <v>104</v>
      </c>
    </row>
    <row r="126" spans="1:17" hidden="1">
      <c r="A126" s="5" t="s">
        <v>105</v>
      </c>
      <c r="D126" s="143">
        <f>ROUNDDOWN(1.1*1.1*0.05*1.4,2)</f>
        <v>0.08</v>
      </c>
      <c r="E126" s="6" t="s">
        <v>51</v>
      </c>
      <c r="G126" s="6" t="s">
        <v>60</v>
      </c>
      <c r="H126" s="126">
        <v>280.38</v>
      </c>
      <c r="I126" s="5" t="s">
        <v>30</v>
      </c>
      <c r="J126" s="110" t="s">
        <v>48</v>
      </c>
      <c r="K126" s="176">
        <f t="shared" si="2"/>
        <v>22.430399999999999</v>
      </c>
      <c r="L126" s="110" t="s">
        <v>16</v>
      </c>
      <c r="P126" s="5" t="s">
        <v>106</v>
      </c>
      <c r="Q126" s="196">
        <f>1.4*0.87*0.12</f>
        <v>0.14615999999999998</v>
      </c>
    </row>
    <row r="127" spans="1:17" hidden="1">
      <c r="A127" s="5" t="s">
        <v>107</v>
      </c>
      <c r="D127" s="143">
        <f>ROUNDDOWN(1.1*1.1*0.05,2)</f>
        <v>0.06</v>
      </c>
      <c r="E127" s="6" t="s">
        <v>51</v>
      </c>
      <c r="G127" s="6" t="s">
        <v>60</v>
      </c>
      <c r="H127" s="234">
        <f>[2]ข้อมูลคอนกรีต!M11</f>
        <v>1664.52</v>
      </c>
      <c r="I127" s="5" t="s">
        <v>30</v>
      </c>
      <c r="J127" s="110" t="s">
        <v>48</v>
      </c>
      <c r="K127" s="176">
        <f t="shared" si="2"/>
        <v>99.871200000000002</v>
      </c>
      <c r="L127" s="110" t="s">
        <v>16</v>
      </c>
      <c r="P127" s="5" t="s">
        <v>108</v>
      </c>
      <c r="Q127" s="196">
        <f>(1.4+0.87+0.87+1.4)*0.12</f>
        <v>0.54479999999999995</v>
      </c>
    </row>
    <row r="128" spans="1:17" hidden="1">
      <c r="A128" s="5" t="s">
        <v>109</v>
      </c>
      <c r="D128" s="143">
        <v>1.1399999999999999</v>
      </c>
      <c r="E128" s="6" t="s">
        <v>51</v>
      </c>
      <c r="G128" s="6" t="s">
        <v>60</v>
      </c>
      <c r="H128" s="234">
        <f>[2]ข้อมูลคอนกรีต!L11</f>
        <v>1725.92</v>
      </c>
      <c r="I128" s="5" t="s">
        <v>30</v>
      </c>
      <c r="J128" s="110" t="s">
        <v>48</v>
      </c>
      <c r="K128" s="176">
        <f t="shared" si="2"/>
        <v>1967.5487999999998</v>
      </c>
      <c r="L128" s="110" t="s">
        <v>16</v>
      </c>
      <c r="P128" s="5" t="s">
        <v>110</v>
      </c>
      <c r="Q128" s="6">
        <f>(1.18*0.32*0.1*2)</f>
        <v>7.5520000000000004E-2</v>
      </c>
    </row>
    <row r="129" spans="1:20" ht="18.75" hidden="1" thickBot="1">
      <c r="A129" s="5" t="s">
        <v>111</v>
      </c>
      <c r="D129" s="126">
        <f>T135+T140</f>
        <v>49.976459999999989</v>
      </c>
      <c r="E129" s="6" t="s">
        <v>71</v>
      </c>
      <c r="G129" s="6" t="s">
        <v>60</v>
      </c>
      <c r="H129" s="126">
        <f>[2]ข้อมูลราคาวัสดุ!J13/1000</f>
        <v>22.100270000000002</v>
      </c>
      <c r="I129" s="5" t="s">
        <v>72</v>
      </c>
      <c r="J129" s="110" t="s">
        <v>48</v>
      </c>
      <c r="K129" s="176">
        <f t="shared" si="2"/>
        <v>1104.4932596442</v>
      </c>
      <c r="L129" s="110" t="s">
        <v>16</v>
      </c>
      <c r="P129" s="5" t="s">
        <v>33</v>
      </c>
      <c r="Q129" s="197">
        <f>SUM(Q126:Q128)</f>
        <v>0.76647999999999994</v>
      </c>
      <c r="R129" s="5" t="s">
        <v>51</v>
      </c>
    </row>
    <row r="130" spans="1:20" ht="18.75" hidden="1" thickTop="1">
      <c r="A130" s="5" t="s">
        <v>112</v>
      </c>
      <c r="D130" s="143">
        <f>ROUNDDOWN(D129*25/1000,2)</f>
        <v>1.24</v>
      </c>
      <c r="E130" s="6" t="s">
        <v>71</v>
      </c>
      <c r="G130" s="6" t="s">
        <v>60</v>
      </c>
      <c r="H130" s="126">
        <v>81.78</v>
      </c>
      <c r="I130" s="5" t="s">
        <v>72</v>
      </c>
      <c r="J130" s="110" t="s">
        <v>48</v>
      </c>
      <c r="K130" s="176">
        <f t="shared" si="2"/>
        <v>101.4072</v>
      </c>
      <c r="L130" s="110" t="s">
        <v>16</v>
      </c>
      <c r="P130" s="195" t="s">
        <v>113</v>
      </c>
    </row>
    <row r="131" spans="1:20" hidden="1">
      <c r="A131" s="5" t="s">
        <v>114</v>
      </c>
      <c r="D131" s="143">
        <v>3.52</v>
      </c>
      <c r="E131" s="6" t="s">
        <v>49</v>
      </c>
      <c r="G131" s="6" t="s">
        <v>60</v>
      </c>
      <c r="H131" s="198">
        <f>[2]ไม้แบบ!I24</f>
        <v>284.83999999999997</v>
      </c>
      <c r="I131" s="5" t="s">
        <v>62</v>
      </c>
      <c r="J131" s="110" t="s">
        <v>48</v>
      </c>
      <c r="K131" s="176">
        <f t="shared" si="2"/>
        <v>1002.6367999999999</v>
      </c>
      <c r="L131" s="110" t="s">
        <v>16</v>
      </c>
      <c r="Q131" s="6" t="s">
        <v>115</v>
      </c>
      <c r="R131" s="6" t="s">
        <v>116</v>
      </c>
      <c r="S131" s="6" t="s">
        <v>117</v>
      </c>
      <c r="T131" s="6" t="s">
        <v>71</v>
      </c>
    </row>
    <row r="132" spans="1:20" hidden="1">
      <c r="A132" s="5" t="s">
        <v>118</v>
      </c>
      <c r="D132" s="143">
        <v>1</v>
      </c>
      <c r="E132" s="6" t="s">
        <v>119</v>
      </c>
      <c r="G132" s="6" t="s">
        <v>60</v>
      </c>
      <c r="H132" s="126">
        <v>406.54</v>
      </c>
      <c r="I132" s="5" t="s">
        <v>120</v>
      </c>
      <c r="J132" s="110" t="s">
        <v>48</v>
      </c>
      <c r="K132" s="176">
        <f t="shared" si="2"/>
        <v>406.54</v>
      </c>
      <c r="L132" s="110" t="s">
        <v>16</v>
      </c>
      <c r="P132" s="5" t="s">
        <v>121</v>
      </c>
      <c r="Q132" s="6">
        <f>1.4+0.87+0.87+1.4</f>
        <v>4.54</v>
      </c>
      <c r="R132" s="6">
        <f>ROUNDUP(1/0.2, 0 )</f>
        <v>5</v>
      </c>
      <c r="S132" s="5">
        <f>R132*Q132</f>
        <v>22.7</v>
      </c>
      <c r="T132" s="199">
        <f>S132*0.449</f>
        <v>10.192299999999999</v>
      </c>
    </row>
    <row r="133" spans="1:20" hidden="1">
      <c r="A133" s="5" t="s">
        <v>122</v>
      </c>
      <c r="D133" s="143">
        <v>0.06</v>
      </c>
      <c r="E133" s="6" t="s">
        <v>119</v>
      </c>
      <c r="G133" s="6" t="s">
        <v>60</v>
      </c>
      <c r="H133" s="126">
        <v>168.22</v>
      </c>
      <c r="I133" s="5" t="s">
        <v>120</v>
      </c>
      <c r="J133" s="110" t="s">
        <v>48</v>
      </c>
      <c r="K133" s="176">
        <f t="shared" si="2"/>
        <v>10.0932</v>
      </c>
      <c r="L133" s="110" t="s">
        <v>16</v>
      </c>
      <c r="P133" s="5" t="s">
        <v>123</v>
      </c>
      <c r="Q133" s="6">
        <v>0.8</v>
      </c>
      <c r="R133" s="6">
        <f>-ROUNDUP(0.4/0.2, 0 )</f>
        <v>-2</v>
      </c>
      <c r="S133" s="5">
        <f>R133*Q133</f>
        <v>-1.6</v>
      </c>
      <c r="T133" s="199">
        <f>S133*0.449</f>
        <v>-0.71840000000000004</v>
      </c>
    </row>
    <row r="134" spans="1:20" ht="18.75" hidden="1" thickBot="1">
      <c r="A134" s="5" t="s">
        <v>124</v>
      </c>
      <c r="J134" s="110" t="s">
        <v>48</v>
      </c>
      <c r="K134" s="129">
        <f>ROUNDDOWN(SUM(K125:K133),2)</f>
        <v>4853.43</v>
      </c>
      <c r="L134" s="110" t="s">
        <v>16</v>
      </c>
      <c r="P134" s="5" t="s">
        <v>125</v>
      </c>
      <c r="S134" s="5">
        <v>7.28</v>
      </c>
      <c r="T134" s="199">
        <f>S134*0.449</f>
        <v>3.2687200000000001</v>
      </c>
    </row>
    <row r="135" spans="1:20" ht="19.5" hidden="1" thickTop="1" thickBot="1">
      <c r="Q135" s="6"/>
      <c r="R135" s="6"/>
      <c r="S135" s="5" t="s">
        <v>33</v>
      </c>
      <c r="T135" s="200">
        <f>SUM(T132:T134)</f>
        <v>12.742619999999999</v>
      </c>
    </row>
    <row r="136" spans="1:20" ht="18.75" hidden="1" thickTop="1">
      <c r="Q136" s="5" t="s">
        <v>126</v>
      </c>
    </row>
    <row r="137" spans="1:20">
      <c r="A137" s="201" t="s">
        <v>331</v>
      </c>
      <c r="P137" s="5" t="s">
        <v>121</v>
      </c>
      <c r="Q137" s="6">
        <f>1.4+1+1</f>
        <v>3.4</v>
      </c>
      <c r="R137" s="6">
        <f>ROUNDUP(0.87/0.15, 0 )</f>
        <v>6</v>
      </c>
      <c r="S137" s="5">
        <f>R137*Q137</f>
        <v>20.399999999999999</v>
      </c>
      <c r="T137" s="199">
        <f>S137*0.888</f>
        <v>18.115199999999998</v>
      </c>
    </row>
    <row r="138" spans="1:20">
      <c r="A138" s="5" t="s">
        <v>332</v>
      </c>
      <c r="J138" s="110" t="s">
        <v>48</v>
      </c>
      <c r="K138" s="176">
        <v>120</v>
      </c>
      <c r="L138" s="110" t="s">
        <v>30</v>
      </c>
      <c r="Q138" s="6">
        <f>0.87+1+1</f>
        <v>2.87</v>
      </c>
      <c r="R138" s="6">
        <f>ROUNDUP(1.4/0.2, 0 )</f>
        <v>7</v>
      </c>
      <c r="S138" s="5">
        <f>R138*Q138</f>
        <v>20.09</v>
      </c>
      <c r="T138" s="199">
        <f>S138*0.888</f>
        <v>17.839919999999999</v>
      </c>
    </row>
    <row r="139" spans="1:20">
      <c r="A139" s="5" t="s">
        <v>333</v>
      </c>
      <c r="J139" s="110" t="s">
        <v>48</v>
      </c>
      <c r="K139" s="176">
        <v>0</v>
      </c>
      <c r="L139" s="110" t="s">
        <v>30</v>
      </c>
      <c r="P139" s="5" t="s">
        <v>127</v>
      </c>
      <c r="Q139" s="6">
        <f>-1.44+1+1-0.8</f>
        <v>-0.24</v>
      </c>
      <c r="R139" s="6">
        <f>-ROUNDUP(0.8/0.15, 0 )</f>
        <v>-6</v>
      </c>
      <c r="S139" s="5">
        <f>R139*Q139</f>
        <v>1.44</v>
      </c>
      <c r="T139" s="199">
        <f>S139*0.888</f>
        <v>1.2787200000000001</v>
      </c>
    </row>
    <row r="140" spans="1:20" ht="18.75" thickBot="1">
      <c r="A140" s="5" t="s">
        <v>31</v>
      </c>
      <c r="B140" s="202"/>
      <c r="C140" s="5" t="s">
        <v>32</v>
      </c>
      <c r="J140" s="110" t="s">
        <v>48</v>
      </c>
      <c r="K140" s="176">
        <v>0</v>
      </c>
      <c r="L140" s="110" t="s">
        <v>30</v>
      </c>
      <c r="S140" s="5" t="s">
        <v>33</v>
      </c>
      <c r="T140" s="200">
        <f>SUM(T137:T139)</f>
        <v>37.233839999999994</v>
      </c>
    </row>
    <row r="141" spans="1:20" ht="18.75" thickTop="1">
      <c r="A141" s="5" t="s">
        <v>33</v>
      </c>
      <c r="J141" s="110" t="s">
        <v>48</v>
      </c>
      <c r="K141" s="176">
        <f>K138</f>
        <v>120</v>
      </c>
      <c r="L141" s="110" t="s">
        <v>30</v>
      </c>
      <c r="P141" s="195" t="s">
        <v>128</v>
      </c>
      <c r="Q141" s="6"/>
    </row>
    <row r="142" spans="1:20">
      <c r="A142" s="5" t="s">
        <v>334</v>
      </c>
      <c r="C142" s="203">
        <f>K141</f>
        <v>120</v>
      </c>
      <c r="D142" s="5" t="s">
        <v>335</v>
      </c>
      <c r="J142" s="110" t="s">
        <v>48</v>
      </c>
      <c r="K142" s="176">
        <f>C142*1.75</f>
        <v>210</v>
      </c>
      <c r="L142" s="110" t="s">
        <v>30</v>
      </c>
      <c r="P142" s="5" t="s">
        <v>129</v>
      </c>
      <c r="Q142" s="6">
        <f>(1.4+0.87+0.87+1.4)*1.1</f>
        <v>4.9940000000000007</v>
      </c>
      <c r="R142" s="5" t="s">
        <v>130</v>
      </c>
    </row>
    <row r="143" spans="1:20">
      <c r="A143" s="5" t="s">
        <v>336</v>
      </c>
      <c r="J143" s="110" t="s">
        <v>48</v>
      </c>
      <c r="K143" s="204">
        <v>73.25</v>
      </c>
      <c r="L143" s="110" t="s">
        <v>30</v>
      </c>
      <c r="P143" s="5" t="s">
        <v>131</v>
      </c>
      <c r="Q143" s="6">
        <f>(1.28+0.75+0.75+1.28)*1.1</f>
        <v>4.4660000000000011</v>
      </c>
      <c r="R143" s="5" t="s">
        <v>130</v>
      </c>
    </row>
    <row r="144" spans="1:20">
      <c r="A144" s="5" t="s">
        <v>337</v>
      </c>
      <c r="C144" s="203">
        <f>K142</f>
        <v>210</v>
      </c>
      <c r="D144" s="5" t="s">
        <v>338</v>
      </c>
      <c r="E144" s="205">
        <f>K143</f>
        <v>73.25</v>
      </c>
      <c r="J144" s="110" t="s">
        <v>48</v>
      </c>
      <c r="K144" s="176">
        <f>C144+E144</f>
        <v>283.25</v>
      </c>
      <c r="L144" s="110" t="s">
        <v>30</v>
      </c>
      <c r="P144" s="5" t="s">
        <v>132</v>
      </c>
      <c r="Q144" s="6">
        <v>-0.32</v>
      </c>
      <c r="R144" s="5" t="s">
        <v>130</v>
      </c>
    </row>
    <row r="145" spans="1:18">
      <c r="P145" s="5" t="s">
        <v>125</v>
      </c>
      <c r="Q145" s="6">
        <f>1.18*0.87</f>
        <v>1.0266</v>
      </c>
      <c r="R145" s="5" t="s">
        <v>130</v>
      </c>
    </row>
    <row r="146" spans="1:18" s="237" customFormat="1" ht="18.75">
      <c r="A146" s="236" t="s">
        <v>378</v>
      </c>
      <c r="C146" s="238"/>
      <c r="D146" s="238"/>
      <c r="E146" s="238"/>
      <c r="F146" s="238"/>
      <c r="L146" s="239"/>
    </row>
    <row r="147" spans="1:18" s="237" customFormat="1" ht="18.75">
      <c r="A147" s="240" t="s">
        <v>420</v>
      </c>
      <c r="B147" s="238"/>
      <c r="C147" s="238"/>
      <c r="D147" s="238"/>
      <c r="E147" s="238"/>
      <c r="F147" s="238"/>
      <c r="G147" s="238"/>
      <c r="H147" s="238"/>
      <c r="I147" s="238"/>
      <c r="J147" s="238"/>
      <c r="K147" s="238"/>
      <c r="L147" s="241"/>
    </row>
    <row r="148" spans="1:18" s="237" customFormat="1" ht="18.75">
      <c r="A148" s="238" t="s">
        <v>88</v>
      </c>
      <c r="B148" s="242">
        <v>0</v>
      </c>
      <c r="C148" s="238" t="s">
        <v>51</v>
      </c>
      <c r="D148" s="243" t="s">
        <v>60</v>
      </c>
      <c r="E148" s="242">
        <v>23.72</v>
      </c>
      <c r="F148" s="238"/>
      <c r="G148" s="238"/>
      <c r="H148" s="238"/>
      <c r="I148" s="244" t="s">
        <v>23</v>
      </c>
      <c r="J148" s="245">
        <f>ROUND(B148*E148,2)</f>
        <v>0</v>
      </c>
      <c r="K148" s="239" t="s">
        <v>379</v>
      </c>
      <c r="L148" s="239"/>
    </row>
    <row r="149" spans="1:18" s="237" customFormat="1" ht="18.75">
      <c r="A149" s="238" t="s">
        <v>91</v>
      </c>
      <c r="B149" s="238"/>
      <c r="C149" s="238"/>
      <c r="D149" s="238"/>
      <c r="E149" s="238"/>
      <c r="F149" s="238"/>
      <c r="G149" s="238"/>
      <c r="H149" s="238"/>
      <c r="I149" s="244" t="s">
        <v>23</v>
      </c>
      <c r="J149" s="246">
        <f>ราคาวัสดุ!J32</f>
        <v>700.93</v>
      </c>
      <c r="K149" s="239" t="s">
        <v>379</v>
      </c>
      <c r="L149" s="239"/>
    </row>
    <row r="150" spans="1:18" s="237" customFormat="1" ht="18.75">
      <c r="A150" s="238" t="s">
        <v>464</v>
      </c>
      <c r="B150" s="238"/>
      <c r="C150" s="238"/>
      <c r="D150" s="238"/>
      <c r="E150" s="238"/>
      <c r="F150" s="238"/>
      <c r="G150" s="238"/>
      <c r="H150" s="238"/>
      <c r="I150" s="244"/>
      <c r="J150" s="309"/>
      <c r="K150" s="239"/>
      <c r="L150" s="239"/>
    </row>
    <row r="151" spans="1:18" s="237" customFormat="1" ht="18.75">
      <c r="A151" s="238" t="s">
        <v>93</v>
      </c>
      <c r="B151" s="238"/>
      <c r="C151" s="238"/>
      <c r="D151" s="238"/>
      <c r="E151" s="238"/>
      <c r="F151" s="238"/>
      <c r="G151" s="238"/>
      <c r="H151" s="238"/>
      <c r="I151" s="244"/>
      <c r="J151" s="247"/>
      <c r="K151" s="239"/>
      <c r="L151" s="239"/>
    </row>
    <row r="152" spans="1:18" s="237" customFormat="1" ht="18.75">
      <c r="A152" s="238" t="s">
        <v>94</v>
      </c>
      <c r="B152" s="248">
        <v>25</v>
      </c>
      <c r="C152" s="238" t="s">
        <v>380</v>
      </c>
      <c r="D152" s="246">
        <v>63.61</v>
      </c>
      <c r="E152" s="243" t="s">
        <v>35</v>
      </c>
      <c r="F152" s="243">
        <v>13</v>
      </c>
      <c r="G152" s="249" t="s">
        <v>56</v>
      </c>
      <c r="H152" s="243">
        <v>300</v>
      </c>
      <c r="I152" s="244" t="s">
        <v>23</v>
      </c>
      <c r="J152" s="242">
        <f>D152*F152+H152</f>
        <v>1126.9299999999998</v>
      </c>
      <c r="K152" s="239" t="s">
        <v>381</v>
      </c>
      <c r="L152" s="239"/>
    </row>
    <row r="153" spans="1:18" s="237" customFormat="1" ht="18.75">
      <c r="A153" s="238" t="s">
        <v>99</v>
      </c>
      <c r="B153" s="238"/>
      <c r="C153" s="238" t="s">
        <v>382</v>
      </c>
      <c r="D153" s="242">
        <f>J152</f>
        <v>1126.9299999999998</v>
      </c>
      <c r="E153" s="243" t="s">
        <v>53</v>
      </c>
      <c r="F153" s="243">
        <v>24</v>
      </c>
      <c r="G153" s="238"/>
      <c r="H153" s="238"/>
      <c r="I153" s="244"/>
      <c r="J153" s="242">
        <f>D153/F153</f>
        <v>46.955416666666657</v>
      </c>
      <c r="K153" s="239"/>
      <c r="L153" s="239"/>
    </row>
    <row r="154" spans="1:18" s="237" customFormat="1" ht="18.75">
      <c r="A154" s="238" t="s">
        <v>383</v>
      </c>
      <c r="B154" s="238"/>
      <c r="C154" s="238" t="s">
        <v>382</v>
      </c>
      <c r="D154" s="247">
        <v>345</v>
      </c>
      <c r="E154" s="243" t="s">
        <v>379</v>
      </c>
      <c r="F154" s="243"/>
      <c r="G154" s="238"/>
      <c r="H154" s="238"/>
      <c r="I154" s="244"/>
      <c r="J154" s="247"/>
      <c r="K154" s="239"/>
      <c r="L154" s="239"/>
    </row>
    <row r="155" spans="1:18" s="237" customFormat="1" ht="18.75">
      <c r="A155" s="238" t="s">
        <v>107</v>
      </c>
      <c r="B155" s="238"/>
      <c r="C155" s="238"/>
      <c r="D155" s="244" t="s">
        <v>23</v>
      </c>
      <c r="E155" s="243">
        <v>9.0999999999999998E-2</v>
      </c>
      <c r="F155" s="239" t="s">
        <v>421</v>
      </c>
      <c r="G155" s="244" t="s">
        <v>23</v>
      </c>
      <c r="H155" s="272">
        <f>ข้อมูลคอนกรีต!M11</f>
        <v>1538.35</v>
      </c>
      <c r="I155" s="244" t="s">
        <v>23</v>
      </c>
      <c r="J155" s="247">
        <f>E155*H155</f>
        <v>139.98984999999999</v>
      </c>
      <c r="K155" s="239" t="s">
        <v>379</v>
      </c>
      <c r="L155" s="239"/>
    </row>
    <row r="156" spans="1:18" s="237" customFormat="1" ht="18.75">
      <c r="A156" s="238" t="s">
        <v>384</v>
      </c>
      <c r="B156" s="238"/>
      <c r="C156" s="238"/>
      <c r="D156" s="247"/>
      <c r="E156" s="243"/>
      <c r="F156" s="243"/>
      <c r="G156" s="238"/>
      <c r="H156" s="238"/>
      <c r="I156" s="244"/>
      <c r="J156" s="242">
        <f>J149+J153+J148+J155</f>
        <v>887.87526666666668</v>
      </c>
      <c r="K156" s="239"/>
      <c r="L156" s="239"/>
    </row>
    <row r="157" spans="1:18" s="237" customFormat="1" ht="18.75">
      <c r="A157" s="238" t="s">
        <v>27</v>
      </c>
      <c r="B157" s="238"/>
      <c r="C157" s="238"/>
      <c r="D157" s="247"/>
      <c r="E157" s="243"/>
      <c r="F157" s="243"/>
      <c r="G157" s="238"/>
      <c r="H157" s="238"/>
      <c r="I157" s="244"/>
      <c r="J157" s="250">
        <f>J156</f>
        <v>887.87526666666668</v>
      </c>
      <c r="K157" s="239"/>
      <c r="L157" s="239"/>
    </row>
    <row r="158" spans="1:18" s="237" customFormat="1" ht="18.75">
      <c r="A158" s="240" t="s">
        <v>385</v>
      </c>
      <c r="B158" s="238"/>
      <c r="C158" s="238"/>
      <c r="D158" s="238"/>
      <c r="E158" s="238"/>
      <c r="F158" s="238"/>
      <c r="G158" s="238"/>
      <c r="H158" s="238"/>
      <c r="I158" s="238"/>
      <c r="J158" s="251"/>
      <c r="K158" s="238"/>
      <c r="L158" s="241"/>
    </row>
    <row r="159" spans="1:18" s="237" customFormat="1" ht="18.75">
      <c r="A159" s="238" t="s">
        <v>88</v>
      </c>
      <c r="B159" s="242">
        <v>0</v>
      </c>
      <c r="C159" s="238" t="s">
        <v>51</v>
      </c>
      <c r="D159" s="243" t="s">
        <v>60</v>
      </c>
      <c r="E159" s="242">
        <v>0</v>
      </c>
      <c r="F159" s="238"/>
      <c r="G159" s="238"/>
      <c r="H159" s="238"/>
      <c r="I159" s="244" t="s">
        <v>23</v>
      </c>
      <c r="J159" s="245">
        <f>ROUND(B159*E159,2)</f>
        <v>0</v>
      </c>
      <c r="K159" s="239" t="s">
        <v>379</v>
      </c>
      <c r="L159" s="239"/>
    </row>
    <row r="160" spans="1:18" s="237" customFormat="1" ht="18.75">
      <c r="A160" s="238" t="s">
        <v>91</v>
      </c>
      <c r="B160" s="238"/>
      <c r="C160" s="238"/>
      <c r="D160" s="238"/>
      <c r="E160" s="238"/>
      <c r="F160" s="238"/>
      <c r="G160" s="238"/>
      <c r="H160" s="238"/>
      <c r="I160" s="244" t="s">
        <v>23</v>
      </c>
      <c r="J160" s="246">
        <f>[3]ราคาวัสดุ!F76</f>
        <v>0</v>
      </c>
      <c r="K160" s="239" t="s">
        <v>379</v>
      </c>
      <c r="L160" s="239"/>
    </row>
    <row r="161" spans="1:20" s="237" customFormat="1" ht="18.75">
      <c r="A161" s="238" t="s">
        <v>93</v>
      </c>
      <c r="B161" s="238"/>
      <c r="C161" s="238"/>
      <c r="D161" s="238"/>
      <c r="E161" s="238"/>
      <c r="F161" s="238"/>
      <c r="G161" s="238"/>
      <c r="H161" s="238"/>
      <c r="I161" s="244"/>
      <c r="J161" s="247"/>
      <c r="K161" s="239"/>
      <c r="L161" s="239"/>
    </row>
    <row r="162" spans="1:20" s="237" customFormat="1" ht="18.75">
      <c r="A162" s="238" t="s">
        <v>94</v>
      </c>
      <c r="B162" s="248">
        <v>25</v>
      </c>
      <c r="C162" s="238" t="s">
        <v>380</v>
      </c>
      <c r="D162" s="246">
        <v>50.8</v>
      </c>
      <c r="E162" s="243" t="s">
        <v>35</v>
      </c>
      <c r="F162" s="243">
        <v>13</v>
      </c>
      <c r="G162" s="249" t="s">
        <v>56</v>
      </c>
      <c r="H162" s="243">
        <v>300</v>
      </c>
      <c r="I162" s="244" t="s">
        <v>23</v>
      </c>
      <c r="J162" s="242">
        <f>D162*F162+H162</f>
        <v>960.4</v>
      </c>
      <c r="K162" s="239" t="s">
        <v>381</v>
      </c>
      <c r="L162" s="239"/>
    </row>
    <row r="163" spans="1:20" s="237" customFormat="1" ht="18.75">
      <c r="A163" s="238" t="s">
        <v>99</v>
      </c>
      <c r="B163" s="238"/>
      <c r="C163" s="238" t="s">
        <v>382</v>
      </c>
      <c r="D163" s="242">
        <f>J162</f>
        <v>960.4</v>
      </c>
      <c r="E163" s="243" t="s">
        <v>53</v>
      </c>
      <c r="F163" s="243">
        <v>18</v>
      </c>
      <c r="G163" s="238"/>
      <c r="H163" s="238"/>
      <c r="I163" s="244"/>
      <c r="J163" s="242">
        <f>D163/F163</f>
        <v>53.355555555555554</v>
      </c>
      <c r="K163" s="239"/>
      <c r="L163" s="239"/>
    </row>
    <row r="164" spans="1:20" s="237" customFormat="1" ht="18.75">
      <c r="A164" s="238" t="s">
        <v>383</v>
      </c>
      <c r="B164" s="238"/>
      <c r="C164" s="238" t="s">
        <v>382</v>
      </c>
      <c r="D164" s="247">
        <v>421</v>
      </c>
      <c r="E164" s="243" t="s">
        <v>379</v>
      </c>
      <c r="F164" s="243"/>
      <c r="G164" s="238"/>
      <c r="H164" s="238"/>
      <c r="I164" s="244"/>
      <c r="J164" s="247"/>
      <c r="K164" s="239"/>
      <c r="L164" s="239"/>
    </row>
    <row r="165" spans="1:20" s="237" customFormat="1" ht="18.75">
      <c r="A165" s="238" t="s">
        <v>384</v>
      </c>
      <c r="B165" s="238"/>
      <c r="C165" s="238"/>
      <c r="D165" s="247"/>
      <c r="E165" s="243"/>
      <c r="F165" s="243"/>
      <c r="G165" s="238"/>
      <c r="H165" s="238"/>
      <c r="I165" s="244"/>
      <c r="J165" s="242">
        <f>J160+J162+J163</f>
        <v>1013.7555555555555</v>
      </c>
      <c r="K165" s="239"/>
      <c r="L165" s="239"/>
    </row>
    <row r="166" spans="1:20" s="237" customFormat="1" ht="18.75">
      <c r="A166" s="252" t="s">
        <v>27</v>
      </c>
      <c r="B166" s="252"/>
      <c r="C166" s="252"/>
      <c r="D166" s="253"/>
      <c r="E166" s="254"/>
      <c r="F166" s="254"/>
      <c r="G166" s="252"/>
      <c r="H166" s="252"/>
      <c r="I166" s="255"/>
      <c r="J166" s="256">
        <f>J165</f>
        <v>1013.7555555555555</v>
      </c>
      <c r="K166" s="257"/>
      <c r="L166" s="257"/>
    </row>
    <row r="167" spans="1:20" s="237" customFormat="1" ht="18.75">
      <c r="A167" s="237" t="s">
        <v>386</v>
      </c>
      <c r="L167" s="239"/>
      <c r="P167" s="237" t="s">
        <v>104</v>
      </c>
    </row>
    <row r="168" spans="1:20" s="237" customFormat="1" ht="18.75">
      <c r="A168" s="237" t="s">
        <v>103</v>
      </c>
      <c r="D168" s="237">
        <v>0</v>
      </c>
      <c r="E168" s="237" t="s">
        <v>51</v>
      </c>
      <c r="G168" s="237" t="s">
        <v>60</v>
      </c>
      <c r="H168" s="237">
        <v>18.48</v>
      </c>
      <c r="I168" s="237" t="s">
        <v>30</v>
      </c>
      <c r="J168" s="237" t="s">
        <v>48</v>
      </c>
      <c r="K168" s="237">
        <v>0</v>
      </c>
      <c r="L168" s="239" t="s">
        <v>16</v>
      </c>
      <c r="P168" s="237" t="s">
        <v>106</v>
      </c>
      <c r="Q168" s="237">
        <v>0.1188</v>
      </c>
    </row>
    <row r="169" spans="1:20" s="237" customFormat="1" ht="18.75">
      <c r="A169" s="237" t="s">
        <v>105</v>
      </c>
      <c r="D169" s="237">
        <v>6.4000000000000001E-2</v>
      </c>
      <c r="E169" s="237" t="s">
        <v>51</v>
      </c>
      <c r="G169" s="237" t="s">
        <v>60</v>
      </c>
      <c r="H169" s="258">
        <f>ราคาวัสดุ!J31</f>
        <v>333.88</v>
      </c>
      <c r="I169" s="237" t="s">
        <v>30</v>
      </c>
      <c r="J169" s="237" t="s">
        <v>48</v>
      </c>
      <c r="K169" s="237">
        <f>ROUND(D169*H169,2)</f>
        <v>21.37</v>
      </c>
      <c r="L169" s="239" t="s">
        <v>16</v>
      </c>
      <c r="P169" s="237" t="s">
        <v>108</v>
      </c>
      <c r="Q169" s="237">
        <v>0.42810000000000004</v>
      </c>
    </row>
    <row r="170" spans="1:20" s="237" customFormat="1" ht="18.75">
      <c r="A170" s="237" t="s">
        <v>107</v>
      </c>
      <c r="D170" s="237">
        <v>6.4000000000000001E-2</v>
      </c>
      <c r="E170" s="237" t="s">
        <v>51</v>
      </c>
      <c r="G170" s="237" t="s">
        <v>60</v>
      </c>
      <c r="H170" s="271">
        <f>ข้อมูลคอนกรีต!M11</f>
        <v>1538.35</v>
      </c>
      <c r="I170" s="237" t="s">
        <v>30</v>
      </c>
      <c r="J170" s="237" t="s">
        <v>48</v>
      </c>
      <c r="K170" s="237">
        <f>ROUND(D170*H170,2)</f>
        <v>98.45</v>
      </c>
      <c r="L170" s="239" t="s">
        <v>16</v>
      </c>
      <c r="P170" s="237" t="s">
        <v>110</v>
      </c>
      <c r="Q170" s="237">
        <v>0.14520000000000002</v>
      </c>
    </row>
    <row r="171" spans="1:20" s="237" customFormat="1" ht="18.75">
      <c r="A171" s="237" t="s">
        <v>109</v>
      </c>
      <c r="D171" s="258">
        <f>บ่อพัก!F17</f>
        <v>0.73766399999999999</v>
      </c>
      <c r="E171" s="237" t="s">
        <v>51</v>
      </c>
      <c r="G171" s="237" t="s">
        <v>60</v>
      </c>
      <c r="H171" s="271">
        <f>ข้อมูลคอนกรีต!L11</f>
        <v>1635.43</v>
      </c>
      <c r="I171" s="237" t="s">
        <v>30</v>
      </c>
      <c r="J171" s="237" t="s">
        <v>48</v>
      </c>
      <c r="K171" s="237">
        <f t="shared" ref="K171" si="3">ROUND(D171*H171,2)</f>
        <v>1206.4000000000001</v>
      </c>
      <c r="L171" s="239" t="s">
        <v>16</v>
      </c>
      <c r="P171" s="237" t="s">
        <v>33</v>
      </c>
      <c r="Q171" s="237">
        <v>0.69210000000000005</v>
      </c>
      <c r="R171" s="237" t="s">
        <v>51</v>
      </c>
    </row>
    <row r="172" spans="1:20" s="237" customFormat="1" ht="18.75">
      <c r="A172" s="237" t="s">
        <v>111</v>
      </c>
      <c r="D172" s="258">
        <f>บ่อพัก!H28</f>
        <v>30.035808000000003</v>
      </c>
      <c r="E172" s="237" t="s">
        <v>71</v>
      </c>
      <c r="G172" s="237" t="s">
        <v>60</v>
      </c>
      <c r="H172" s="310">
        <f>ราคาวัสดุ!J13/1000</f>
        <v>23.249869999999998</v>
      </c>
      <c r="I172" s="237" t="s">
        <v>72</v>
      </c>
      <c r="J172" s="237" t="s">
        <v>48</v>
      </c>
      <c r="K172" s="237">
        <f>ROUND(D172*H172,2)</f>
        <v>698.33</v>
      </c>
      <c r="L172" s="239" t="s">
        <v>16</v>
      </c>
      <c r="P172" s="237" t="s">
        <v>113</v>
      </c>
    </row>
    <row r="173" spans="1:20" s="237" customFormat="1" ht="18.75">
      <c r="A173" s="237" t="s">
        <v>387</v>
      </c>
      <c r="D173" s="258">
        <f>บ่อพัก!H29</f>
        <v>73.357680000000002</v>
      </c>
      <c r="E173" s="237" t="s">
        <v>71</v>
      </c>
      <c r="G173" s="237" t="s">
        <v>60</v>
      </c>
      <c r="H173" s="310">
        <f>ราคาวัสดุ!J17/1000</f>
        <v>22.2912</v>
      </c>
      <c r="I173" s="237" t="s">
        <v>72</v>
      </c>
      <c r="K173" s="237">
        <f t="shared" ref="K173:K175" si="4">ROUND(D173*H173,2)</f>
        <v>1635.23</v>
      </c>
      <c r="L173" s="239" t="s">
        <v>16</v>
      </c>
      <c r="P173" s="237" t="s">
        <v>115</v>
      </c>
      <c r="R173" s="237" t="s">
        <v>116</v>
      </c>
      <c r="S173" s="237" t="s">
        <v>117</v>
      </c>
      <c r="T173" s="237" t="s">
        <v>71</v>
      </c>
    </row>
    <row r="174" spans="1:20" s="237" customFormat="1" ht="18.75">
      <c r="A174" s="237" t="s">
        <v>112</v>
      </c>
      <c r="D174" s="237">
        <v>1.71</v>
      </c>
      <c r="E174" s="237" t="s">
        <v>71</v>
      </c>
      <c r="G174" s="237" t="s">
        <v>60</v>
      </c>
      <c r="H174" s="258">
        <f>ราคาวัสดุ!J22</f>
        <v>46.73</v>
      </c>
      <c r="I174" s="237" t="s">
        <v>72</v>
      </c>
      <c r="J174" s="237" t="s">
        <v>48</v>
      </c>
      <c r="K174" s="237">
        <f t="shared" si="4"/>
        <v>79.91</v>
      </c>
      <c r="L174" s="239" t="s">
        <v>16</v>
      </c>
      <c r="P174" s="237" t="s">
        <v>121</v>
      </c>
      <c r="Q174" s="237">
        <v>5.2</v>
      </c>
      <c r="R174" s="237">
        <v>16.499999999999996</v>
      </c>
      <c r="S174" s="237">
        <v>85.799999999999983</v>
      </c>
      <c r="T174" s="237">
        <v>38.524199999999993</v>
      </c>
    </row>
    <row r="175" spans="1:20" s="237" customFormat="1" ht="18.75">
      <c r="A175" s="237" t="s">
        <v>114</v>
      </c>
      <c r="D175" s="346">
        <f>18.3253/4</f>
        <v>4.5813249999999996</v>
      </c>
      <c r="E175" s="237" t="s">
        <v>49</v>
      </c>
      <c r="G175" s="237" t="s">
        <v>60</v>
      </c>
      <c r="H175" s="237">
        <v>379.61500000000001</v>
      </c>
      <c r="I175" s="237" t="s">
        <v>62</v>
      </c>
      <c r="J175" s="237" t="s">
        <v>48</v>
      </c>
      <c r="K175" s="237">
        <f t="shared" si="4"/>
        <v>1739.14</v>
      </c>
      <c r="L175" s="239" t="s">
        <v>16</v>
      </c>
      <c r="P175" s="237" t="s">
        <v>388</v>
      </c>
      <c r="Q175" s="237">
        <v>2</v>
      </c>
      <c r="R175" s="237">
        <v>-10</v>
      </c>
      <c r="S175" s="237">
        <v>-20</v>
      </c>
      <c r="T175" s="237">
        <v>-8.98</v>
      </c>
    </row>
    <row r="176" spans="1:20" s="237" customFormat="1" ht="18.75">
      <c r="A176" s="237" t="s">
        <v>389</v>
      </c>
      <c r="D176" s="237">
        <f>บ่อพัก!H33</f>
        <v>2</v>
      </c>
      <c r="E176" s="237" t="s">
        <v>119</v>
      </c>
      <c r="G176" s="237" t="s">
        <v>60</v>
      </c>
      <c r="H176" s="273">
        <v>525.05999999999995</v>
      </c>
      <c r="I176" s="237" t="s">
        <v>120</v>
      </c>
      <c r="J176" s="237" t="s">
        <v>48</v>
      </c>
      <c r="K176" s="237">
        <f t="shared" ref="K176:K178" si="5">D176*H176</f>
        <v>1050.1199999999999</v>
      </c>
      <c r="L176" s="239" t="s">
        <v>16</v>
      </c>
      <c r="P176" s="237" t="s">
        <v>125</v>
      </c>
      <c r="S176" s="237">
        <v>12.419999999999998</v>
      </c>
      <c r="T176" s="237">
        <v>5.576579999999999</v>
      </c>
    </row>
    <row r="177" spans="1:20" s="237" customFormat="1" ht="18.75">
      <c r="A177" s="237" t="s">
        <v>390</v>
      </c>
      <c r="D177" s="237">
        <v>0.12</v>
      </c>
      <c r="E177" s="237" t="s">
        <v>119</v>
      </c>
      <c r="G177" s="237" t="s">
        <v>60</v>
      </c>
      <c r="H177" s="237">
        <v>1836.45</v>
      </c>
      <c r="I177" s="237" t="s">
        <v>120</v>
      </c>
      <c r="J177" s="237" t="s">
        <v>48</v>
      </c>
      <c r="K177" s="237">
        <f t="shared" si="5"/>
        <v>220.374</v>
      </c>
      <c r="L177" s="239" t="s">
        <v>16</v>
      </c>
      <c r="S177" s="237" t="s">
        <v>33</v>
      </c>
      <c r="T177" s="237">
        <v>35.120779999999989</v>
      </c>
    </row>
    <row r="178" spans="1:20" s="237" customFormat="1" ht="19.5" thickBot="1">
      <c r="A178" s="237" t="s">
        <v>391</v>
      </c>
      <c r="D178" s="237">
        <v>0.25</v>
      </c>
      <c r="E178" s="237" t="s">
        <v>119</v>
      </c>
      <c r="G178" s="237" t="s">
        <v>60</v>
      </c>
      <c r="H178" s="273">
        <v>0</v>
      </c>
      <c r="I178" s="237" t="s">
        <v>120</v>
      </c>
      <c r="K178" s="237">
        <f t="shared" si="5"/>
        <v>0</v>
      </c>
      <c r="L178" s="239" t="s">
        <v>16</v>
      </c>
      <c r="Q178" s="237" t="s">
        <v>126</v>
      </c>
    </row>
    <row r="179" spans="1:20" s="237" customFormat="1" ht="19.5" thickBot="1">
      <c r="A179" s="237" t="s">
        <v>124</v>
      </c>
      <c r="J179" s="237" t="s">
        <v>48</v>
      </c>
      <c r="K179" s="349">
        <f>SUM(K168:K178)</f>
        <v>6749.3239999999996</v>
      </c>
      <c r="L179" s="239" t="s">
        <v>16</v>
      </c>
      <c r="P179" s="237" t="s">
        <v>392</v>
      </c>
      <c r="Q179" s="237">
        <v>1.65</v>
      </c>
      <c r="R179" s="237">
        <v>18</v>
      </c>
      <c r="S179" s="237">
        <v>29.7</v>
      </c>
      <c r="T179" s="237">
        <v>26.3736</v>
      </c>
    </row>
    <row r="180" spans="1:20" s="237" customFormat="1" ht="18.75">
      <c r="L180" s="239"/>
      <c r="P180" s="237" t="s">
        <v>388</v>
      </c>
      <c r="Q180" s="237">
        <v>3.9</v>
      </c>
      <c r="R180" s="237">
        <v>2</v>
      </c>
      <c r="S180" s="237">
        <v>7.8</v>
      </c>
      <c r="T180" s="237">
        <v>6.9264000000000001</v>
      </c>
    </row>
    <row r="181" spans="1:20" s="237" customFormat="1" ht="18.75">
      <c r="A181" s="237" t="s">
        <v>497</v>
      </c>
      <c r="L181" s="239"/>
      <c r="S181" s="237" t="s">
        <v>33</v>
      </c>
      <c r="T181" s="237">
        <v>33.299999999999997</v>
      </c>
    </row>
    <row r="182" spans="1:20" s="237" customFormat="1" ht="18.75">
      <c r="A182" s="237" t="s">
        <v>109</v>
      </c>
      <c r="D182" s="258">
        <f>บ่อพัก!F50</f>
        <v>1.4590799999999997</v>
      </c>
      <c r="E182" s="237" t="s">
        <v>51</v>
      </c>
      <c r="G182" s="237" t="s">
        <v>60</v>
      </c>
      <c r="H182" s="271">
        <f>H171</f>
        <v>1635.43</v>
      </c>
      <c r="I182" s="237" t="s">
        <v>30</v>
      </c>
      <c r="J182" s="237" t="s">
        <v>48</v>
      </c>
      <c r="K182" s="237">
        <f>ROUND(D182*H182,2)</f>
        <v>2386.2199999999998</v>
      </c>
      <c r="L182" s="239" t="s">
        <v>16</v>
      </c>
      <c r="P182" s="237" t="s">
        <v>128</v>
      </c>
    </row>
    <row r="183" spans="1:20" s="237" customFormat="1" ht="18.75">
      <c r="A183" s="237" t="s">
        <v>111</v>
      </c>
      <c r="D183" s="258">
        <f>บ่อพัก!H61</f>
        <v>50.389020000000002</v>
      </c>
      <c r="E183" s="237" t="s">
        <v>71</v>
      </c>
      <c r="G183" s="237" t="s">
        <v>60</v>
      </c>
      <c r="H183" s="310">
        <f>H172</f>
        <v>23.249869999999998</v>
      </c>
      <c r="I183" s="237" t="s">
        <v>72</v>
      </c>
      <c r="J183" s="237" t="s">
        <v>48</v>
      </c>
      <c r="K183" s="237">
        <f>ROUND(D183*H183,2)</f>
        <v>1171.54</v>
      </c>
      <c r="L183" s="239" t="s">
        <v>16</v>
      </c>
      <c r="P183" s="237" t="s">
        <v>129</v>
      </c>
      <c r="Q183" s="237">
        <v>8.58</v>
      </c>
      <c r="R183" s="237" t="s">
        <v>130</v>
      </c>
    </row>
    <row r="184" spans="1:20" s="237" customFormat="1" ht="18.75">
      <c r="A184" s="237" t="s">
        <v>112</v>
      </c>
      <c r="D184" s="348">
        <f>(D183/1000)*25</f>
        <v>1.2597255000000001</v>
      </c>
      <c r="E184" s="237" t="s">
        <v>71</v>
      </c>
      <c r="G184" s="237" t="s">
        <v>60</v>
      </c>
      <c r="H184" s="258">
        <f>H174</f>
        <v>46.73</v>
      </c>
      <c r="I184" s="237" t="s">
        <v>72</v>
      </c>
      <c r="J184" s="237" t="s">
        <v>48</v>
      </c>
      <c r="K184" s="237">
        <f>ROUND(D184*H184,2)</f>
        <v>58.87</v>
      </c>
      <c r="L184" s="239" t="s">
        <v>16</v>
      </c>
      <c r="P184" s="237" t="s">
        <v>131</v>
      </c>
      <c r="Q184" s="237">
        <v>6.6</v>
      </c>
      <c r="R184" s="237" t="s">
        <v>130</v>
      </c>
    </row>
    <row r="185" spans="1:20" s="237" customFormat="1" ht="19.5" thickBot="1">
      <c r="A185" s="237" t="s">
        <v>114</v>
      </c>
      <c r="D185" s="346">
        <v>7.77</v>
      </c>
      <c r="E185" s="237" t="s">
        <v>49</v>
      </c>
      <c r="G185" s="237" t="s">
        <v>60</v>
      </c>
      <c r="H185" s="237">
        <v>379.61500000000001</v>
      </c>
      <c r="I185" s="237" t="s">
        <v>62</v>
      </c>
      <c r="J185" s="237" t="s">
        <v>48</v>
      </c>
      <c r="K185" s="237">
        <f>ROUND(D185*H185,2)</f>
        <v>2949.61</v>
      </c>
      <c r="L185" s="239" t="s">
        <v>16</v>
      </c>
      <c r="P185" s="237" t="s">
        <v>132</v>
      </c>
      <c r="Q185" s="237">
        <v>1.57</v>
      </c>
      <c r="R185" s="237" t="s">
        <v>130</v>
      </c>
    </row>
    <row r="186" spans="1:20" s="237" customFormat="1" ht="19.5" thickBot="1">
      <c r="A186" s="237" t="s">
        <v>503</v>
      </c>
      <c r="J186" s="237" t="s">
        <v>48</v>
      </c>
      <c r="K186" s="349">
        <f>K182+K183+K184+K185</f>
        <v>6566.24</v>
      </c>
      <c r="L186" s="239" t="s">
        <v>16</v>
      </c>
      <c r="P186" s="237" t="s">
        <v>125</v>
      </c>
      <c r="Q186" s="237">
        <v>1.5752999999999999</v>
      </c>
      <c r="R186" s="237" t="s">
        <v>130</v>
      </c>
    </row>
    <row r="187" spans="1:20" s="237" customFormat="1" ht="18.75">
      <c r="L187" s="239"/>
      <c r="P187" s="237" t="s">
        <v>33</v>
      </c>
      <c r="Q187" s="237">
        <v>18.325299999999999</v>
      </c>
      <c r="R187" s="237" t="s">
        <v>130</v>
      </c>
    </row>
    <row r="188" spans="1:20" ht="18.75">
      <c r="A188" s="237"/>
      <c r="B188" s="237"/>
      <c r="C188" s="237"/>
      <c r="D188" s="237"/>
      <c r="E188" s="237"/>
      <c r="F188" s="237"/>
      <c r="G188" s="237"/>
      <c r="H188" s="237"/>
      <c r="I188" s="237"/>
      <c r="J188" s="237"/>
      <c r="K188" s="237"/>
      <c r="L188" s="239"/>
    </row>
  </sheetData>
  <mergeCells count="10">
    <mergeCell ref="G59:H59"/>
    <mergeCell ref="G62:H62"/>
    <mergeCell ref="G63:H63"/>
    <mergeCell ref="A2:K2"/>
    <mergeCell ref="C6:L6"/>
    <mergeCell ref="C7:K7"/>
    <mergeCell ref="C8:K8"/>
    <mergeCell ref="C9:J9"/>
    <mergeCell ref="D54:E54"/>
    <mergeCell ref="G54:H54"/>
  </mergeCells>
  <conditionalFormatting sqref="G51 J51">
    <cfRule type="cellIs" dxfId="0" priority="1" stopIfTrue="1" operator="equal">
      <formula>0</formula>
    </cfRule>
  </conditionalFormatting>
  <dataValidations disablePrompts="1" count="3">
    <dataValidation allowBlank="1" showInputMessage="1" showErrorMessage="1" prompt="จากค่าวัสดุคอนกรีต ค.2 " sqref="F56"/>
    <dataValidation allowBlank="1" showInputMessage="1" showErrorMessage="1" prompt="ระยะรอยต่อคอนกรีตที่นำมาคิด" sqref="H64"/>
    <dataValidation allowBlank="1" showInputMessage="1" showErrorMessage="1" prompt="จากบัญชีค่าดำเนินการค่าเสื่อมราคา" sqref="F64:F66 D54:D55"/>
  </dataValidations>
  <pageMargins left="0.7" right="0.7" top="0.75" bottom="0.75" header="0.3" footer="0.3"/>
  <pageSetup paperSize="9" scale="71" orientation="portrait" horizontalDpi="300" verticalDpi="300" r:id="rId1"/>
  <rowBreaks count="3" manualBreakCount="3">
    <brk id="48" min="2" max="11" man="1"/>
    <brk id="92" min="2" max="11" man="1"/>
    <brk id="166" min="2" max="11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11</vt:i4>
      </vt:variant>
      <vt:variant>
        <vt:lpstr>ช่วงที่มีชื่อ</vt:lpstr>
      </vt:variant>
      <vt:variant>
        <vt:i4>8</vt:i4>
      </vt:variant>
    </vt:vector>
  </HeadingPairs>
  <TitlesOfParts>
    <vt:vector size="19" baseType="lpstr">
      <vt:lpstr>ข้อมูล</vt:lpstr>
      <vt:lpstr>สรุปราคากลาง</vt:lpstr>
      <vt:lpstr>Sheet2</vt:lpstr>
      <vt:lpstr>Sheet1</vt:lpstr>
      <vt:lpstr>งานดิน</vt:lpstr>
      <vt:lpstr>ข้อมูลคอนกรีต</vt:lpstr>
      <vt:lpstr>ราคาวัสดุ</vt:lpstr>
      <vt:lpstr>ไม้แบบ</vt:lpstr>
      <vt:lpstr>ราคาต้นทุนต่อหน่วย</vt:lpstr>
      <vt:lpstr>บ่อพัก</vt:lpstr>
      <vt:lpstr>ค่าระดับ</vt:lpstr>
      <vt:lpstr>Sheet1!Print_Area</vt:lpstr>
      <vt:lpstr>ข้อมูล!Print_Area</vt:lpstr>
      <vt:lpstr>ข้อมูลคอนกรีต!Print_Area</vt:lpstr>
      <vt:lpstr>ค่าระดับ!Print_Area</vt:lpstr>
      <vt:lpstr>ราคาต้นทุนต่อหน่วย!Print_Area</vt:lpstr>
      <vt:lpstr>สรุปราคากลาง!Print_Area</vt:lpstr>
      <vt:lpstr>ค่าระดับ!Print_Titles</vt:lpstr>
      <vt:lpstr>สรุปราคากลาง!Print_Titles</vt:lpstr>
    </vt:vector>
  </TitlesOfParts>
  <Company>www.easyosteam.com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KKD Windows7 V.11_x64</dc:creator>
  <cp:lastModifiedBy>Corporate Edition</cp:lastModifiedBy>
  <cp:lastPrinted>2024-04-08T04:27:05Z</cp:lastPrinted>
  <dcterms:created xsi:type="dcterms:W3CDTF">2018-12-12T08:20:00Z</dcterms:created>
  <dcterms:modified xsi:type="dcterms:W3CDTF">2024-04-23T02:44:59Z</dcterms:modified>
</cp:coreProperties>
</file>