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D:\งาน\2567\ราคากลางปรับปรุง สนง จว\"/>
    </mc:Choice>
  </mc:AlternateContent>
  <xr:revisionPtr revIDLastSave="0" documentId="13_ncr:1_{BDC818CE-6E30-47B4-92EF-DAC42A7E50BB}" xr6:coauthVersionLast="47" xr6:coauthVersionMax="47" xr10:uidLastSave="{00000000-0000-0000-0000-000000000000}"/>
  <bookViews>
    <workbookView xWindow="-108" yWindow="-108" windowWidth="23256" windowHeight="12456" tabRatio="682" firstSheet="1" activeTab="6" xr2:uid="{00000000-000D-0000-FFFF-FFFF00000000}"/>
  </bookViews>
  <sheets>
    <sheet name="f อาคาร" sheetId="21" state="hidden" r:id="rId1"/>
    <sheet name="ปร.6" sheetId="37" r:id="rId2"/>
    <sheet name=" 1.งานโครงสร้าง สนง (2)" sheetId="46" state="hidden" r:id="rId3"/>
    <sheet name="ปร.5" sheetId="39" r:id="rId4"/>
    <sheet name="ปร.4 " sheetId="49" r:id="rId5"/>
    <sheet name="factor F" sheetId="53" r:id="rId6"/>
    <sheet name="งวดงาน" sheetId="54" r:id="rId7"/>
    <sheet name="Sheet1" sheetId="40" state="hidden" r:id="rId8"/>
    <sheet name="ฐานราก" sheetId="45" state="hidden" r:id="rId9"/>
    <sheet name="2 งานสถาปัตยกรรม" sheetId="47" state="hidden" r:id="rId10"/>
    <sheet name="ชั้น1" sheetId="42" state="hidden" r:id="rId11"/>
    <sheet name="ชั้น2" sheetId="43" state="hidden" r:id="rId12"/>
    <sheet name="หลังคา" sheetId="44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q" localSheetId="6">#N/A</definedName>
    <definedName name="\q" localSheetId="4">#N/A</definedName>
    <definedName name="\q">#N/A</definedName>
    <definedName name="\s" localSheetId="6">#N/A</definedName>
    <definedName name="\s" localSheetId="4">#N/A</definedName>
    <definedName name="\s">#N/A</definedName>
    <definedName name="\t" localSheetId="6">#N/A</definedName>
    <definedName name="\t" localSheetId="4">#N/A</definedName>
    <definedName name="\t">#N/A</definedName>
    <definedName name="\z">#REF!</definedName>
    <definedName name="__ml1">#REF!</definedName>
    <definedName name="__Pm2544">#REF!</definedName>
    <definedName name="__sp1">#REF!</definedName>
    <definedName name="__tc1">#REF!</definedName>
    <definedName name="_01">'[1]Cal Fto'!#REF!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FAC1">[2]สรุป!$C$307</definedName>
    <definedName name="_Fill" localSheetId="2" hidden="1">[3]PL!#REF!</definedName>
    <definedName name="_Fill" localSheetId="9" hidden="1">[3]PL!#REF!</definedName>
    <definedName name="_Fill" localSheetId="8" hidden="1">[3]PL!#REF!</definedName>
    <definedName name="_Fill" hidden="1">[3]PL!#REF!</definedName>
    <definedName name="_ml1">#REF!</definedName>
    <definedName name="_Pm2544">#REF!</definedName>
    <definedName name="_sp1">#REF!</definedName>
    <definedName name="_tc1">#REF!</definedName>
    <definedName name="aa" localSheetId="9" hidden="1">{"'SUMMATION'!$B$2:$I$2"}</definedName>
    <definedName name="aa" hidden="1">{"'SUMMATION'!$B$2:$I$2"}</definedName>
    <definedName name="aaa" localSheetId="9" hidden="1">{"'SUMMATION'!$B$2:$I$2"}</definedName>
    <definedName name="aaa" hidden="1">{"'SUMMATION'!$B$2:$I$2"}</definedName>
    <definedName name="aaaa">#REF!</definedName>
    <definedName name="aaaaa">#REF!</definedName>
    <definedName name="AT">#REF!</definedName>
    <definedName name="AV.SP">#REF!</definedName>
    <definedName name="av1.sp">#REF!</definedName>
    <definedName name="B">#REF!</definedName>
    <definedName name="BA">#REF!</definedName>
    <definedName name="BB">#REF!</definedName>
    <definedName name="bd">#REF!</definedName>
    <definedName name="BD.">#REF!</definedName>
    <definedName name="BG">#REF!</definedName>
    <definedName name="BL">#REF!</definedName>
    <definedName name="Bm">#REF!</definedName>
    <definedName name="BOne">#REF!</definedName>
    <definedName name="Box_D">[4]ราคาต้นทุนต่อหน่วย!#REF!</definedName>
    <definedName name="Box_S">[4]ราคาต้นทุนต่อหน่วย!#REF!</definedName>
    <definedName name="Box_T">[4]ราคาต้นทุนต่อหน่วย!#REF!</definedName>
    <definedName name="Box_W">[4]ราคาต้นทุนต่อหน่วย!#REF!</definedName>
    <definedName name="BR">#REF!</definedName>
    <definedName name="bu">#REF!</definedName>
    <definedName name="BU.">#REF!</definedName>
    <definedName name="BZ">#REF!</definedName>
    <definedName name="c.">#REF!</definedName>
    <definedName name="CCTV" localSheetId="2">[5]boq!#REF!</definedName>
    <definedName name="CCTV" localSheetId="9">[6]boq!#REF!</definedName>
    <definedName name="CCTV" localSheetId="8">[5]boq!#REF!</definedName>
    <definedName name="CCTV">[5]boq!#REF!</definedName>
    <definedName name="Concrete">[7]FCalSH!$G$18</definedName>
    <definedName name="cost">#REF!</definedName>
    <definedName name="cost001">[4]ราคาต้นทุนต่อหน่วย!#REF!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">#REF!</definedName>
    <definedName name="CT">#REF!</definedName>
    <definedName name="CulvertSkew_L1">[4]ราคาต้นทุนต่อหน่วย!#REF!</definedName>
    <definedName name="CulvertSkew_S1">[4]ราคาต้นทุนต่อหน่วย!#REF!</definedName>
    <definedName name="CulvertSkew_S2">[4]ราคาต้นทุนต่อหน่วย!#REF!</definedName>
    <definedName name="CV">#REF!</definedName>
    <definedName name="D">'[1]Cal Fto'!#REF!</definedName>
    <definedName name="_xlnm.Database">#REF!</definedName>
    <definedName name="DB_12UP">[4]BOQ!#REF!</definedName>
    <definedName name="DB12_MM." localSheetId="2">#REF!</definedName>
    <definedName name="DB12_MM." localSheetId="9">#REF!</definedName>
    <definedName name="DB12_MM." localSheetId="8">#REF!</definedName>
    <definedName name="DB12_MM.">#REF!</definedName>
    <definedName name="DB16_MM." localSheetId="2">#REF!</definedName>
    <definedName name="DB16_MM." localSheetId="8">#REF!</definedName>
    <definedName name="DB16_MM.">#REF!</definedName>
    <definedName name="DB20_MM." localSheetId="2">#REF!</definedName>
    <definedName name="DB20_MM." localSheetId="8">#REF!</definedName>
    <definedName name="DB20_MM.">#REF!</definedName>
    <definedName name="DB25_MM." localSheetId="2">#REF!</definedName>
    <definedName name="DB25_MM." localSheetId="8">#REF!</definedName>
    <definedName name="DB25_MM.">#REF!</definedName>
    <definedName name="DB28_MM." localSheetId="2">#REF!</definedName>
    <definedName name="DB28_MM." localSheetId="8">#REF!</definedName>
    <definedName name="DB28_MM.">#REF!</definedName>
    <definedName name="DS">#REF!</definedName>
    <definedName name="DT">#REF!</definedName>
    <definedName name="e">#REF!</definedName>
    <definedName name="EL.1">'[1]Cal Fto'!#REF!</definedName>
    <definedName name="EL.10">'[1]Cal Fto'!#REF!</definedName>
    <definedName name="EL.11">#REF!</definedName>
    <definedName name="EL.2">'[1]Cal Fto'!#REF!</definedName>
    <definedName name="EL.3">'[1]Cal Fto'!#REF!</definedName>
    <definedName name="EL.4">'[1]Cal Fto'!#REF!</definedName>
    <definedName name="EL.5">'[1]Cal Fto'!#REF!</definedName>
    <definedName name="EL.6">'[1]Cal Fto'!#REF!</definedName>
    <definedName name="EL.7">'[1]Cal Fto'!#REF!</definedName>
    <definedName name="EL.8">'[1]Cal Fto'!#REF!</definedName>
    <definedName name="EL.9">'[1]Cal Fto'!#REF!</definedName>
    <definedName name="ER">#REF!</definedName>
    <definedName name="factor_table" localSheetId="2">#REF!</definedName>
    <definedName name="factor_table" localSheetId="5">'factor F'!$E$9:$E$31</definedName>
    <definedName name="factor_table" localSheetId="8">#REF!</definedName>
    <definedName name="factor_table">#REF!</definedName>
    <definedName name="FormWork">[7]FCalSH!$G$19</definedName>
    <definedName name="froad">#REF!</definedName>
    <definedName name="GR">#REF!</definedName>
    <definedName name="H">#REF!</definedName>
    <definedName name="HC">#REF!</definedName>
    <definedName name="HeadWall_h1">[4]ราคาต้นทุนต่อหน่วย!#REF!</definedName>
    <definedName name="HeadWall_L">[4]ราคาต้นทุนต่อหน่วย!#REF!</definedName>
    <definedName name="HeadWall_t1">[4]ราคาต้นทุนต่อหน่วย!#REF!</definedName>
    <definedName name="HHD">'[1]Cal Fto'!#REF!</definedName>
    <definedName name="HHU">'[1]Cal Fto'!#REF!</definedName>
    <definedName name="HOUR">#REF!</definedName>
    <definedName name="hour1">#REF!</definedName>
    <definedName name="HTML_CodePage" hidden="1">874</definedName>
    <definedName name="HTML_Control" localSheetId="9" hidden="1">{"'SUMMATION'!$B$2:$I$2"}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I_20">[4]ราคาต้นทุนต่อหน่วย!#REF!</definedName>
    <definedName name="I_30">[4]ราคาต้นทุนต่อหน่วย!#REF!</definedName>
    <definedName name="I6.12.1">[8]ต้นทุนงานทาง!$J$544</definedName>
    <definedName name="I6.12.2">[8]ต้นทุนงานทาง!$J$545</definedName>
    <definedName name="I6.17">[8]ต้นทุนงานทาง!$J$543</definedName>
    <definedName name="I6.7.1">[8]ต้นทุนงานทาง!$J$311</definedName>
    <definedName name="I6.7.2">[8]ต้นทุนงานทาง!$J$319</definedName>
    <definedName name="I6.9">[8]ต้นทุนงานทาง!$J$542</definedName>
    <definedName name="input10">#REF!</definedName>
    <definedName name="input11">#REF!</definedName>
    <definedName name="input12">#REF!</definedName>
    <definedName name="input120">#REF!</definedName>
    <definedName name="input13">#REF!</definedName>
    <definedName name="input14">#REF!</definedName>
    <definedName name="input15">#REF!</definedName>
    <definedName name="input16">#REF!</definedName>
    <definedName name="input17">#REF!</definedName>
    <definedName name="input2">#REF!</definedName>
    <definedName name="input3">#REF!</definedName>
    <definedName name="input4">#REF!</definedName>
    <definedName name="input5">#REF!</definedName>
    <definedName name="input6">#REF!</definedName>
    <definedName name="input7">#REF!</definedName>
    <definedName name="input8">#REF!</definedName>
    <definedName name="input9">#REF!</definedName>
    <definedName name="kkk">#REF!</definedName>
    <definedName name="L">'[1]Cal Fto'!#REF!</definedName>
    <definedName name="LB">#REF!</definedName>
    <definedName name="LBD">#REF!</definedName>
    <definedName name="LC">'[1]Cal Fto'!#REF!</definedName>
    <definedName name="LCD">#REF!</definedName>
    <definedName name="LCH">#REF!</definedName>
    <definedName name="LCU">#REF!</definedName>
    <definedName name="LD">'[1]Cal Fto'!#REF!</definedName>
    <definedName name="Lean">#REF!</definedName>
    <definedName name="LLOOO">#REF!</definedName>
    <definedName name="LONGBOLT">#REF!</definedName>
    <definedName name="LR">#REF!</definedName>
    <definedName name="LTD">'[1]Cal Fto'!#REF!</definedName>
    <definedName name="LTU">'[1]Cal Fto'!#REF!</definedName>
    <definedName name="LU">'[1]Cal Fto'!#REF!</definedName>
    <definedName name="LUB">#REF!</definedName>
    <definedName name="man">#REF!</definedName>
    <definedName name="MATV" localSheetId="2">[5]boq!#REF!</definedName>
    <definedName name="MATV" localSheetId="9">[6]boq!#REF!</definedName>
    <definedName name="MATV" localSheetId="8">[5]boq!#REF!</definedName>
    <definedName name="MATV">[5]boq!#REF!</definedName>
    <definedName name="MATV1" localSheetId="2">[5]boq!#REF!</definedName>
    <definedName name="MATV1" localSheetId="9">[6]boq!#REF!</definedName>
    <definedName name="MATV1" localSheetId="8">[5]boq!#REF!</definedName>
    <definedName name="MATV1">[5]boq!#REF!</definedName>
    <definedName name="ML">#REF!</definedName>
    <definedName name="mm">#REF!</definedName>
    <definedName name="N.G.L.">'[1]Cal Fto'!#REF!</definedName>
    <definedName name="NGL">#REF!</definedName>
    <definedName name="nnn">#REF!</definedName>
    <definedName name="P">#REF!</definedName>
    <definedName name="pan">#REF!</definedName>
    <definedName name="Plain">#REF!</definedName>
    <definedName name="pmk">#REF!</definedName>
    <definedName name="Pmk43katug">#REF!</definedName>
    <definedName name="POM">#REF!</definedName>
    <definedName name="ppp">#REF!</definedName>
    <definedName name="_xlnm.Print_Area" localSheetId="2">#REF!</definedName>
    <definedName name="_xlnm.Print_Area" localSheetId="9">#REF!</definedName>
    <definedName name="_xlnm.Print_Area" localSheetId="0">'f อาคาร'!$B$2:$N$39</definedName>
    <definedName name="_xlnm.Print_Area" localSheetId="6">งวดงาน!$A$1:$I$113</definedName>
    <definedName name="_xlnm.Print_Area" localSheetId="8">#REF!</definedName>
    <definedName name="_xlnm.Print_Area" localSheetId="4">'ปร.4 '!$A$1:$J$113</definedName>
    <definedName name="_xlnm.Print_Area" localSheetId="3">ปร.5!$A$1:$F$35</definedName>
    <definedName name="_xlnm.Print_Area" localSheetId="1">ปร.6!$A$1:$G$32</definedName>
    <definedName name="_xlnm.Print_Area">#REF!</definedName>
    <definedName name="PRINT_AREA_MI" localSheetId="2">'[9]LOTUS-EE1'!#REF!</definedName>
    <definedName name="PRINT_AREA_MI" localSheetId="8">'[9]LOTUS-EE1'!#REF!</definedName>
    <definedName name="PRINT_AREA_MI">'[9]LOTUS-EE1'!#REF!</definedName>
    <definedName name="_xlnm.Print_Titles" localSheetId="6">งวดงาน!$1:$7</definedName>
    <definedName name="_xlnm.Print_Titles" localSheetId="4">'ปร.4 '!$1:$7</definedName>
    <definedName name="RC_">#REF!</definedName>
    <definedName name="rc_1">#REF!</definedName>
    <definedName name="S">'[1]Cal Fto'!#REF!</definedName>
    <definedName name="SB">#REF!</definedName>
    <definedName name="SE" localSheetId="6">#N/A</definedName>
    <definedName name="SE" localSheetId="4">#N/A</definedName>
    <definedName name="SE">#N/A</definedName>
    <definedName name="SP">#REF!</definedName>
    <definedName name="STA">#REF!</definedName>
    <definedName name="sumbride">[10]bq!#REF!</definedName>
    <definedName name="t.1">#REF!</definedName>
    <definedName name="t.2">#REF!</definedName>
    <definedName name="t.3">#REF!</definedName>
    <definedName name="TC">#REF!</definedName>
    <definedName name="TEMP" localSheetId="6">#N/A</definedName>
    <definedName name="TEMP" localSheetId="4">#N/A</definedName>
    <definedName name="TEMP">#N/A</definedName>
    <definedName name="TIME">#REF!</definedName>
    <definedName name="time1">#REF!</definedName>
    <definedName name="TL">'[1]Cal Fto'!#REF!</definedName>
    <definedName name="TR">#REF!</definedName>
    <definedName name="Tsb">#REF!</definedName>
    <definedName name="Tst">#REF!</definedName>
    <definedName name="Tw">#REF!</definedName>
    <definedName name="Type">#REF!</definedName>
    <definedName name="W">#REF!</definedName>
    <definedName name="WALL" localSheetId="9" hidden="1">{"'SUMMATION'!$B$2:$I$2"}</definedName>
    <definedName name="WALL" hidden="1">{"'SUMMATION'!$B$2:$I$2"}</definedName>
    <definedName name="WEIGHT" localSheetId="2">#REF!</definedName>
    <definedName name="WEIGHT" localSheetId="9">#REF!</definedName>
    <definedName name="WEIGHT" localSheetId="8">#REF!</definedName>
    <definedName name="WEIGHT">#REF!</definedName>
    <definedName name="WT">#REF!</definedName>
    <definedName name="www">#REF!</definedName>
    <definedName name="x">#REF!</definedName>
    <definedName name="xs">#REF!</definedName>
    <definedName name="y">#REF!</definedName>
    <definedName name="yp">#REF!</definedName>
    <definedName name="ys">#REF!</definedName>
    <definedName name="Z">'[1]Cal Fto'!#REF!</definedName>
    <definedName name="กกกกก">#REF!</definedName>
    <definedName name="กราวน์" localSheetId="2">[5]boq!#REF!</definedName>
    <definedName name="กราวน์" localSheetId="9">[6]boq!#REF!</definedName>
    <definedName name="กราวน์" localSheetId="8">[5]boq!#REF!</definedName>
    <definedName name="กราวน์">[5]boq!#REF!</definedName>
    <definedName name="ขนส่งคอนกรีต">'[4]ค่าขนส่ง-1'!#REF!</definedName>
    <definedName name="ขุดดิน">[7]FCalSH!$G$27</definedName>
    <definedName name="คร.">#REF!</definedName>
    <definedName name="ความกว้างของห้อง__m.">#REF!</definedName>
    <definedName name="ความยาวของห้อง__m.">#REF!</definedName>
    <definedName name="คอนกรีตหยาบ">[7]FCalSH!$G$21</definedName>
    <definedName name="คานขวาง_I_30">[4]ราคาต้นทุนต่อหน่วย!#REF!</definedName>
    <definedName name="คานขวาง_I20">[4]ราคาต้นทุนต่อหน่วย!#REF!</definedName>
    <definedName name="โครงการ__อาคาร_พักแพทย์_พยาบาล_เภสัชกร_และ_ทันตแพทย์" localSheetId="2">#REF!</definedName>
    <definedName name="โครงการ__อาคาร_พักแพทย์_พยาบาล_เภสัชกร_และ_ทันตแพทย์" localSheetId="9">#REF!</definedName>
    <definedName name="โครงการ__อาคาร_พักแพทย์_พยาบาล_เภสัชกร_และ_ทันตแพทย์" localSheetId="8">#REF!</definedName>
    <definedName name="โครงการ__อาคาร_พักแพทย์_พยาบาล_เภสัชกร_และ_ทันตแพทย์">#REF!</definedName>
    <definedName name="งานทั่วไป">[11]ภูมิทัศน์!#REF!</definedName>
    <definedName name="งานบัวเชิงผนัง">[11]ภูมิทัศน์!#REF!</definedName>
    <definedName name="งานประตูหน้าต่าง">[11]ภูมิทัศน์!#REF!</definedName>
    <definedName name="งานผนัง">[11]ภูมิทัศน์!#REF!</definedName>
    <definedName name="งานฝ้าเพดาน">[11]ภูมิทัศน์!#REF!</definedName>
    <definedName name="งานพื้น">[11]ภูมิทัศน์!#REF!</definedName>
    <definedName name="งานสะพานคอนกรีตเสริมเหล็ก">[4]ราคาต้นทุนต่อหน่วย!#REF!</definedName>
    <definedName name="งานสุขภัณฑ์">[11]ภูมิทัศน์!#REF!</definedName>
    <definedName name="งานหลังคา">[11]ภูมิทัศน์!#REF!</definedName>
    <definedName name="จัดสร้าง">#REF!</definedName>
    <definedName name="ใช่">#REF!</definedName>
    <definedName name="ดด">#REF!</definedName>
    <definedName name="ดินตัด">#REF!</definedName>
    <definedName name="ใบ" localSheetId="9" hidden="1">{"'SUMMATION'!$B$2:$I$2"}</definedName>
    <definedName name="ใบ" hidden="1">{"'SUMMATION'!$B$2:$I$2"}</definedName>
    <definedName name="ปก32" localSheetId="9" hidden="1">{"'SUMMATION'!$B$2:$I$2"}</definedName>
    <definedName name="ปก32" hidden="1">{"'SUMMATION'!$B$2:$I$2"}</definedName>
    <definedName name="พื้นสะพานคอนกรีตช่วง_20_เมตร">[4]ราคาต้นทุนต่อหน่วย!#REF!</definedName>
    <definedName name="พื้นสะพานคอนกรีตช่วง30เมตร">[4]ราคาต้นทุนต่อหน่วย!#REF!</definedName>
    <definedName name="ภาพและเสียง" localSheetId="2">[5]boq!#REF!</definedName>
    <definedName name="ภาพและเสียง" localSheetId="9">[6]boq!#REF!</definedName>
    <definedName name="ภาพและเสียง" localSheetId="8">[5]boq!#REF!</definedName>
    <definedName name="ภาพและเสียง">[5]boq!#REF!</definedName>
    <definedName name="ภูมิอากาศ">[12]ข้อมูลขนส่ง!$B$2</definedName>
    <definedName name="มาโคร72">#N/A</definedName>
    <definedName name="ยท2544">#REF!</definedName>
    <definedName name="รร">#REF!</definedName>
    <definedName name="รวมราคา_I_30_ทั้งหมด">[4]ราคาต้นทุนต่อหน่วย!#REF!</definedName>
    <definedName name="ระยะดินตัด">[12]ข้อมูลขนส่ง!$L$4</definedName>
    <definedName name="ระยะทรายถม">[12]ข้อมูลขนส่ง!$T$12</definedName>
    <definedName name="ระยะทางขนส่งคอนกรีต">'[4]ค่าขนส่ง-1'!$K$61</definedName>
    <definedName name="ราคากลางสว่างแดนดิน">#REF!</definedName>
    <definedName name="ราคาค่าขนส่งคอนกรีต">'[4]ค่าขนส่ง-1'!$M$61</definedName>
    <definedName name="ราคาดินตัด">[12]ข้อมูลขนส่ง!$N$4</definedName>
    <definedName name="ราคาทรายถม">[12]ข้อมูลขนส่ง!$V$12</definedName>
    <definedName name="รางระบายน้ำ">[4]งานทั่วไปฯ!#REF!</definedName>
    <definedName name="รายการตกแต่งพื้น">#REF!</definedName>
    <definedName name="วววววววว">#REF!</definedName>
    <definedName name="ววววววววว">#REF!</definedName>
    <definedName name="ศาลปกครอง">#REF!</definedName>
    <definedName name="สกัดหัวเสาเข็ม">[7]FCalSH!$G$20</definedName>
    <definedName name="สว่าง">#REF!</definedName>
    <definedName name="แสง" localSheetId="2">[5]boq!#REF!</definedName>
    <definedName name="แสง" localSheetId="9">[6]boq!#REF!</definedName>
    <definedName name="แสง" localSheetId="8">[5]boq!#REF!</definedName>
    <definedName name="แสง">[5]boq!#REF!</definedName>
    <definedName name="แสงสว่างห้องประชุม" localSheetId="2">[5]boq!#REF!</definedName>
    <definedName name="แสงสว่างห้องประชุม" localSheetId="9">[6]boq!#REF!</definedName>
    <definedName name="แสงสว่างห้องประชุม" localSheetId="8">[5]boq!#REF!</definedName>
    <definedName name="แสงสว่างห้องประชุม">[5]boq!#REF!</definedName>
  </definedNames>
  <calcPr calcId="181029"/>
</workbook>
</file>

<file path=xl/calcChain.xml><?xml version="1.0" encoding="utf-8"?>
<calcChain xmlns="http://schemas.openxmlformats.org/spreadsheetml/2006/main">
  <c r="N117" i="54" l="1"/>
  <c r="M117" i="54"/>
  <c r="L117" i="54"/>
  <c r="K117" i="54"/>
  <c r="J117" i="54"/>
  <c r="N115" i="54"/>
  <c r="C8" i="39"/>
  <c r="I113" i="49"/>
  <c r="I28" i="49"/>
  <c r="I28" i="54"/>
  <c r="I113" i="54"/>
  <c r="M113" i="54"/>
  <c r="J113" i="54"/>
  <c r="M110" i="54"/>
  <c r="M109" i="54"/>
  <c r="M108" i="54"/>
  <c r="M107" i="54"/>
  <c r="M106" i="54"/>
  <c r="M104" i="54"/>
  <c r="M102" i="54"/>
  <c r="M101" i="54"/>
  <c r="M99" i="54"/>
  <c r="M97" i="54"/>
  <c r="M95" i="54"/>
  <c r="M94" i="54"/>
  <c r="M92" i="54"/>
  <c r="M90" i="54"/>
  <c r="L81" i="54"/>
  <c r="L79" i="54"/>
  <c r="L87" i="54"/>
  <c r="L113" i="54" s="1"/>
  <c r="L86" i="54"/>
  <c r="L85" i="54"/>
  <c r="L50" i="54"/>
  <c r="L45" i="54"/>
  <c r="L41" i="54"/>
  <c r="J75" i="54"/>
  <c r="K48" i="54"/>
  <c r="K47" i="54"/>
  <c r="K40" i="54"/>
  <c r="K39" i="54"/>
  <c r="J83" i="54"/>
  <c r="J111" i="54"/>
  <c r="K36" i="54"/>
  <c r="K35" i="54"/>
  <c r="K33" i="54"/>
  <c r="K32" i="54"/>
  <c r="K37" i="54"/>
  <c r="J44" i="54"/>
  <c r="J53" i="54"/>
  <c r="J74" i="54"/>
  <c r="J72" i="54"/>
  <c r="J70" i="54"/>
  <c r="J68" i="54"/>
  <c r="J66" i="54"/>
  <c r="J64" i="54"/>
  <c r="J62" i="54"/>
  <c r="J58" i="54"/>
  <c r="J31" i="54"/>
  <c r="J30" i="54"/>
  <c r="J16" i="54"/>
  <c r="J14" i="54"/>
  <c r="H111" i="54"/>
  <c r="F111" i="54"/>
  <c r="H110" i="54"/>
  <c r="F110" i="54"/>
  <c r="H109" i="54"/>
  <c r="F109" i="54"/>
  <c r="H108" i="54"/>
  <c r="F108" i="54"/>
  <c r="I108" i="54" s="1"/>
  <c r="H107" i="54"/>
  <c r="F107" i="54"/>
  <c r="I107" i="54" s="1"/>
  <c r="H106" i="54"/>
  <c r="F106" i="54"/>
  <c r="I106" i="54" s="1"/>
  <c r="H104" i="54"/>
  <c r="F104" i="54"/>
  <c r="I104" i="54" s="1"/>
  <c r="H102" i="54"/>
  <c r="F102" i="54"/>
  <c r="H101" i="54"/>
  <c r="F101" i="54"/>
  <c r="I101" i="54" s="1"/>
  <c r="H99" i="54"/>
  <c r="F99" i="54"/>
  <c r="I99" i="54" s="1"/>
  <c r="H97" i="54"/>
  <c r="F97" i="54"/>
  <c r="H95" i="54"/>
  <c r="F95" i="54"/>
  <c r="H94" i="54"/>
  <c r="F94" i="54"/>
  <c r="H92" i="54"/>
  <c r="F92" i="54"/>
  <c r="I92" i="54" s="1"/>
  <c r="H90" i="54"/>
  <c r="F90" i="54"/>
  <c r="I90" i="54" s="1"/>
  <c r="H87" i="54"/>
  <c r="F87" i="54"/>
  <c r="H86" i="54"/>
  <c r="F86" i="54"/>
  <c r="I86" i="54" s="1"/>
  <c r="H85" i="54"/>
  <c r="F85" i="54"/>
  <c r="H83" i="54"/>
  <c r="F83" i="54"/>
  <c r="I83" i="54" s="1"/>
  <c r="H81" i="54"/>
  <c r="F81" i="54"/>
  <c r="I81" i="54" s="1"/>
  <c r="H79" i="54"/>
  <c r="F79" i="54"/>
  <c r="H75" i="54"/>
  <c r="F75" i="54"/>
  <c r="I75" i="54" s="1"/>
  <c r="H74" i="54"/>
  <c r="F74" i="54"/>
  <c r="H72" i="54"/>
  <c r="F72" i="54"/>
  <c r="H70" i="54"/>
  <c r="F70" i="54"/>
  <c r="I70" i="54" s="1"/>
  <c r="H68" i="54"/>
  <c r="F68" i="54"/>
  <c r="I68" i="54" s="1"/>
  <c r="H66" i="54"/>
  <c r="F66" i="54"/>
  <c r="H64" i="54"/>
  <c r="F64" i="54"/>
  <c r="H62" i="54"/>
  <c r="F62" i="54"/>
  <c r="I62" i="54" s="1"/>
  <c r="H58" i="54"/>
  <c r="F58" i="54"/>
  <c r="I58" i="54" s="1"/>
  <c r="H53" i="54"/>
  <c r="F53" i="54"/>
  <c r="H50" i="54"/>
  <c r="F50" i="54"/>
  <c r="I50" i="54" s="1"/>
  <c r="H48" i="54"/>
  <c r="F48" i="54"/>
  <c r="H47" i="54"/>
  <c r="F47" i="54"/>
  <c r="I47" i="54" s="1"/>
  <c r="H45" i="54"/>
  <c r="F45" i="54"/>
  <c r="I45" i="54" s="1"/>
  <c r="H44" i="54"/>
  <c r="F44" i="54"/>
  <c r="I44" i="54" s="1"/>
  <c r="H41" i="54"/>
  <c r="F41" i="54"/>
  <c r="H40" i="54"/>
  <c r="F40" i="54"/>
  <c r="H39" i="54"/>
  <c r="F39" i="54"/>
  <c r="I39" i="54" s="1"/>
  <c r="H37" i="54"/>
  <c r="F37" i="54"/>
  <c r="I37" i="54" s="1"/>
  <c r="H36" i="54"/>
  <c r="F36" i="54"/>
  <c r="H35" i="54"/>
  <c r="F35" i="54"/>
  <c r="I35" i="54" s="1"/>
  <c r="H33" i="54"/>
  <c r="F33" i="54"/>
  <c r="H32" i="54"/>
  <c r="F32" i="54"/>
  <c r="I32" i="54" s="1"/>
  <c r="H31" i="54"/>
  <c r="F31" i="54"/>
  <c r="I31" i="54" s="1"/>
  <c r="H30" i="54"/>
  <c r="F30" i="54"/>
  <c r="I30" i="54" s="1"/>
  <c r="H27" i="54"/>
  <c r="F27" i="54"/>
  <c r="H25" i="54"/>
  <c r="I25" i="54" s="1"/>
  <c r="J25" i="54" s="1"/>
  <c r="H23" i="54"/>
  <c r="I23" i="54" s="1"/>
  <c r="J23" i="54" s="1"/>
  <c r="H22" i="54"/>
  <c r="I22" i="54" s="1"/>
  <c r="J22" i="54" s="1"/>
  <c r="H21" i="54"/>
  <c r="F21" i="54"/>
  <c r="I21" i="54" s="1"/>
  <c r="J21" i="54" s="1"/>
  <c r="H20" i="54"/>
  <c r="F20" i="54"/>
  <c r="H19" i="54"/>
  <c r="F19" i="54"/>
  <c r="I19" i="54" s="1"/>
  <c r="J19" i="54" s="1"/>
  <c r="H18" i="54"/>
  <c r="F18" i="54"/>
  <c r="H16" i="54"/>
  <c r="F16" i="54"/>
  <c r="I16" i="54" s="1"/>
  <c r="H14" i="54"/>
  <c r="F14" i="54"/>
  <c r="I14" i="54" s="1"/>
  <c r="H12" i="54"/>
  <c r="F12" i="54"/>
  <c r="H11" i="54"/>
  <c r="F11" i="54"/>
  <c r="I11" i="54" s="1"/>
  <c r="J11" i="54" s="1"/>
  <c r="H10" i="54"/>
  <c r="F10" i="54"/>
  <c r="I10" i="54" s="1"/>
  <c r="J10" i="54" s="1"/>
  <c r="H9" i="54"/>
  <c r="F9" i="54"/>
  <c r="B9" i="53"/>
  <c r="H64" i="49"/>
  <c r="F64" i="49"/>
  <c r="L45" i="49"/>
  <c r="L61" i="49"/>
  <c r="K61" i="49"/>
  <c r="L60" i="49"/>
  <c r="L58" i="49" s="1"/>
  <c r="K60" i="49"/>
  <c r="K58" i="49" s="1"/>
  <c r="L55" i="49"/>
  <c r="K55" i="49"/>
  <c r="H53" i="49"/>
  <c r="L57" i="49"/>
  <c r="K57" i="49"/>
  <c r="L56" i="49"/>
  <c r="K56" i="49"/>
  <c r="K38" i="49"/>
  <c r="K37" i="49"/>
  <c r="M37" i="49" s="1"/>
  <c r="M104" i="49"/>
  <c r="L104" i="49"/>
  <c r="K104" i="49"/>
  <c r="M102" i="49"/>
  <c r="L102" i="49"/>
  <c r="K102" i="49"/>
  <c r="L84" i="49"/>
  <c r="K84" i="49"/>
  <c r="H83" i="49"/>
  <c r="F83" i="49"/>
  <c r="L112" i="49"/>
  <c r="K112" i="49"/>
  <c r="L76" i="49"/>
  <c r="K76" i="49"/>
  <c r="L77" i="49"/>
  <c r="K77" i="49"/>
  <c r="L78" i="49"/>
  <c r="K78" i="49"/>
  <c r="M78" i="49" s="1"/>
  <c r="H111" i="49"/>
  <c r="F111" i="49"/>
  <c r="L86" i="49"/>
  <c r="K86" i="49"/>
  <c r="L85" i="49"/>
  <c r="K85" i="49"/>
  <c r="H68" i="49"/>
  <c r="F68" i="49"/>
  <c r="M40" i="49"/>
  <c r="L40" i="49"/>
  <c r="K40" i="49"/>
  <c r="K39" i="49"/>
  <c r="L39" i="49"/>
  <c r="I128" i="49"/>
  <c r="I150" i="49"/>
  <c r="I135" i="49"/>
  <c r="G138" i="49"/>
  <c r="G137" i="49"/>
  <c r="G136" i="49"/>
  <c r="G135" i="49"/>
  <c r="G153" i="49"/>
  <c r="G152" i="49"/>
  <c r="G151" i="49"/>
  <c r="G150" i="49"/>
  <c r="H50" i="49"/>
  <c r="F50" i="49"/>
  <c r="G146" i="49"/>
  <c r="I145" i="49"/>
  <c r="G145" i="49"/>
  <c r="G144" i="49"/>
  <c r="G143" i="49"/>
  <c r="G131" i="49"/>
  <c r="G130" i="49"/>
  <c r="G129" i="49"/>
  <c r="G128" i="49"/>
  <c r="G124" i="49"/>
  <c r="G125" i="49" s="1"/>
  <c r="G120" i="49"/>
  <c r="G119" i="49"/>
  <c r="G118" i="49"/>
  <c r="G117" i="49"/>
  <c r="G116" i="49"/>
  <c r="I114" i="54" l="1"/>
  <c r="L114" i="54"/>
  <c r="M114" i="54"/>
  <c r="K113" i="54"/>
  <c r="K114" i="54" s="1"/>
  <c r="I95" i="54"/>
  <c r="I9" i="54"/>
  <c r="J9" i="54" s="1"/>
  <c r="I27" i="54"/>
  <c r="J27" i="54" s="1"/>
  <c r="I48" i="54"/>
  <c r="I74" i="54"/>
  <c r="I94" i="54"/>
  <c r="I109" i="54"/>
  <c r="I20" i="54"/>
  <c r="J20" i="54" s="1"/>
  <c r="I36" i="54"/>
  <c r="I53" i="54"/>
  <c r="I79" i="54"/>
  <c r="I97" i="54"/>
  <c r="I111" i="54"/>
  <c r="I87" i="54"/>
  <c r="I18" i="54"/>
  <c r="J18" i="54" s="1"/>
  <c r="I72" i="54"/>
  <c r="I33" i="54"/>
  <c r="I110" i="54"/>
  <c r="I40" i="54"/>
  <c r="I41" i="54"/>
  <c r="I64" i="54"/>
  <c r="I85" i="54"/>
  <c r="I102" i="54"/>
  <c r="I12" i="54"/>
  <c r="I66" i="54"/>
  <c r="I64" i="49"/>
  <c r="I83" i="49"/>
  <c r="L53" i="49"/>
  <c r="K53" i="49"/>
  <c r="M77" i="49"/>
  <c r="M76" i="49"/>
  <c r="M75" i="49" s="1"/>
  <c r="I111" i="49"/>
  <c r="G139" i="49"/>
  <c r="I68" i="49"/>
  <c r="G154" i="49"/>
  <c r="I50" i="49"/>
  <c r="G147" i="49"/>
  <c r="G132" i="49"/>
  <c r="G121" i="49"/>
  <c r="K23" i="49"/>
  <c r="K16" i="49"/>
  <c r="H9" i="49"/>
  <c r="F9" i="49"/>
  <c r="N113" i="54" l="1"/>
  <c r="J12" i="54"/>
  <c r="J114" i="54"/>
  <c r="I9" i="49"/>
  <c r="H110" i="49"/>
  <c r="F110" i="49"/>
  <c r="I110" i="49" l="1"/>
  <c r="H99" i="49"/>
  <c r="F99" i="49"/>
  <c r="I99" i="49" l="1"/>
  <c r="H74" i="49" l="1"/>
  <c r="F74" i="49"/>
  <c r="F75" i="49"/>
  <c r="H75" i="49"/>
  <c r="H72" i="49"/>
  <c r="F72" i="49"/>
  <c r="H70" i="49"/>
  <c r="H66" i="49"/>
  <c r="H62" i="49"/>
  <c r="F70" i="49"/>
  <c r="F66" i="49"/>
  <c r="F62" i="49"/>
  <c r="I75" i="49" l="1"/>
  <c r="I74" i="49"/>
  <c r="I72" i="49"/>
  <c r="I70" i="49"/>
  <c r="I66" i="49"/>
  <c r="I62" i="49"/>
  <c r="F108" i="49" l="1"/>
  <c r="H108" i="49"/>
  <c r="H107" i="49"/>
  <c r="F107" i="49"/>
  <c r="H86" i="49"/>
  <c r="F86" i="49"/>
  <c r="I108" i="49" l="1"/>
  <c r="I107" i="49"/>
  <c r="I86" i="49"/>
  <c r="H40" i="49" l="1"/>
  <c r="F40" i="49"/>
  <c r="I40" i="49" l="1"/>
  <c r="H35" i="49" l="1"/>
  <c r="F35" i="49"/>
  <c r="H37" i="49"/>
  <c r="F37" i="49"/>
  <c r="H33" i="49"/>
  <c r="F33" i="49"/>
  <c r="H31" i="49"/>
  <c r="F31" i="49"/>
  <c r="I35" i="49" l="1"/>
  <c r="I37" i="49"/>
  <c r="I33" i="49"/>
  <c r="I31" i="49"/>
  <c r="H39" i="49"/>
  <c r="F39" i="49"/>
  <c r="H36" i="49"/>
  <c r="F36" i="49"/>
  <c r="H44" i="49"/>
  <c r="F44" i="49"/>
  <c r="F41" i="49"/>
  <c r="H41" i="49"/>
  <c r="H58" i="49"/>
  <c r="F58" i="49"/>
  <c r="I39" i="49" l="1"/>
  <c r="I44" i="49"/>
  <c r="I36" i="49"/>
  <c r="I41" i="49"/>
  <c r="I58" i="49"/>
  <c r="H106" i="49" l="1"/>
  <c r="F106" i="49"/>
  <c r="H109" i="49"/>
  <c r="H101" i="49"/>
  <c r="F101" i="49"/>
  <c r="H25" i="49"/>
  <c r="I25" i="49" s="1"/>
  <c r="I106" i="49" l="1"/>
  <c r="I101" i="49"/>
  <c r="H104" i="49"/>
  <c r="F104" i="49"/>
  <c r="F94" i="49"/>
  <c r="I104" i="49" l="1"/>
  <c r="H12" i="49"/>
  <c r="F12" i="49"/>
  <c r="H23" i="49"/>
  <c r="I23" i="49" s="1"/>
  <c r="H22" i="49"/>
  <c r="I22" i="49" s="1"/>
  <c r="H20" i="49"/>
  <c r="F20" i="49"/>
  <c r="H19" i="49"/>
  <c r="F19" i="49"/>
  <c r="H102" i="49"/>
  <c r="H97" i="49"/>
  <c r="F109" i="49"/>
  <c r="F102" i="49"/>
  <c r="F87" i="49"/>
  <c r="F85" i="49"/>
  <c r="F97" i="49"/>
  <c r="H95" i="49"/>
  <c r="F95" i="49"/>
  <c r="H94" i="49"/>
  <c r="H92" i="49"/>
  <c r="F92" i="49"/>
  <c r="H90" i="49"/>
  <c r="F90" i="49"/>
  <c r="H85" i="49"/>
  <c r="H79" i="49"/>
  <c r="F79" i="49"/>
  <c r="F53" i="49"/>
  <c r="H45" i="49"/>
  <c r="F45" i="49"/>
  <c r="H48" i="49"/>
  <c r="F48" i="49"/>
  <c r="H47" i="49"/>
  <c r="F47" i="49"/>
  <c r="H32" i="49"/>
  <c r="F32" i="49"/>
  <c r="F30" i="49"/>
  <c r="H21" i="49"/>
  <c r="F21" i="49"/>
  <c r="I20" i="49" l="1"/>
  <c r="I12" i="49"/>
  <c r="I102" i="49"/>
  <c r="I19" i="49"/>
  <c r="I109" i="49"/>
  <c r="I97" i="49"/>
  <c r="I92" i="49"/>
  <c r="I95" i="49"/>
  <c r="I94" i="49"/>
  <c r="I85" i="49"/>
  <c r="I90" i="49"/>
  <c r="I79" i="49"/>
  <c r="I47" i="49"/>
  <c r="I53" i="49"/>
  <c r="I45" i="49"/>
  <c r="I48" i="49"/>
  <c r="I32" i="49"/>
  <c r="I21" i="49"/>
  <c r="H87" i="49"/>
  <c r="H81" i="49"/>
  <c r="F81" i="49"/>
  <c r="H30" i="49"/>
  <c r="I30" i="49" l="1"/>
  <c r="I87" i="49"/>
  <c r="I81" i="49"/>
  <c r="H27" i="49" l="1"/>
  <c r="H18" i="49"/>
  <c r="F18" i="49"/>
  <c r="F16" i="49"/>
  <c r="H16" i="49"/>
  <c r="H14" i="49"/>
  <c r="F14" i="49"/>
  <c r="H11" i="49"/>
  <c r="F11" i="49"/>
  <c r="I11" i="49" l="1"/>
  <c r="I18" i="49"/>
  <c r="F10" i="49"/>
  <c r="H10" i="49"/>
  <c r="I16" i="49"/>
  <c r="I14" i="49"/>
  <c r="F27" i="49"/>
  <c r="I27" i="49" s="1"/>
  <c r="I10" i="49" l="1"/>
  <c r="C5" i="53" l="1"/>
  <c r="B8" i="53" s="1"/>
  <c r="B12" i="53" s="1"/>
  <c r="H8" i="45"/>
  <c r="H4" i="45"/>
  <c r="G4" i="45"/>
  <c r="F4" i="45"/>
  <c r="E8" i="45"/>
  <c r="E4" i="45"/>
  <c r="H40" i="47"/>
  <c r="F40" i="47"/>
  <c r="H316" i="47"/>
  <c r="F316" i="47"/>
  <c r="H315" i="47"/>
  <c r="F315" i="47"/>
  <c r="H313" i="47"/>
  <c r="F313" i="47"/>
  <c r="H311" i="47"/>
  <c r="F311" i="47"/>
  <c r="H309" i="47"/>
  <c r="F309" i="47"/>
  <c r="H293" i="47"/>
  <c r="F293" i="47"/>
  <c r="H291" i="47"/>
  <c r="F291" i="47"/>
  <c r="H290" i="47"/>
  <c r="F290" i="47"/>
  <c r="H285" i="47"/>
  <c r="F285" i="47"/>
  <c r="H284" i="47"/>
  <c r="F284" i="47"/>
  <c r="I284" i="47" s="1"/>
  <c r="H283" i="47"/>
  <c r="F283" i="47"/>
  <c r="H281" i="47"/>
  <c r="F281" i="47"/>
  <c r="H266" i="47"/>
  <c r="F266" i="47"/>
  <c r="H265" i="47"/>
  <c r="F265" i="47"/>
  <c r="H264" i="47"/>
  <c r="F264" i="47"/>
  <c r="H263" i="47"/>
  <c r="F263" i="47"/>
  <c r="H262" i="47"/>
  <c r="I262" i="47" s="1"/>
  <c r="F262" i="47"/>
  <c r="H261" i="47"/>
  <c r="F261" i="47"/>
  <c r="H260" i="47"/>
  <c r="F260" i="47"/>
  <c r="H259" i="47"/>
  <c r="F259" i="47"/>
  <c r="H258" i="47"/>
  <c r="F258" i="47"/>
  <c r="H257" i="47"/>
  <c r="F257" i="47"/>
  <c r="H256" i="47"/>
  <c r="F256" i="47"/>
  <c r="H255" i="47"/>
  <c r="F255" i="47"/>
  <c r="H241" i="47"/>
  <c r="F241" i="47"/>
  <c r="I241" i="47" s="1"/>
  <c r="H240" i="47"/>
  <c r="F240" i="47"/>
  <c r="H239" i="47"/>
  <c r="F239" i="47"/>
  <c r="H238" i="47"/>
  <c r="F238" i="47"/>
  <c r="H237" i="47"/>
  <c r="F237" i="47"/>
  <c r="H233" i="47"/>
  <c r="F233" i="47"/>
  <c r="H232" i="47"/>
  <c r="F232" i="47"/>
  <c r="H231" i="47"/>
  <c r="F231" i="47"/>
  <c r="H230" i="47"/>
  <c r="F230" i="47"/>
  <c r="H228" i="47"/>
  <c r="F228" i="47"/>
  <c r="H227" i="47"/>
  <c r="F227" i="47"/>
  <c r="H212" i="47"/>
  <c r="F212" i="47"/>
  <c r="H211" i="47"/>
  <c r="F211" i="47"/>
  <c r="I211" i="47" s="1"/>
  <c r="H209" i="47"/>
  <c r="I209" i="47" s="1"/>
  <c r="F209" i="47"/>
  <c r="H208" i="47"/>
  <c r="F208" i="47"/>
  <c r="H207" i="47"/>
  <c r="F207" i="47"/>
  <c r="H202" i="47"/>
  <c r="F202" i="47"/>
  <c r="H201" i="47"/>
  <c r="F201" i="47"/>
  <c r="I201" i="47" s="1"/>
  <c r="H200" i="47"/>
  <c r="F200" i="47"/>
  <c r="H187" i="47"/>
  <c r="F187" i="47"/>
  <c r="H186" i="47"/>
  <c r="F186" i="47"/>
  <c r="H185" i="47"/>
  <c r="F185" i="47"/>
  <c r="H183" i="47"/>
  <c r="F183" i="47"/>
  <c r="H182" i="47"/>
  <c r="F182" i="47"/>
  <c r="H181" i="47"/>
  <c r="F181" i="47"/>
  <c r="H180" i="47"/>
  <c r="F180" i="47"/>
  <c r="H179" i="47"/>
  <c r="F179" i="47"/>
  <c r="H178" i="47"/>
  <c r="F178" i="47"/>
  <c r="H177" i="47"/>
  <c r="F177" i="47"/>
  <c r="H176" i="47"/>
  <c r="F176" i="47"/>
  <c r="H175" i="47"/>
  <c r="F175" i="47"/>
  <c r="H174" i="47"/>
  <c r="F174" i="47"/>
  <c r="H154" i="47"/>
  <c r="F154" i="47"/>
  <c r="I154" i="47" s="1"/>
  <c r="H153" i="47"/>
  <c r="F153" i="47"/>
  <c r="H152" i="47"/>
  <c r="F152" i="47"/>
  <c r="H151" i="47"/>
  <c r="F151" i="47"/>
  <c r="H149" i="47"/>
  <c r="F149" i="47"/>
  <c r="H148" i="47"/>
  <c r="F148" i="47"/>
  <c r="H147" i="47"/>
  <c r="F147" i="47"/>
  <c r="I147" i="47" s="1"/>
  <c r="H130" i="47"/>
  <c r="F130" i="47"/>
  <c r="I130" i="47" s="1"/>
  <c r="H129" i="47"/>
  <c r="F129" i="47"/>
  <c r="H127" i="47"/>
  <c r="F127" i="47"/>
  <c r="H126" i="47"/>
  <c r="F126" i="47"/>
  <c r="I126" i="47" s="1"/>
  <c r="H125" i="47"/>
  <c r="F125" i="47"/>
  <c r="H124" i="47"/>
  <c r="F124" i="47"/>
  <c r="H123" i="47"/>
  <c r="F123" i="47"/>
  <c r="H121" i="47"/>
  <c r="F121" i="47"/>
  <c r="H120" i="47"/>
  <c r="F120" i="47"/>
  <c r="H98" i="47"/>
  <c r="F98" i="47"/>
  <c r="H97" i="47"/>
  <c r="F97" i="47"/>
  <c r="H96" i="47"/>
  <c r="F96" i="47"/>
  <c r="H94" i="47"/>
  <c r="F94" i="47"/>
  <c r="H92" i="47"/>
  <c r="F92" i="47"/>
  <c r="H71" i="47"/>
  <c r="F71" i="47"/>
  <c r="H68" i="47"/>
  <c r="F68" i="47"/>
  <c r="H67" i="47"/>
  <c r="I67" i="47" s="1"/>
  <c r="F67" i="47"/>
  <c r="H66" i="47"/>
  <c r="F66" i="47"/>
  <c r="H51" i="47"/>
  <c r="F51" i="47"/>
  <c r="H50" i="47"/>
  <c r="F50" i="47"/>
  <c r="H49" i="47"/>
  <c r="F49" i="47"/>
  <c r="H48" i="47"/>
  <c r="F48" i="47"/>
  <c r="H47" i="47"/>
  <c r="F47" i="47"/>
  <c r="H46" i="47"/>
  <c r="F46" i="47"/>
  <c r="H45" i="47"/>
  <c r="F45" i="47"/>
  <c r="H44" i="47"/>
  <c r="F44" i="47"/>
  <c r="H43" i="47"/>
  <c r="F43" i="47"/>
  <c r="H42" i="47"/>
  <c r="F42" i="47"/>
  <c r="H41" i="47"/>
  <c r="F41" i="47"/>
  <c r="I41" i="47" s="1"/>
  <c r="I231" i="47" l="1"/>
  <c r="I285" i="47"/>
  <c r="I283" i="47"/>
  <c r="I259" i="47"/>
  <c r="I97" i="47"/>
  <c r="I227" i="47"/>
  <c r="I202" i="47"/>
  <c r="E8" i="39"/>
  <c r="E17" i="39" s="1"/>
  <c r="I51" i="47"/>
  <c r="I48" i="47"/>
  <c r="I49" i="47"/>
  <c r="I149" i="47"/>
  <c r="I175" i="47"/>
  <c r="I44" i="47"/>
  <c r="I120" i="47"/>
  <c r="I178" i="47"/>
  <c r="I257" i="47"/>
  <c r="I176" i="47"/>
  <c r="I127" i="47"/>
  <c r="I313" i="47"/>
  <c r="I200" i="47"/>
  <c r="I129" i="47"/>
  <c r="I123" i="47"/>
  <c r="I233" i="47"/>
  <c r="I291" i="47"/>
  <c r="I151" i="47"/>
  <c r="I124" i="47"/>
  <c r="I256" i="47"/>
  <c r="I293" i="47"/>
  <c r="I45" i="47"/>
  <c r="I47" i="47"/>
  <c r="I185" i="47"/>
  <c r="I309" i="47"/>
  <c r="I40" i="47"/>
  <c r="I181" i="47"/>
  <c r="I92" i="47"/>
  <c r="I265" i="47"/>
  <c r="I208" i="47"/>
  <c r="I43" i="47"/>
  <c r="I180" i="47"/>
  <c r="I50" i="47"/>
  <c r="I96" i="47"/>
  <c r="I148" i="47"/>
  <c r="I183" i="47"/>
  <c r="I187" i="47"/>
  <c r="I212" i="47"/>
  <c r="I238" i="47"/>
  <c r="I264" i="47"/>
  <c r="I281" i="47"/>
  <c r="I311" i="47"/>
  <c r="I152" i="47"/>
  <c r="I239" i="47"/>
  <c r="I316" i="47"/>
  <c r="I46" i="47"/>
  <c r="I207" i="47"/>
  <c r="I290" i="47"/>
  <c r="I68" i="47"/>
  <c r="I94" i="47"/>
  <c r="I98" i="47"/>
  <c r="I125" i="47"/>
  <c r="I153" i="47"/>
  <c r="I179" i="47"/>
  <c r="I182" i="47"/>
  <c r="I186" i="47"/>
  <c r="I237" i="47"/>
  <c r="I240" i="47"/>
  <c r="I260" i="47"/>
  <c r="I263" i="47"/>
  <c r="I266" i="47"/>
  <c r="I315" i="47"/>
  <c r="I230" i="47"/>
  <c r="I66" i="47"/>
  <c r="I121" i="47"/>
  <c r="I174" i="47"/>
  <c r="I177" i="47"/>
  <c r="I228" i="47"/>
  <c r="I255" i="47"/>
  <c r="I258" i="47"/>
  <c r="I42" i="47"/>
  <c r="I71" i="47"/>
  <c r="I232" i="47"/>
  <c r="I261" i="47"/>
  <c r="B18" i="39" l="1"/>
  <c r="C9" i="37"/>
  <c r="I214" i="47"/>
  <c r="I225" i="47" s="1"/>
  <c r="I157" i="47"/>
  <c r="I14" i="47" s="1"/>
  <c r="I296" i="47"/>
  <c r="I18" i="47" s="1"/>
  <c r="I132" i="47"/>
  <c r="I13" i="47" s="1"/>
  <c r="I318" i="47"/>
  <c r="I19" i="47" s="1"/>
  <c r="I105" i="47"/>
  <c r="I12" i="47" s="1"/>
  <c r="I242" i="47"/>
  <c r="I253" i="47" s="1"/>
  <c r="I268" i="47" s="1"/>
  <c r="I280" i="47" s="1"/>
  <c r="I287" i="47" s="1"/>
  <c r="I17" i="47" s="1"/>
  <c r="I188" i="47"/>
  <c r="I199" i="47" s="1"/>
  <c r="I203" i="47" s="1"/>
  <c r="I15" i="47" s="1"/>
  <c r="I52" i="47"/>
  <c r="I64" i="47" s="1"/>
  <c r="I76" i="47" s="1"/>
  <c r="I11" i="47" s="1"/>
  <c r="I234" i="47"/>
  <c r="I16" i="47" s="1"/>
  <c r="I22" i="47" l="1"/>
  <c r="C128" i="46"/>
  <c r="H128" i="46" s="1"/>
  <c r="C127" i="46"/>
  <c r="H127" i="46" s="1"/>
  <c r="C126" i="46"/>
  <c r="F126" i="46" s="1"/>
  <c r="C125" i="46"/>
  <c r="H125" i="46" s="1"/>
  <c r="C124" i="46"/>
  <c r="H124" i="46" s="1"/>
  <c r="C123" i="46"/>
  <c r="H123" i="46" s="1"/>
  <c r="C121" i="46"/>
  <c r="C120" i="46"/>
  <c r="C118" i="46"/>
  <c r="K114" i="46"/>
  <c r="C113" i="46"/>
  <c r="H113" i="46" s="1"/>
  <c r="L112" i="46"/>
  <c r="H112" i="46"/>
  <c r="E112" i="46"/>
  <c r="F112" i="46" s="1"/>
  <c r="H111" i="46"/>
  <c r="L110" i="46"/>
  <c r="C95" i="46"/>
  <c r="H95" i="46" s="1"/>
  <c r="E94" i="46"/>
  <c r="C94" i="46"/>
  <c r="H94" i="46" s="1"/>
  <c r="C93" i="46"/>
  <c r="H92" i="46"/>
  <c r="F92" i="46"/>
  <c r="E91" i="46"/>
  <c r="E122" i="46" s="1"/>
  <c r="E82" i="46"/>
  <c r="E113" i="46" s="1"/>
  <c r="C82" i="46"/>
  <c r="H82" i="46" s="1"/>
  <c r="H81" i="46"/>
  <c r="F81" i="46"/>
  <c r="H80" i="46"/>
  <c r="E79" i="46"/>
  <c r="E110" i="46" s="1"/>
  <c r="L67" i="46"/>
  <c r="C65" i="46"/>
  <c r="F65" i="46" s="1"/>
  <c r="C64" i="46"/>
  <c r="H64" i="46" s="1"/>
  <c r="C63" i="46"/>
  <c r="F63" i="46" s="1"/>
  <c r="H62" i="46"/>
  <c r="F62" i="46"/>
  <c r="I62" i="46" s="1"/>
  <c r="C58" i="46"/>
  <c r="C59" i="46" s="1"/>
  <c r="E56" i="46"/>
  <c r="E90" i="46" s="1"/>
  <c r="E121" i="46" s="1"/>
  <c r="F121" i="46" s="1"/>
  <c r="E55" i="46"/>
  <c r="E89" i="46" s="1"/>
  <c r="E120" i="46" s="1"/>
  <c r="E54" i="46"/>
  <c r="E88" i="46" s="1"/>
  <c r="E53" i="46"/>
  <c r="E87" i="46" s="1"/>
  <c r="E118" i="46" s="1"/>
  <c r="C53" i="46"/>
  <c r="F53" i="46" s="1"/>
  <c r="E52" i="46"/>
  <c r="E86" i="46" s="1"/>
  <c r="E51" i="46"/>
  <c r="E85" i="46" s="1"/>
  <c r="H50" i="46"/>
  <c r="F50" i="46"/>
  <c r="E48" i="46"/>
  <c r="E80" i="46" s="1"/>
  <c r="G47" i="46"/>
  <c r="G79" i="46" s="1"/>
  <c r="G110" i="46" s="1"/>
  <c r="E46" i="46"/>
  <c r="E78" i="46" s="1"/>
  <c r="E109" i="46" s="1"/>
  <c r="M45" i="46"/>
  <c r="L45" i="46"/>
  <c r="G45" i="46"/>
  <c r="G83" i="46" s="1"/>
  <c r="G114" i="46" s="1"/>
  <c r="E45" i="46"/>
  <c r="E83" i="46" s="1"/>
  <c r="E114" i="46" s="1"/>
  <c r="G44" i="46"/>
  <c r="E44" i="46"/>
  <c r="G43" i="46"/>
  <c r="E43" i="46"/>
  <c r="M29" i="46"/>
  <c r="C29" i="46" s="1"/>
  <c r="F29" i="46" s="1"/>
  <c r="G25" i="46"/>
  <c r="G26" i="46" s="1"/>
  <c r="G27" i="46" s="1"/>
  <c r="G28" i="46" s="1"/>
  <c r="G29" i="46" s="1"/>
  <c r="G51" i="46" s="1"/>
  <c r="M22" i="46"/>
  <c r="L22" i="46"/>
  <c r="K22" i="46"/>
  <c r="M19" i="46"/>
  <c r="L19" i="46"/>
  <c r="K19" i="46"/>
  <c r="M18" i="46"/>
  <c r="L18" i="46"/>
  <c r="K18" i="46"/>
  <c r="M17" i="46"/>
  <c r="L17" i="46"/>
  <c r="K17" i="46"/>
  <c r="E15" i="46"/>
  <c r="E13" i="46"/>
  <c r="C13" i="46"/>
  <c r="H13" i="46" s="1"/>
  <c r="H12" i="46"/>
  <c r="F12" i="46"/>
  <c r="I12" i="46" s="1"/>
  <c r="H10" i="45"/>
  <c r="E10" i="45"/>
  <c r="J11" i="45"/>
  <c r="E9" i="45"/>
  <c r="H9" i="45"/>
  <c r="N11" i="45"/>
  <c r="M11" i="45"/>
  <c r="I4" i="44"/>
  <c r="I17" i="44" s="1"/>
  <c r="M116" i="46" s="1"/>
  <c r="C116" i="46" s="1"/>
  <c r="J5" i="44"/>
  <c r="J7" i="43"/>
  <c r="E4" i="43"/>
  <c r="E5" i="44"/>
  <c r="E4" i="44"/>
  <c r="E17" i="44" s="1"/>
  <c r="C110" i="46" s="1"/>
  <c r="C109" i="46" s="1"/>
  <c r="L4" i="44"/>
  <c r="L5" i="44"/>
  <c r="K17" i="44"/>
  <c r="M17" i="44"/>
  <c r="N17" i="44"/>
  <c r="H5" i="44"/>
  <c r="H4" i="44"/>
  <c r="H17" i="44" s="1"/>
  <c r="C114" i="46" s="1"/>
  <c r="H114" i="46" s="1"/>
  <c r="G17" i="44"/>
  <c r="F17" i="44"/>
  <c r="K20" i="43"/>
  <c r="M87" i="46" s="1"/>
  <c r="C87" i="46" s="1"/>
  <c r="J19" i="43"/>
  <c r="H19" i="43"/>
  <c r="E19" i="43"/>
  <c r="K20" i="42"/>
  <c r="K21" i="42" s="1"/>
  <c r="H20" i="42"/>
  <c r="E20" i="42"/>
  <c r="J20" i="42"/>
  <c r="J19" i="42"/>
  <c r="H19" i="42"/>
  <c r="E19" i="42"/>
  <c r="E18" i="42"/>
  <c r="E5" i="42"/>
  <c r="E6" i="42"/>
  <c r="E7" i="42"/>
  <c r="E8" i="42"/>
  <c r="E9" i="42"/>
  <c r="E10" i="42"/>
  <c r="E11" i="42"/>
  <c r="E12" i="42"/>
  <c r="E13" i="42"/>
  <c r="E14" i="42"/>
  <c r="E15" i="42"/>
  <c r="E16" i="42"/>
  <c r="E17" i="42"/>
  <c r="E4" i="42"/>
  <c r="E5" i="43"/>
  <c r="E6" i="43"/>
  <c r="E7" i="43"/>
  <c r="E8" i="43"/>
  <c r="E9" i="43"/>
  <c r="E10" i="43"/>
  <c r="E11" i="43"/>
  <c r="E12" i="43"/>
  <c r="E13" i="43"/>
  <c r="E14" i="43"/>
  <c r="E15" i="43"/>
  <c r="E16" i="43"/>
  <c r="E17" i="43"/>
  <c r="F17" i="43"/>
  <c r="G17" i="43"/>
  <c r="F16" i="43"/>
  <c r="G16" i="43"/>
  <c r="L17" i="43"/>
  <c r="I17" i="43"/>
  <c r="H17" i="43"/>
  <c r="M16" i="43"/>
  <c r="I16" i="43"/>
  <c r="H16" i="43"/>
  <c r="N15" i="43"/>
  <c r="J15" i="43"/>
  <c r="H15" i="43"/>
  <c r="G15" i="43"/>
  <c r="F15" i="43"/>
  <c r="N14" i="43"/>
  <c r="J14" i="43"/>
  <c r="H14" i="43"/>
  <c r="G14" i="43"/>
  <c r="F14" i="43"/>
  <c r="M13" i="43"/>
  <c r="J13" i="43"/>
  <c r="H13" i="43"/>
  <c r="G13" i="43"/>
  <c r="F13" i="43"/>
  <c r="L12" i="43"/>
  <c r="I12" i="43"/>
  <c r="H12" i="43"/>
  <c r="G12" i="43"/>
  <c r="F12" i="43"/>
  <c r="M11" i="43"/>
  <c r="J11" i="43"/>
  <c r="H11" i="43"/>
  <c r="G11" i="43"/>
  <c r="F11" i="43"/>
  <c r="M10" i="43"/>
  <c r="J10" i="43"/>
  <c r="H10" i="43"/>
  <c r="G10" i="43"/>
  <c r="F10" i="43"/>
  <c r="L9" i="43"/>
  <c r="I9" i="43"/>
  <c r="H9" i="43"/>
  <c r="G9" i="43"/>
  <c r="F9" i="43"/>
  <c r="N8" i="43"/>
  <c r="J8" i="43"/>
  <c r="H8" i="43"/>
  <c r="G8" i="43"/>
  <c r="F8" i="43"/>
  <c r="N7" i="43"/>
  <c r="H7" i="43"/>
  <c r="G7" i="43"/>
  <c r="F7" i="43"/>
  <c r="L6" i="43"/>
  <c r="H6" i="43"/>
  <c r="G6" i="43"/>
  <c r="F6" i="43"/>
  <c r="H5" i="43"/>
  <c r="G5" i="43"/>
  <c r="F5" i="43"/>
  <c r="H4" i="43"/>
  <c r="G4" i="43"/>
  <c r="F4" i="43"/>
  <c r="L17" i="42"/>
  <c r="I17" i="42"/>
  <c r="H17" i="42"/>
  <c r="H16" i="42"/>
  <c r="M16" i="42"/>
  <c r="I16" i="42"/>
  <c r="L6" i="42"/>
  <c r="I6" i="42"/>
  <c r="I21" i="42" s="1"/>
  <c r="M51" i="46" s="1"/>
  <c r="C51" i="46" s="1"/>
  <c r="F51" i="46" s="1"/>
  <c r="H6" i="42"/>
  <c r="G6" i="42"/>
  <c r="F6" i="42"/>
  <c r="N15" i="42"/>
  <c r="N14" i="42"/>
  <c r="M13" i="42"/>
  <c r="L12" i="42"/>
  <c r="M11" i="42"/>
  <c r="M10" i="42"/>
  <c r="L9" i="42"/>
  <c r="N8" i="42"/>
  <c r="N7" i="42"/>
  <c r="I9" i="42"/>
  <c r="J15" i="42"/>
  <c r="J14" i="42"/>
  <c r="J7" i="42"/>
  <c r="J13" i="42"/>
  <c r="I12" i="42"/>
  <c r="J11" i="42"/>
  <c r="J10" i="42"/>
  <c r="J8" i="42"/>
  <c r="H5" i="42"/>
  <c r="H7" i="42"/>
  <c r="H8" i="42"/>
  <c r="H9" i="42"/>
  <c r="H10" i="42"/>
  <c r="H11" i="42"/>
  <c r="H12" i="42"/>
  <c r="H13" i="42"/>
  <c r="H14" i="42"/>
  <c r="H15" i="42"/>
  <c r="H4" i="42"/>
  <c r="G5" i="42"/>
  <c r="G7" i="42"/>
  <c r="G8" i="42"/>
  <c r="G9" i="42"/>
  <c r="G10" i="42"/>
  <c r="G11" i="42"/>
  <c r="G12" i="42"/>
  <c r="G13" i="42"/>
  <c r="G14" i="42"/>
  <c r="G15" i="42"/>
  <c r="G4" i="42"/>
  <c r="F5" i="42"/>
  <c r="F7" i="42"/>
  <c r="F8" i="42"/>
  <c r="F9" i="42"/>
  <c r="F10" i="42"/>
  <c r="F11" i="42"/>
  <c r="F12" i="42"/>
  <c r="F13" i="42"/>
  <c r="F14" i="42"/>
  <c r="F15" i="42"/>
  <c r="F4" i="42"/>
  <c r="C304" i="40"/>
  <c r="H304" i="40" s="1"/>
  <c r="G302" i="40"/>
  <c r="F303" i="40"/>
  <c r="C303" i="40"/>
  <c r="H303" i="40" s="1"/>
  <c r="C302" i="40"/>
  <c r="L21" i="42" l="1"/>
  <c r="M54" i="46" s="1"/>
  <c r="C54" i="46" s="1"/>
  <c r="F54" i="46" s="1"/>
  <c r="M20" i="43"/>
  <c r="M89" i="46" s="1"/>
  <c r="C89" i="46" s="1"/>
  <c r="F113" i="46"/>
  <c r="I113" i="46" s="1"/>
  <c r="F120" i="46"/>
  <c r="I50" i="46"/>
  <c r="F95" i="46"/>
  <c r="H126" i="46"/>
  <c r="I126" i="46" s="1"/>
  <c r="H21" i="42"/>
  <c r="C45" i="46" s="1"/>
  <c r="I20" i="43"/>
  <c r="M85" i="46" s="1"/>
  <c r="C85" i="46" s="1"/>
  <c r="J20" i="43"/>
  <c r="M86" i="46" s="1"/>
  <c r="C86" i="46" s="1"/>
  <c r="F86" i="46" s="1"/>
  <c r="N20" i="43"/>
  <c r="M90" i="46" s="1"/>
  <c r="C90" i="46" s="1"/>
  <c r="F90" i="46" s="1"/>
  <c r="E21" i="42"/>
  <c r="C47" i="46" s="1"/>
  <c r="L17" i="44"/>
  <c r="M119" i="46" s="1"/>
  <c r="C119" i="46" s="1"/>
  <c r="F82" i="46"/>
  <c r="I82" i="46" s="1"/>
  <c r="F125" i="46"/>
  <c r="M21" i="42"/>
  <c r="M55" i="46" s="1"/>
  <c r="C55" i="46" s="1"/>
  <c r="F55" i="46" s="1"/>
  <c r="F64" i="46"/>
  <c r="I64" i="46" s="1"/>
  <c r="G21" i="42"/>
  <c r="C44" i="46" s="1"/>
  <c r="F44" i="46" s="1"/>
  <c r="E20" i="43"/>
  <c r="C79" i="46" s="1"/>
  <c r="C78" i="46" s="1"/>
  <c r="F78" i="46" s="1"/>
  <c r="I92" i="46"/>
  <c r="F21" i="42"/>
  <c r="C43" i="46" s="1"/>
  <c r="H43" i="46" s="1"/>
  <c r="L20" i="43"/>
  <c r="M88" i="46" s="1"/>
  <c r="C88" i="46" s="1"/>
  <c r="F88" i="46" s="1"/>
  <c r="F127" i="46"/>
  <c r="I127" i="46" s="1"/>
  <c r="F20" i="43"/>
  <c r="F128" i="46"/>
  <c r="I128" i="46" s="1"/>
  <c r="J21" i="42"/>
  <c r="M52" i="46" s="1"/>
  <c r="C52" i="46" s="1"/>
  <c r="F52" i="46" s="1"/>
  <c r="H302" i="40"/>
  <c r="G20" i="43"/>
  <c r="F94" i="46"/>
  <c r="I303" i="40"/>
  <c r="H20" i="43"/>
  <c r="C83" i="46" s="1"/>
  <c r="H83" i="46" s="1"/>
  <c r="F13" i="46"/>
  <c r="I13" i="46" s="1"/>
  <c r="F11" i="45"/>
  <c r="H47" i="46"/>
  <c r="F47" i="46"/>
  <c r="C49" i="46"/>
  <c r="F49" i="46" s="1"/>
  <c r="C61" i="46"/>
  <c r="F61" i="46" s="1"/>
  <c r="F58" i="46"/>
  <c r="F124" i="46"/>
  <c r="I124" i="46" s="1"/>
  <c r="N21" i="42"/>
  <c r="M56" i="46" s="1"/>
  <c r="C56" i="46" s="1"/>
  <c r="F56" i="46" s="1"/>
  <c r="C17" i="46"/>
  <c r="F17" i="46" s="1"/>
  <c r="C19" i="46"/>
  <c r="H58" i="46"/>
  <c r="I81" i="46"/>
  <c r="I94" i="46"/>
  <c r="F304" i="40"/>
  <c r="I304" i="40" s="1"/>
  <c r="C14" i="46"/>
  <c r="M28" i="46"/>
  <c r="C28" i="46" s="1"/>
  <c r="F28" i="46" s="1"/>
  <c r="I112" i="46"/>
  <c r="F118" i="46"/>
  <c r="F123" i="46"/>
  <c r="I123" i="46" s="1"/>
  <c r="C18" i="46"/>
  <c r="F18" i="46" s="1"/>
  <c r="F114" i="46"/>
  <c r="I114" i="46" s="1"/>
  <c r="E59" i="46"/>
  <c r="E93" i="46" s="1"/>
  <c r="F93" i="46" s="1"/>
  <c r="F110" i="46"/>
  <c r="I95" i="46"/>
  <c r="I125" i="46"/>
  <c r="L11" i="45"/>
  <c r="K11" i="45"/>
  <c r="H11" i="45"/>
  <c r="C15" i="46"/>
  <c r="G11" i="45"/>
  <c r="I11" i="45"/>
  <c r="M25" i="46"/>
  <c r="C25" i="46" s="1"/>
  <c r="F25" i="46" s="1"/>
  <c r="F87" i="46"/>
  <c r="F109" i="46"/>
  <c r="H109" i="46"/>
  <c r="H17" i="46"/>
  <c r="E119" i="46"/>
  <c r="F85" i="46"/>
  <c r="E116" i="46"/>
  <c r="F116" i="46" s="1"/>
  <c r="F89" i="46"/>
  <c r="E111" i="46"/>
  <c r="F111" i="46" s="1"/>
  <c r="I111" i="46" s="1"/>
  <c r="F80" i="46"/>
  <c r="I80" i="46" s="1"/>
  <c r="F19" i="46"/>
  <c r="H19" i="46"/>
  <c r="F83" i="46"/>
  <c r="G85" i="46"/>
  <c r="G52" i="46"/>
  <c r="G53" i="46" s="1"/>
  <c r="G54" i="46" s="1"/>
  <c r="E117" i="46"/>
  <c r="C60" i="46"/>
  <c r="H29" i="46"/>
  <c r="I29" i="46" s="1"/>
  <c r="H51" i="46"/>
  <c r="I51" i="46" s="1"/>
  <c r="H59" i="46"/>
  <c r="H93" i="46"/>
  <c r="H63" i="46"/>
  <c r="I63" i="46" s="1"/>
  <c r="H65" i="46"/>
  <c r="I65" i="46" s="1"/>
  <c r="H110" i="46"/>
  <c r="C46" i="46"/>
  <c r="J17" i="44"/>
  <c r="M117" i="46" s="1"/>
  <c r="C117" i="46" s="1"/>
  <c r="C122" i="46" s="1"/>
  <c r="C184" i="40"/>
  <c r="H184" i="40" s="1"/>
  <c r="C247" i="40"/>
  <c r="H247" i="40" s="1"/>
  <c r="C250" i="40"/>
  <c r="H250" i="40" s="1"/>
  <c r="C252" i="40"/>
  <c r="H252" i="40" s="1"/>
  <c r="C248" i="40"/>
  <c r="H248" i="40" s="1"/>
  <c r="C151" i="40"/>
  <c r="H151" i="40" s="1"/>
  <c r="I292" i="40"/>
  <c r="I290" i="40"/>
  <c r="I289" i="40"/>
  <c r="E287" i="40"/>
  <c r="C287" i="40"/>
  <c r="I287" i="40" s="1"/>
  <c r="E286" i="40"/>
  <c r="I286" i="40" s="1"/>
  <c r="E285" i="40"/>
  <c r="I285" i="40" s="1"/>
  <c r="E284" i="40"/>
  <c r="I284" i="40" s="1"/>
  <c r="E283" i="40"/>
  <c r="I283" i="40" s="1"/>
  <c r="E282" i="40"/>
  <c r="I282" i="40" s="1"/>
  <c r="E281" i="40"/>
  <c r="I281" i="40" s="1"/>
  <c r="I279" i="40"/>
  <c r="E278" i="40"/>
  <c r="H254" i="40"/>
  <c r="E254" i="40"/>
  <c r="F254" i="40" s="1"/>
  <c r="H253" i="40"/>
  <c r="E253" i="40"/>
  <c r="F253" i="40" s="1"/>
  <c r="I253" i="40" s="1"/>
  <c r="E252" i="40"/>
  <c r="H251" i="40"/>
  <c r="E251" i="40"/>
  <c r="F251" i="40" s="1"/>
  <c r="E250" i="40"/>
  <c r="E247" i="40"/>
  <c r="H227" i="40"/>
  <c r="F227" i="40"/>
  <c r="C225" i="40"/>
  <c r="F225" i="40" s="1"/>
  <c r="H224" i="40"/>
  <c r="E224" i="40"/>
  <c r="F224" i="40" s="1"/>
  <c r="H223" i="40"/>
  <c r="E223" i="40"/>
  <c r="F223" i="40" s="1"/>
  <c r="H222" i="40"/>
  <c r="E222" i="40"/>
  <c r="F222" i="40" s="1"/>
  <c r="I222" i="40" s="1"/>
  <c r="H221" i="40"/>
  <c r="E221" i="40"/>
  <c r="F221" i="40" s="1"/>
  <c r="H220" i="40"/>
  <c r="E220" i="40"/>
  <c r="F220" i="40" s="1"/>
  <c r="H219" i="40"/>
  <c r="E219" i="40"/>
  <c r="F219" i="40" s="1"/>
  <c r="I219" i="40" s="1"/>
  <c r="H217" i="40"/>
  <c r="F217" i="40"/>
  <c r="H216" i="40"/>
  <c r="E216" i="40"/>
  <c r="F216" i="40" s="1"/>
  <c r="H195" i="40"/>
  <c r="F195" i="40"/>
  <c r="C193" i="40"/>
  <c r="F193" i="40" s="1"/>
  <c r="H192" i="40"/>
  <c r="E192" i="40"/>
  <c r="F192" i="40" s="1"/>
  <c r="H191" i="40"/>
  <c r="E191" i="40"/>
  <c r="F191" i="40" s="1"/>
  <c r="I191" i="40" s="1"/>
  <c r="H190" i="40"/>
  <c r="E190" i="40"/>
  <c r="F190" i="40" s="1"/>
  <c r="H189" i="40"/>
  <c r="E189" i="40"/>
  <c r="F189" i="40" s="1"/>
  <c r="H188" i="40"/>
  <c r="E188" i="40"/>
  <c r="F188" i="40" s="1"/>
  <c r="I188" i="40" s="1"/>
  <c r="H187" i="40"/>
  <c r="E187" i="40"/>
  <c r="F187" i="40" s="1"/>
  <c r="I187" i="40" s="1"/>
  <c r="H185" i="40"/>
  <c r="F185" i="40"/>
  <c r="E184" i="40"/>
  <c r="E161" i="40"/>
  <c r="C161" i="40"/>
  <c r="H161" i="40" s="1"/>
  <c r="H160" i="40"/>
  <c r="E160" i="40"/>
  <c r="F160" i="40" s="1"/>
  <c r="H159" i="40"/>
  <c r="E159" i="40"/>
  <c r="F159" i="40" s="1"/>
  <c r="H158" i="40"/>
  <c r="E158" i="40"/>
  <c r="F158" i="40" s="1"/>
  <c r="H157" i="40"/>
  <c r="E157" i="40"/>
  <c r="F157" i="40" s="1"/>
  <c r="H156" i="40"/>
  <c r="E156" i="40"/>
  <c r="F156" i="40" s="1"/>
  <c r="H155" i="40"/>
  <c r="E155" i="40"/>
  <c r="F155" i="40" s="1"/>
  <c r="H153" i="40"/>
  <c r="F153" i="40"/>
  <c r="H152" i="40"/>
  <c r="F152" i="40"/>
  <c r="E151" i="40"/>
  <c r="I130" i="40"/>
  <c r="I129" i="40"/>
  <c r="E127" i="40"/>
  <c r="C127" i="40"/>
  <c r="E126" i="40"/>
  <c r="I126" i="40" s="1"/>
  <c r="E125" i="40"/>
  <c r="I125" i="40" s="1"/>
  <c r="E124" i="40"/>
  <c r="I124" i="40" s="1"/>
  <c r="E123" i="40"/>
  <c r="I123" i="40" s="1"/>
  <c r="E122" i="40"/>
  <c r="I122" i="40" s="1"/>
  <c r="E121" i="40"/>
  <c r="I121" i="40" s="1"/>
  <c r="I119" i="40"/>
  <c r="E118" i="40"/>
  <c r="I118" i="40" s="1"/>
  <c r="H92" i="40"/>
  <c r="F92" i="40"/>
  <c r="I92" i="40" s="1"/>
  <c r="H91" i="40"/>
  <c r="E91" i="40"/>
  <c r="F91" i="40" s="1"/>
  <c r="H90" i="40"/>
  <c r="F90" i="40"/>
  <c r="I90" i="40" s="1"/>
  <c r="H89" i="40"/>
  <c r="F89" i="40"/>
  <c r="H88" i="40"/>
  <c r="E88" i="40"/>
  <c r="F88" i="40" s="1"/>
  <c r="H87" i="40"/>
  <c r="E87" i="40"/>
  <c r="F87" i="40" s="1"/>
  <c r="H86" i="40"/>
  <c r="F86" i="40"/>
  <c r="C84" i="40"/>
  <c r="F84" i="40" s="1"/>
  <c r="H83" i="40"/>
  <c r="E83" i="40"/>
  <c r="F83" i="40" s="1"/>
  <c r="I83" i="40" s="1"/>
  <c r="H82" i="40"/>
  <c r="E82" i="40"/>
  <c r="F82" i="40" s="1"/>
  <c r="H81" i="40"/>
  <c r="E81" i="40"/>
  <c r="F81" i="40" s="1"/>
  <c r="H80" i="40"/>
  <c r="E80" i="40"/>
  <c r="F80" i="40" s="1"/>
  <c r="H79" i="40"/>
  <c r="E79" i="40"/>
  <c r="F79" i="40" s="1"/>
  <c r="I79" i="40" s="1"/>
  <c r="H78" i="40"/>
  <c r="E78" i="40"/>
  <c r="F78" i="40" s="1"/>
  <c r="H76" i="40"/>
  <c r="F76" i="40"/>
  <c r="I76" i="40" s="1"/>
  <c r="H75" i="40"/>
  <c r="E75" i="40"/>
  <c r="F75" i="40" s="1"/>
  <c r="E51" i="40"/>
  <c r="C51" i="40"/>
  <c r="H51" i="40" s="1"/>
  <c r="H50" i="40"/>
  <c r="E50" i="40"/>
  <c r="F50" i="40" s="1"/>
  <c r="H49" i="40"/>
  <c r="E49" i="40"/>
  <c r="F49" i="40" s="1"/>
  <c r="I49" i="40" s="1"/>
  <c r="H48" i="40"/>
  <c r="E48" i="40"/>
  <c r="F48" i="40" s="1"/>
  <c r="H47" i="40"/>
  <c r="E47" i="40"/>
  <c r="F47" i="40" s="1"/>
  <c r="I47" i="40" s="1"/>
  <c r="H46" i="40"/>
  <c r="E46" i="40"/>
  <c r="F46" i="40" s="1"/>
  <c r="H45" i="40"/>
  <c r="E45" i="40"/>
  <c r="F45" i="40" s="1"/>
  <c r="I45" i="40" s="1"/>
  <c r="H43" i="40"/>
  <c r="F43" i="40"/>
  <c r="H42" i="40"/>
  <c r="E42" i="40"/>
  <c r="F42" i="40" s="1"/>
  <c r="H49" i="46" l="1"/>
  <c r="H44" i="46"/>
  <c r="C255" i="40"/>
  <c r="F255" i="40" s="1"/>
  <c r="I251" i="40"/>
  <c r="I91" i="40"/>
  <c r="I127" i="40"/>
  <c r="I185" i="40"/>
  <c r="I192" i="40"/>
  <c r="C57" i="46"/>
  <c r="F57" i="46" s="1"/>
  <c r="I87" i="40"/>
  <c r="F252" i="40"/>
  <c r="I252" i="40" s="1"/>
  <c r="H28" i="46"/>
  <c r="I28" i="46" s="1"/>
  <c r="C91" i="46"/>
  <c r="I46" i="40"/>
  <c r="I82" i="40"/>
  <c r="F119" i="46"/>
  <c r="I44" i="46"/>
  <c r="I109" i="46"/>
  <c r="H53" i="46"/>
  <c r="I53" i="46" s="1"/>
  <c r="I81" i="40"/>
  <c r="I88" i="40"/>
  <c r="I152" i="40"/>
  <c r="I49" i="46"/>
  <c r="I189" i="40"/>
  <c r="I223" i="40"/>
  <c r="I93" i="46"/>
  <c r="I47" i="46"/>
  <c r="I190" i="40"/>
  <c r="I217" i="40"/>
  <c r="I224" i="40"/>
  <c r="F43" i="46"/>
  <c r="I43" i="46" s="1"/>
  <c r="H18" i="46"/>
  <c r="I48" i="40"/>
  <c r="I78" i="40"/>
  <c r="F184" i="40"/>
  <c r="F199" i="40" s="1"/>
  <c r="I254" i="40"/>
  <c r="I220" i="40"/>
  <c r="F117" i="46"/>
  <c r="F79" i="46"/>
  <c r="I221" i="40"/>
  <c r="F248" i="40"/>
  <c r="I248" i="40" s="1"/>
  <c r="H79" i="46"/>
  <c r="I43" i="40"/>
  <c r="I50" i="40"/>
  <c r="I80" i="40"/>
  <c r="F250" i="40"/>
  <c r="I250" i="40" s="1"/>
  <c r="C20" i="46"/>
  <c r="F20" i="46" s="1"/>
  <c r="E11" i="45"/>
  <c r="F233" i="40"/>
  <c r="F151" i="40"/>
  <c r="I151" i="40" s="1"/>
  <c r="F247" i="40"/>
  <c r="I110" i="46"/>
  <c r="H61" i="46"/>
  <c r="I61" i="46" s="1"/>
  <c r="H78" i="46"/>
  <c r="I78" i="46" s="1"/>
  <c r="F14" i="46"/>
  <c r="H14" i="46"/>
  <c r="I153" i="40"/>
  <c r="I136" i="40"/>
  <c r="I138" i="40" s="1"/>
  <c r="E325" i="40" s="1"/>
  <c r="I325" i="40" s="1"/>
  <c r="I86" i="40"/>
  <c r="F161" i="40"/>
  <c r="I161" i="40" s="1"/>
  <c r="I195" i="40"/>
  <c r="I58" i="46"/>
  <c r="L131" i="46"/>
  <c r="I89" i="40"/>
  <c r="I227" i="40"/>
  <c r="I278" i="40"/>
  <c r="E302" i="40"/>
  <c r="F302" i="40" s="1"/>
  <c r="I302" i="40" s="1"/>
  <c r="I305" i="40" s="1"/>
  <c r="F59" i="46"/>
  <c r="I59" i="46" s="1"/>
  <c r="M26" i="46"/>
  <c r="C26" i="46" s="1"/>
  <c r="F15" i="46"/>
  <c r="H15" i="46"/>
  <c r="C16" i="46"/>
  <c r="C22" i="46"/>
  <c r="F22" i="46" s="1"/>
  <c r="M24" i="46"/>
  <c r="C24" i="46" s="1"/>
  <c r="H24" i="46" s="1"/>
  <c r="M27" i="46"/>
  <c r="C27" i="46" s="1"/>
  <c r="H25" i="46"/>
  <c r="I25" i="46" s="1"/>
  <c r="G116" i="46"/>
  <c r="G86" i="46"/>
  <c r="H54" i="46"/>
  <c r="I54" i="46" s="1"/>
  <c r="G55" i="46"/>
  <c r="C48" i="46"/>
  <c r="F46" i="46"/>
  <c r="H46" i="46"/>
  <c r="H52" i="46"/>
  <c r="I52" i="46" s="1"/>
  <c r="H45" i="46"/>
  <c r="F45" i="46"/>
  <c r="H85" i="46"/>
  <c r="I85" i="46" s="1"/>
  <c r="I17" i="46"/>
  <c r="I19" i="46"/>
  <c r="I18" i="46"/>
  <c r="F60" i="46"/>
  <c r="H60" i="46"/>
  <c r="F91" i="46"/>
  <c r="H91" i="46"/>
  <c r="F122" i="46"/>
  <c r="H122" i="46"/>
  <c r="I83" i="46"/>
  <c r="H57" i="40"/>
  <c r="I155" i="40"/>
  <c r="I156" i="40"/>
  <c r="I157" i="40"/>
  <c r="I158" i="40"/>
  <c r="I159" i="40"/>
  <c r="I160" i="40"/>
  <c r="I42" i="40"/>
  <c r="F93" i="40"/>
  <c r="I75" i="40"/>
  <c r="F51" i="40"/>
  <c r="I51" i="40" s="1"/>
  <c r="H84" i="40"/>
  <c r="H93" i="40" s="1"/>
  <c r="H169" i="40"/>
  <c r="H193" i="40"/>
  <c r="H199" i="40" s="1"/>
  <c r="I216" i="40"/>
  <c r="H225" i="40"/>
  <c r="I225" i="40" s="1"/>
  <c r="I247" i="40"/>
  <c r="H255" i="40"/>
  <c r="H261" i="40" s="1"/>
  <c r="H57" i="46" l="1"/>
  <c r="I79" i="46"/>
  <c r="I184" i="40"/>
  <c r="F261" i="40"/>
  <c r="H20" i="46"/>
  <c r="I20" i="46" s="1"/>
  <c r="I122" i="46"/>
  <c r="I15" i="46"/>
  <c r="I91" i="46"/>
  <c r="I57" i="46"/>
  <c r="I14" i="46"/>
  <c r="F169" i="40"/>
  <c r="I58" i="40"/>
  <c r="I62" i="40" s="1"/>
  <c r="I60" i="46"/>
  <c r="I46" i="46"/>
  <c r="H26" i="46"/>
  <c r="F26" i="46"/>
  <c r="H16" i="46"/>
  <c r="F16" i="46"/>
  <c r="H22" i="46"/>
  <c r="I22" i="46" s="1"/>
  <c r="C21" i="46"/>
  <c r="F21" i="46" s="1"/>
  <c r="F24" i="46"/>
  <c r="I24" i="46" s="1"/>
  <c r="H27" i="46"/>
  <c r="F27" i="46"/>
  <c r="C30" i="46"/>
  <c r="G87" i="46"/>
  <c r="H86" i="46"/>
  <c r="I86" i="46" s="1"/>
  <c r="G56" i="46"/>
  <c r="H56" i="46" s="1"/>
  <c r="I56" i="46" s="1"/>
  <c r="H55" i="46"/>
  <c r="I55" i="46" s="1"/>
  <c r="G117" i="46"/>
  <c r="H116" i="46"/>
  <c r="I116" i="46" s="1"/>
  <c r="F48" i="46"/>
  <c r="H48" i="46"/>
  <c r="I45" i="46"/>
  <c r="I255" i="40"/>
  <c r="I262" i="40" s="1"/>
  <c r="I266" i="40" s="1"/>
  <c r="I193" i="40"/>
  <c r="I200" i="40"/>
  <c r="I204" i="40" s="1"/>
  <c r="H233" i="40"/>
  <c r="I170" i="40"/>
  <c r="I172" i="40" s="1"/>
  <c r="I234" i="40"/>
  <c r="I236" i="40" s="1"/>
  <c r="E291" i="40" s="1"/>
  <c r="I291" i="40" s="1"/>
  <c r="I296" i="40" s="1"/>
  <c r="I298" i="40" s="1"/>
  <c r="E324" i="40" s="1"/>
  <c r="I324" i="40" s="1"/>
  <c r="I331" i="40" s="1"/>
  <c r="I333" i="40" s="1"/>
  <c r="I84" i="40"/>
  <c r="I94" i="40" s="1"/>
  <c r="I96" i="40" s="1"/>
  <c r="F57" i="40"/>
  <c r="I48" i="46" l="1"/>
  <c r="I26" i="46"/>
  <c r="I16" i="46"/>
  <c r="H21" i="46"/>
  <c r="I21" i="46" s="1"/>
  <c r="C23" i="46"/>
  <c r="F23" i="46" s="1"/>
  <c r="I27" i="46"/>
  <c r="F30" i="46"/>
  <c r="H30" i="46"/>
  <c r="G88" i="46"/>
  <c r="H87" i="46"/>
  <c r="I87" i="46" s="1"/>
  <c r="G118" i="46"/>
  <c r="H117" i="46"/>
  <c r="I117" i="46" s="1"/>
  <c r="K67" i="46"/>
  <c r="M67" i="46" s="1"/>
  <c r="I30" i="46" l="1"/>
  <c r="H23" i="46"/>
  <c r="I23" i="46" s="1"/>
  <c r="G119" i="46"/>
  <c r="H118" i="46"/>
  <c r="I118" i="46" s="1"/>
  <c r="H88" i="46"/>
  <c r="I88" i="46" s="1"/>
  <c r="G89" i="46"/>
  <c r="K30" i="46" l="1"/>
  <c r="I31" i="46"/>
  <c r="I41" i="46" s="1"/>
  <c r="I66" i="46" s="1"/>
  <c r="I76" i="46" s="1"/>
  <c r="G90" i="46"/>
  <c r="H90" i="46" s="1"/>
  <c r="I90" i="46" s="1"/>
  <c r="H89" i="46"/>
  <c r="I89" i="46" s="1"/>
  <c r="G120" i="46"/>
  <c r="H119" i="46"/>
  <c r="I119" i="46" s="1"/>
  <c r="K96" i="46" l="1"/>
  <c r="I97" i="46"/>
  <c r="I107" i="46" s="1"/>
  <c r="G121" i="46"/>
  <c r="H121" i="46" s="1"/>
  <c r="I121" i="46" s="1"/>
  <c r="H120" i="46"/>
  <c r="I120" i="46" s="1"/>
  <c r="M131" i="46" l="1"/>
  <c r="I132" i="46"/>
  <c r="M39" i="21"/>
  <c r="H39" i="21"/>
  <c r="G39" i="21"/>
  <c r="F39" i="21"/>
  <c r="M38" i="21"/>
  <c r="H38" i="21"/>
  <c r="G38" i="21"/>
  <c r="F38" i="21"/>
  <c r="M37" i="21"/>
  <c r="H37" i="21"/>
  <c r="G37" i="21"/>
  <c r="F37" i="21"/>
  <c r="M36" i="21"/>
  <c r="H36" i="21"/>
  <c r="G36" i="21"/>
  <c r="F36" i="21"/>
  <c r="M35" i="21"/>
  <c r="H35" i="21"/>
  <c r="G35" i="21"/>
  <c r="F35" i="21"/>
  <c r="M34" i="21"/>
  <c r="H34" i="21"/>
  <c r="G34" i="21"/>
  <c r="F34" i="21"/>
  <c r="I34" i="21"/>
  <c r="K34" i="21" s="1"/>
  <c r="L34" i="21" s="1"/>
  <c r="N34" i="21" s="1"/>
  <c r="M33" i="21"/>
  <c r="H33" i="21"/>
  <c r="G33" i="21"/>
  <c r="F33" i="21"/>
  <c r="M32" i="21"/>
  <c r="H32" i="21"/>
  <c r="G32" i="21"/>
  <c r="F32" i="21"/>
  <c r="M31" i="21"/>
  <c r="H31" i="21"/>
  <c r="G31" i="21"/>
  <c r="F31" i="21"/>
  <c r="I31" i="21"/>
  <c r="K31" i="21" s="1"/>
  <c r="L31" i="21" s="1"/>
  <c r="N31" i="21" s="1"/>
  <c r="M30" i="21"/>
  <c r="H30" i="21"/>
  <c r="G30" i="21"/>
  <c r="F30" i="21"/>
  <c r="M29" i="21"/>
  <c r="H29" i="21"/>
  <c r="G29" i="21"/>
  <c r="F29" i="21"/>
  <c r="M28" i="21"/>
  <c r="H28" i="21"/>
  <c r="G28" i="21"/>
  <c r="F28" i="21"/>
  <c r="I28" i="21" s="1"/>
  <c r="K28" i="21" s="1"/>
  <c r="L28" i="21" s="1"/>
  <c r="N28" i="21" s="1"/>
  <c r="M27" i="21"/>
  <c r="H27" i="21"/>
  <c r="G27" i="21"/>
  <c r="F27" i="21"/>
  <c r="M26" i="21"/>
  <c r="H26" i="21"/>
  <c r="G26" i="21"/>
  <c r="F26" i="21"/>
  <c r="M25" i="21"/>
  <c r="H25" i="21"/>
  <c r="G25" i="21"/>
  <c r="F25" i="21"/>
  <c r="M24" i="21"/>
  <c r="H24" i="21"/>
  <c r="G24" i="21"/>
  <c r="F24" i="21"/>
  <c r="M23" i="21"/>
  <c r="H23" i="21"/>
  <c r="G23" i="21"/>
  <c r="F23" i="21"/>
  <c r="M22" i="21"/>
  <c r="H22" i="21"/>
  <c r="G22" i="21"/>
  <c r="F22" i="21"/>
  <c r="M21" i="21"/>
  <c r="H21" i="21"/>
  <c r="G21" i="21"/>
  <c r="F21" i="21"/>
  <c r="M20" i="21"/>
  <c r="H20" i="21"/>
  <c r="G20" i="21"/>
  <c r="F20" i="21"/>
  <c r="M19" i="21"/>
  <c r="H19" i="21"/>
  <c r="G19" i="21"/>
  <c r="F19" i="21"/>
  <c r="I19" i="21" s="1"/>
  <c r="K19" i="21" s="1"/>
  <c r="L19" i="21" s="1"/>
  <c r="N19" i="21" s="1"/>
  <c r="M18" i="21"/>
  <c r="H18" i="21"/>
  <c r="G18" i="21"/>
  <c r="F18" i="21"/>
  <c r="M17" i="21"/>
  <c r="H17" i="21"/>
  <c r="G17" i="21"/>
  <c r="F17" i="21"/>
  <c r="M16" i="21"/>
  <c r="H16" i="21"/>
  <c r="G16" i="21"/>
  <c r="I16" i="21"/>
  <c r="K16" i="21" s="1"/>
  <c r="L16" i="21" s="1"/>
  <c r="N16" i="21" s="1"/>
  <c r="F16" i="21"/>
  <c r="I26" i="21" l="1"/>
  <c r="K26" i="21" s="1"/>
  <c r="L26" i="21" s="1"/>
  <c r="N26" i="21" s="1"/>
  <c r="I38" i="21"/>
  <c r="K38" i="21" s="1"/>
  <c r="L38" i="21" s="1"/>
  <c r="N38" i="21" s="1"/>
  <c r="I35" i="21"/>
  <c r="K35" i="21" s="1"/>
  <c r="L35" i="21" s="1"/>
  <c r="N35" i="21" s="1"/>
  <c r="I20" i="21"/>
  <c r="K20" i="21" s="1"/>
  <c r="L20" i="21" s="1"/>
  <c r="N20" i="21" s="1"/>
  <c r="I32" i="21"/>
  <c r="K32" i="21" s="1"/>
  <c r="L32" i="21" s="1"/>
  <c r="N32" i="21" s="1"/>
  <c r="I21" i="21"/>
  <c r="K21" i="21" s="1"/>
  <c r="L21" i="21" s="1"/>
  <c r="N21" i="21" s="1"/>
  <c r="I25" i="21"/>
  <c r="K25" i="21" s="1"/>
  <c r="L25" i="21" s="1"/>
  <c r="N25" i="21" s="1"/>
  <c r="I22" i="21"/>
  <c r="K22" i="21" s="1"/>
  <c r="L22" i="21" s="1"/>
  <c r="N22" i="21" s="1"/>
  <c r="I37" i="21"/>
  <c r="K37" i="21" s="1"/>
  <c r="L37" i="21" s="1"/>
  <c r="N37" i="21" s="1"/>
  <c r="I30" i="21"/>
  <c r="K30" i="21" s="1"/>
  <c r="L30" i="21" s="1"/>
  <c r="N30" i="21" s="1"/>
  <c r="I39" i="21"/>
  <c r="K39" i="21" s="1"/>
  <c r="L39" i="21" s="1"/>
  <c r="N39" i="21" s="1"/>
  <c r="I18" i="21"/>
  <c r="K18" i="21" s="1"/>
  <c r="L18" i="21" s="1"/>
  <c r="N18" i="21" s="1"/>
  <c r="I23" i="21"/>
  <c r="K23" i="21" s="1"/>
  <c r="L23" i="21" s="1"/>
  <c r="N23" i="21" s="1"/>
  <c r="I33" i="21"/>
  <c r="K33" i="21" s="1"/>
  <c r="L33" i="21" s="1"/>
  <c r="N33" i="21" s="1"/>
  <c r="I17" i="21"/>
  <c r="K17" i="21" s="1"/>
  <c r="L17" i="21" s="1"/>
  <c r="N17" i="21" s="1"/>
  <c r="I24" i="21"/>
  <c r="K24" i="21" s="1"/>
  <c r="L24" i="21" s="1"/>
  <c r="N24" i="21" s="1"/>
  <c r="I29" i="21"/>
  <c r="K29" i="21" s="1"/>
  <c r="L29" i="21" s="1"/>
  <c r="N29" i="21" s="1"/>
  <c r="I36" i="21"/>
  <c r="K36" i="21" s="1"/>
  <c r="L36" i="21" s="1"/>
  <c r="N36" i="21" s="1"/>
  <c r="I27" i="21"/>
  <c r="K27" i="21" s="1"/>
  <c r="L27" i="21" s="1"/>
  <c r="N27" i="21" s="1"/>
  <c r="L4" i="21" l="1"/>
  <c r="R6" i="21" s="1"/>
  <c r="R7" i="21" s="1"/>
  <c r="S7" i="21" s="1"/>
  <c r="C16" i="37" l="1"/>
  <c r="R8" i="21"/>
  <c r="R9" i="21" s="1"/>
  <c r="R10" i="21" s="1"/>
  <c r="S10" i="21" s="1"/>
  <c r="S11" i="21" s="1"/>
  <c r="L5" i="21" s="1"/>
  <c r="L6" i="21" s="1"/>
</calcChain>
</file>

<file path=xl/sharedStrings.xml><?xml version="1.0" encoding="utf-8"?>
<sst xmlns="http://schemas.openxmlformats.org/spreadsheetml/2006/main" count="2167" uniqueCount="655">
  <si>
    <t>รายการ</t>
  </si>
  <si>
    <t>จำนวน</t>
  </si>
  <si>
    <t>หน่วย</t>
  </si>
  <si>
    <t>ค่าแรงงาน</t>
  </si>
  <si>
    <t>หมายเหตุ</t>
  </si>
  <si>
    <t>รวม</t>
  </si>
  <si>
    <t>ลำดับที่</t>
  </si>
  <si>
    <t>รวมค่าวัสดุ</t>
  </si>
  <si>
    <t>ราคาต่อหน่วย</t>
  </si>
  <si>
    <t>จำนวนเงิน</t>
  </si>
  <si>
    <t>ลำดับ</t>
  </si>
  <si>
    <t>ค่าวัสดุ</t>
  </si>
  <si>
    <t>ที่</t>
  </si>
  <si>
    <t>และแรงงาน</t>
  </si>
  <si>
    <t>งานโครงสร้าง</t>
  </si>
  <si>
    <t>ต้น</t>
  </si>
  <si>
    <t>ลบ.บ.</t>
  </si>
  <si>
    <t>กก.</t>
  </si>
  <si>
    <t>ยอดยกไป</t>
  </si>
  <si>
    <t>ยอดยกมา</t>
  </si>
  <si>
    <t>ตร.ม</t>
  </si>
  <si>
    <t>ตร.ม.</t>
  </si>
  <si>
    <t>ตัว</t>
  </si>
  <si>
    <t>ลบ.ม</t>
  </si>
  <si>
    <t>รวมงานโครงสร้าง</t>
  </si>
  <si>
    <t>ชุด</t>
  </si>
  <si>
    <t>F2550 V.2.0</t>
  </si>
  <si>
    <t>ตารางคำนวณหาค่า Factor F งานก่อสร้างอาคาร</t>
  </si>
  <si>
    <t>ค่างานต้นทุน</t>
  </si>
  <si>
    <t>บาท</t>
  </si>
  <si>
    <t>ค่าFactor F</t>
  </si>
  <si>
    <t>FactorF</t>
  </si>
  <si>
    <t>www.yotathai.net</t>
  </si>
  <si>
    <t>ค่างานรวมค่า Factor F</t>
  </si>
  <si>
    <t>ค่างาน(ล้านบาท)</t>
  </si>
  <si>
    <t>ค่างานต่ำกว่า</t>
  </si>
  <si>
    <t>ตำแหน่งค่าต่ำ</t>
  </si>
  <si>
    <t>ตาราง Factor F งานก่อสร้างอาคาร ตามมติ ครม. 6 กุมพาพันธ์ 2550</t>
  </si>
  <si>
    <t>ตำแหน่งค่าสูง</t>
  </si>
  <si>
    <t>ค่างานสูงกว่า</t>
  </si>
  <si>
    <t xml:space="preserve">    เงินล่วงหน้าจ่าย</t>
  </si>
  <si>
    <t>%</t>
  </si>
  <si>
    <t>ดอกเบี้ยเงินกู้</t>
  </si>
  <si>
    <t>ค่าFactor F ที่ได้</t>
  </si>
  <si>
    <t xml:space="preserve">    เงินประกันผลงานหัก</t>
  </si>
  <si>
    <t>ค่าภาษีมูลค่าเพิ่ม (VAT)</t>
  </si>
  <si>
    <t>ค่างาน
(ทุน)
ล้านบาท</t>
  </si>
  <si>
    <t>ค่าใช้จ่ายในการดำเนินงานก่อสร้าง (%)</t>
  </si>
  <si>
    <t>รวมในรูป
Factor</t>
  </si>
  <si>
    <t>ภาษีมูลค่าเพิ่ม
(VAT)</t>
  </si>
  <si>
    <t>Factor F</t>
  </si>
  <si>
    <t>ค่า
อำนวยการ</t>
  </si>
  <si>
    <t>ระยะเวลา
ก่อสร้าง</t>
  </si>
  <si>
    <t>ระยะเวลา
เบิกจ่ายเงิน</t>
  </si>
  <si>
    <t>เงิน
จ่ายล่วงหน้า</t>
  </si>
  <si>
    <t>เงิน
ประกันผลงาน</t>
  </si>
  <si>
    <t>ดอกเบี้ย
เงินกู้</t>
  </si>
  <si>
    <t>ค่า
ดอกเบี้ย</t>
  </si>
  <si>
    <t>ค่า
กำไร</t>
  </si>
  <si>
    <t>รวม
ค่าใช้จ่าย</t>
  </si>
  <si>
    <t xml:space="preserve"> ไม่เกิน  0.5</t>
  </si>
  <si>
    <t>เกิน 500</t>
  </si>
  <si>
    <t xml:space="preserve">   - งานดินขุด - ถมคืน</t>
  </si>
  <si>
    <t xml:space="preserve">   - ทรายหยาบ</t>
  </si>
  <si>
    <t>1.1 งานฐานรากเสาเข็ม</t>
  </si>
  <si>
    <t xml:space="preserve">   - คอนกรีตหยาบ</t>
  </si>
  <si>
    <t xml:space="preserve"> - แบบหล่อคอนกรีต</t>
  </si>
  <si>
    <t>ตรม.</t>
  </si>
  <si>
    <t xml:space="preserve"> - ค่าแรงแบบหล่อคอนกรีต</t>
  </si>
  <si>
    <t>ลบ.ฟ.</t>
  </si>
  <si>
    <t xml:space="preserve"> -เหล็กเส้นกลม6มม.SR-24(0.222กก./ม.)</t>
  </si>
  <si>
    <t>ตัน</t>
  </si>
  <si>
    <t xml:space="preserve"> -เหล็กเส้นกลม9มม.SR-24(0.499กก./ม.)</t>
  </si>
  <si>
    <t xml:space="preserve"> -เหล็กข้ออ้อย12มม.SD-40(0.888กก./ม.)</t>
  </si>
  <si>
    <t xml:space="preserve"> -เหล็กข้ออ้อย16มม.SD-40(1.580กก./ม.)</t>
  </si>
  <si>
    <t xml:space="preserve"> -เหล็กข้ออ้อย20มม.SD-40(2.466กก./ม.)</t>
  </si>
  <si>
    <t xml:space="preserve"> -เหล็กข้ออ้อย25มม.SD-40(3.853กก./ม.)</t>
  </si>
  <si>
    <t xml:space="preserve"> - ลวดผูกเหล็ก</t>
  </si>
  <si>
    <t>ก.ก.</t>
  </si>
  <si>
    <t xml:space="preserve">  - ลวดผูกเหล็ก</t>
  </si>
  <si>
    <t>1.2 งานโครงสร้าง คสล. ชั้น 1</t>
  </si>
  <si>
    <t xml:space="preserve">  - เหล็กเสริม</t>
  </si>
  <si>
    <t xml:space="preserve">  -เหล็กเส้นกลม6มม.SR-24(0.222กก./ม.)</t>
  </si>
  <si>
    <t xml:space="preserve">  -เหล็กเส้นกลม9มม.SR-24(0.499กก./ม.)</t>
  </si>
  <si>
    <t xml:space="preserve">  -เหล็กข้ออ้อย12มม.SD-40(0.888กก./ม.)</t>
  </si>
  <si>
    <t xml:space="preserve">  -เหล็กข้ออ้อย16มม.SD-40(1.580กก./ม.)</t>
  </si>
  <si>
    <t xml:space="preserve">  -เหล็กข้ออ้อย20มม.SD-40(2.466กก./ม.)</t>
  </si>
  <si>
    <t xml:space="preserve">  -เหล็กข้ออ้อย25มม.SD-40(3.853กก./ม.)</t>
  </si>
  <si>
    <t xml:space="preserve"> - ตะปู</t>
  </si>
  <si>
    <t xml:space="preserve">  -คอนกรีตทับหน้า หนา 5 ซม.</t>
  </si>
  <si>
    <t>RB6</t>
  </si>
  <si>
    <t>RB9</t>
  </si>
  <si>
    <t>DB12</t>
  </si>
  <si>
    <t>DB16</t>
  </si>
  <si>
    <t>DB25</t>
  </si>
  <si>
    <t xml:space="preserve"> - ไม้เคร่า</t>
  </si>
  <si>
    <t xml:space="preserve">1.2 งานโครงสร้าง คสล. ชั้น 2 </t>
  </si>
  <si>
    <t>1.2 งานโครงสร้าง หลังคา</t>
  </si>
  <si>
    <t>บันได</t>
  </si>
  <si>
    <t xml:space="preserve">  - แผ่นพื้น คสล. สำเร็จรูป</t>
  </si>
  <si>
    <t xml:space="preserve">  - เหล็ก c 100x50x20x3.2 mm.(5.50 kg/m)</t>
  </si>
  <si>
    <t xml:space="preserve"> - ไม้แบบ</t>
  </si>
  <si>
    <t xml:space="preserve"> - ค่าแรงไม้แบบ</t>
  </si>
  <si>
    <t xml:space="preserve"> - ค้ำยัน</t>
  </si>
  <si>
    <t>ลบ.ม.</t>
  </si>
  <si>
    <t>จุด</t>
  </si>
  <si>
    <t>แบบแสดงรายการ  ปริมาณงาน และราคา</t>
  </si>
  <si>
    <t>กลุ่มงาน/งาน  กลุ่มงานวิชาการโยธาธิการ  สำนักงานโยธาธิการและผังเมืองจังหวัดระยอง</t>
  </si>
  <si>
    <t xml:space="preserve">แบบเลขที่ </t>
  </si>
  <si>
    <t xml:space="preserve">    หน่วย : บาท</t>
  </si>
  <si>
    <t>ม</t>
  </si>
  <si>
    <t>A งานอาคารสำนักงาน</t>
  </si>
  <si>
    <t>ค่าก่อสร้าง</t>
  </si>
  <si>
    <t>(บาท)</t>
  </si>
  <si>
    <t xml:space="preserve"> </t>
  </si>
  <si>
    <t>ค่าวัสดุและค่าแรงงาน</t>
  </si>
  <si>
    <t>ค่าก่อสร้างทั้งหมด</t>
  </si>
  <si>
    <t>รวมเป็นเงิน (บาท)</t>
  </si>
  <si>
    <t xml:space="preserve">  เงื่อนไข</t>
  </si>
  <si>
    <t>สรุป</t>
  </si>
  <si>
    <t>รวมค่าก่อสร้างเป็นเงินทั้งสิ้น</t>
  </si>
  <si>
    <t xml:space="preserve">       เงินล่วงหน้าจ่าย 0%</t>
  </si>
  <si>
    <t xml:space="preserve">       เงินประกันผลงานหัก  0%</t>
  </si>
  <si>
    <t xml:space="preserve">       ภาษีมูลค่าเพิ่ม 7%</t>
  </si>
  <si>
    <t xml:space="preserve">เผื่อให้ </t>
  </si>
  <si>
    <t>ภายในโครงการ</t>
  </si>
  <si>
    <t>ค หยาบ</t>
  </si>
  <si>
    <t>ค2</t>
  </si>
  <si>
    <t>แบบหล่อ</t>
  </si>
  <si>
    <t>ตะปู</t>
  </si>
  <si>
    <t>6 มม.</t>
  </si>
  <si>
    <t>9 มม.</t>
  </si>
  <si>
    <t>12 มม.</t>
  </si>
  <si>
    <t>16 มม.</t>
  </si>
  <si>
    <t>20 มม.</t>
  </si>
  <si>
    <t>25 มม.</t>
  </si>
  <si>
    <t>ลวดผูกเหล็ก</t>
  </si>
  <si>
    <t>ทรายหยาบ</t>
  </si>
  <si>
    <t>หินคลุก</t>
  </si>
  <si>
    <t>ราคารวม</t>
  </si>
  <si>
    <t>ต่อหน่วย(บาท)</t>
  </si>
  <si>
    <t>เป็นเงิน(บาท)</t>
  </si>
  <si>
    <t xml:space="preserve">คันหิน ค.ส.ล /  เมตร </t>
  </si>
  <si>
    <t xml:space="preserve"> คอนกรีต ค.2 </t>
  </si>
  <si>
    <t xml:space="preserve"> เหล็กเสริม</t>
  </si>
  <si>
    <t xml:space="preserve"> ขนาด      6      มม.  </t>
  </si>
  <si>
    <t xml:space="preserve"> ขนาด      9      มม.  </t>
  </si>
  <si>
    <t xml:space="preserve"> ขนาด    12      มม.</t>
  </si>
  <si>
    <t xml:space="preserve"> ขนาด    16      มม.</t>
  </si>
  <si>
    <t xml:space="preserve"> ขนาด    20      มม.</t>
  </si>
  <si>
    <t xml:space="preserve"> ขนาด    25      มม.</t>
  </si>
  <si>
    <t xml:space="preserve"> ลวดผูกเหล็ก   0.03</t>
  </si>
  <si>
    <t xml:space="preserve"> อื่น ๆ</t>
  </si>
  <si>
    <t xml:space="preserve"> รวมเป็นเงิน</t>
  </si>
  <si>
    <t xml:space="preserve"> รวมเป็นเงินทั้งสิ้น</t>
  </si>
  <si>
    <t>เป็นราคา</t>
  </si>
  <si>
    <t>หรือประมาณ</t>
  </si>
  <si>
    <t xml:space="preserve"> บ่อพัก ค.ส.ล  พร้อมท่อระบายน้ำ / แห่ง </t>
  </si>
  <si>
    <r>
      <t xml:space="preserve"> คอนกรีต ค.2</t>
    </r>
    <r>
      <rPr>
        <sz val="14"/>
        <color indexed="10"/>
        <rFont val="FreesiaUPC"/>
        <family val="2"/>
        <charset val="222"/>
      </rPr>
      <t xml:space="preserve"> </t>
    </r>
  </si>
  <si>
    <t xml:space="preserve"> - ขุดดิน</t>
  </si>
  <si>
    <t xml:space="preserve"> - ทรายหยาบรองพื้น</t>
  </si>
  <si>
    <t xml:space="preserve"> - คอนกรีตหยาบ</t>
  </si>
  <si>
    <r>
      <t xml:space="preserve"> - ท่อระบาย PVC </t>
    </r>
    <r>
      <rPr>
        <sz val="14"/>
        <rFont val="Arial"/>
        <family val="2"/>
      </rPr>
      <t>ǿ</t>
    </r>
    <r>
      <rPr>
        <sz val="14"/>
        <rFont val="FreesiaUPC"/>
        <family val="2"/>
        <charset val="222"/>
      </rPr>
      <t xml:space="preserve"> </t>
    </r>
    <r>
      <rPr>
        <sz val="11"/>
        <rFont val="FreesiaUPC"/>
        <family val="2"/>
        <charset val="222"/>
      </rPr>
      <t>0.20</t>
    </r>
    <r>
      <rPr>
        <sz val="14"/>
        <rFont val="Arial"/>
        <family val="2"/>
      </rPr>
      <t xml:space="preserve"> </t>
    </r>
    <r>
      <rPr>
        <sz val="14"/>
        <rFont val="FreesiaUPC"/>
        <family val="2"/>
        <charset val="222"/>
      </rPr>
      <t>เมตร</t>
    </r>
  </si>
  <si>
    <t xml:space="preserve"> - ข้อต่อ PVC</t>
  </si>
  <si>
    <r>
      <t xml:space="preserve"> - ตะแกรงเหล็กกันขยะ </t>
    </r>
    <r>
      <rPr>
        <sz val="14"/>
        <rFont val="Arial"/>
        <family val="2"/>
      </rPr>
      <t xml:space="preserve">ǿ  </t>
    </r>
    <r>
      <rPr>
        <sz val="14"/>
        <rFont val="FreesiaUPC"/>
        <family val="2"/>
        <charset val="222"/>
      </rPr>
      <t>12 มม.</t>
    </r>
  </si>
  <si>
    <t xml:space="preserve"> - เจาะรู</t>
  </si>
  <si>
    <t xml:space="preserve">  บันได ค.ส.ล  / แห่ง </t>
  </si>
  <si>
    <t xml:space="preserve"> ลวดผูกเหล็ก  .03</t>
  </si>
  <si>
    <t xml:space="preserve"> - แผ่นใยสังเคราะห์</t>
  </si>
  <si>
    <t xml:space="preserve"> - รอยต่อ (Joint)</t>
  </si>
  <si>
    <t xml:space="preserve"> ม</t>
  </si>
  <si>
    <t>ประมาณ</t>
  </si>
  <si>
    <t xml:space="preserve">แผงกรุ คสล. / แผง </t>
  </si>
  <si>
    <r>
      <t xml:space="preserve"> คอนกรีต ค.2</t>
    </r>
    <r>
      <rPr>
        <sz val="16"/>
        <color indexed="10"/>
        <rFont val="Angsana New"/>
        <family val="1"/>
      </rPr>
      <t xml:space="preserve"> </t>
    </r>
  </si>
  <si>
    <t>ค่าแรงแบบหล่อ</t>
  </si>
  <si>
    <t xml:space="preserve"> ลวดผูกเหล็ก  </t>
  </si>
  <si>
    <t xml:space="preserve"> - ปลายเสาเข็มเหล็กหล่อ</t>
  </si>
  <si>
    <t>เสาเข็ม B ขนาด 0.30x0.40x16.00 เมตร</t>
  </si>
  <si>
    <t>คาน คสล.รัดหัวเข็ม / เมตร</t>
  </si>
  <si>
    <t xml:space="preserve"> - ราวกันตก</t>
  </si>
  <si>
    <t xml:space="preserve"> - เสาเข็ม B</t>
  </si>
  <si>
    <t xml:space="preserve"> - สกัดหัวเสาเข็ม B</t>
  </si>
  <si>
    <t>ส.15000ก</t>
  </si>
  <si>
    <t>แห่ง</t>
  </si>
  <si>
    <t>ส.16000</t>
  </si>
  <si>
    <t>เสาเข็ม A ขนาด 0.50x0.50x18.00 เมตร</t>
  </si>
  <si>
    <t xml:space="preserve">   - งานทดสอบ Boring Tes(กำหนดโดยวิศวกรผู้ควบคุมงาน)</t>
  </si>
  <si>
    <t xml:space="preserve"> - คอนกรีต</t>
  </si>
  <si>
    <t xml:space="preserve"> - RB6</t>
  </si>
  <si>
    <t>รางยู / เมตร</t>
  </si>
  <si>
    <t>กก</t>
  </si>
  <si>
    <t>ชื่อโครงการ/งานก่อสร้าง   ศูนย์ควบคุมมลพิษ จังหวัดระยอง</t>
  </si>
  <si>
    <t>สถานที่ก่อสร้าง   ศูนย์ราชการ ตำบลเนินพระ   อำเภอเมือง   จังหวัดระยอง</t>
  </si>
  <si>
    <t xml:space="preserve">คำนวณราคาโดย   </t>
  </si>
  <si>
    <t>หน่วยงานเจ้าของโครงการ/งานก่อสร้าง  กรมควบคุมมลพิษ จังหวัดระยอง</t>
  </si>
  <si>
    <t>ยผ.รย  21/2557</t>
  </si>
  <si>
    <t>เมื่อวันที่       เดือน  มิถุนายน   พ.ศ.2557</t>
  </si>
  <si>
    <t xml:space="preserve">   - คอนกรีตโครงสร้างรูปลูกบาศก์ 280 กก./ตร.ซม.หรือรูปทรงกระบอก 240 กก./ตร.ซม.</t>
  </si>
  <si>
    <t>คาน</t>
  </si>
  <si>
    <t>Bx1</t>
  </si>
  <si>
    <t>Bx2</t>
  </si>
  <si>
    <t>B1</t>
  </si>
  <si>
    <t>B2</t>
  </si>
  <si>
    <t>B3</t>
  </si>
  <si>
    <t>B4</t>
  </si>
  <si>
    <t>B5</t>
  </si>
  <si>
    <t>B6</t>
  </si>
  <si>
    <t>B7</t>
  </si>
  <si>
    <t>B8</t>
  </si>
  <si>
    <t>B8'</t>
  </si>
  <si>
    <t>กว้าง</t>
  </si>
  <si>
    <t>ยาว</t>
  </si>
  <si>
    <t>ไม้แบบ</t>
  </si>
  <si>
    <t>คอนกรีต</t>
  </si>
  <si>
    <t>DB20</t>
  </si>
  <si>
    <t>สูง</t>
  </si>
  <si>
    <t>ชั้น1</t>
  </si>
  <si>
    <t>คอนกรีตหยาบ</t>
  </si>
  <si>
    <t>GB1</t>
  </si>
  <si>
    <t>Gs</t>
  </si>
  <si>
    <t>S1</t>
  </si>
  <si>
    <t>Dowel</t>
  </si>
  <si>
    <t>C1</t>
  </si>
  <si>
    <t>C2</t>
  </si>
  <si>
    <t>Cw</t>
  </si>
  <si>
    <t xml:space="preserve">   -Plate 500x500 t=25 mm.</t>
  </si>
  <si>
    <t xml:space="preserve">   - WF-350x250x9x14mm.  (Unit weight 79.7 kg/m)</t>
  </si>
  <si>
    <t xml:space="preserve">   - L 100x100x10mm. (Unit weight 10.7kg/m)</t>
  </si>
  <si>
    <t>ST1</t>
  </si>
  <si>
    <t>ชานพัก</t>
  </si>
  <si>
    <t xml:space="preserve">   - ผนังก่ออิฐเต็มแผ่น(ทางลาดผู้พิการ)</t>
  </si>
  <si>
    <t>S2+ทางลาด</t>
  </si>
  <si>
    <t>RB1</t>
  </si>
  <si>
    <t>RB2</t>
  </si>
  <si>
    <t xml:space="preserve">  - เหล็ก c 150x50x20x3.2 mm.(6.76 kg/m)</t>
  </si>
  <si>
    <t xml:space="preserve">  - เหล็กกลม Dia. 1" mm.(1.80 kg/m)</t>
  </si>
  <si>
    <t xml:space="preserve">  - เหล็กกลม Dia. 2",1/2 mm.(7.47 kg/m)</t>
  </si>
  <si>
    <t xml:space="preserve">  - เหล็ก เหล็ก     150x150 (20.10 kg/m)</t>
  </si>
  <si>
    <t xml:space="preserve">  - เหล็ก        125x75 (13.10 kg/m)</t>
  </si>
  <si>
    <t xml:space="preserve">   - Anchor bolt  19มม.500 มม.</t>
  </si>
  <si>
    <t>F</t>
  </si>
  <si>
    <t>F1</t>
  </si>
  <si>
    <t>หนา</t>
  </si>
  <si>
    <t>จำนวน(ฐาน)</t>
  </si>
  <si>
    <t xml:space="preserve">   - เสาเข็ม คอร.ขนาด 0.26x0.26x12 ม.</t>
  </si>
  <si>
    <t xml:space="preserve">   - สกัดหัวเสาเข็มคอนกรีต0.26x0.26x12 ม.</t>
  </si>
  <si>
    <t xml:space="preserve">   - เสาเข็ม คอร.ขนาด 0.30x0.30x12 ม.</t>
  </si>
  <si>
    <t xml:space="preserve">   - สกัดหัวเสาเข็มคอนกรีต0.30x0.30x12 ม.</t>
  </si>
  <si>
    <t xml:space="preserve">(TEMPERATURE  STEEL) </t>
  </si>
  <si>
    <t xml:space="preserve">   -เหล็ก ศก. 6.0 มม. ขนาดตาราง 0.20 x 0.20 ม. ตรา ที เอ็ม</t>
  </si>
  <si>
    <t xml:space="preserve">   -เหล็ก ศก. 6.0 มม. ขนาดตาราง 0.15 x 0.15 ม. ตรา ที เอ็ม</t>
  </si>
  <si>
    <t>แผ่นที่ 1/</t>
  </si>
  <si>
    <t>แผ่นที่ 2/</t>
  </si>
  <si>
    <t>แผ่นที่ 3/</t>
  </si>
  <si>
    <t>แผ่นที่ 4/</t>
  </si>
  <si>
    <t>ชื่อโครงการ/งานก่อสร้าง  อัยการ จังหวัดระยอง</t>
  </si>
  <si>
    <t>หน่วยงานเจ้าของโครงการ/งานก่อสร้าง  สำนักงานอัยการ จังหวัดระยอง</t>
  </si>
  <si>
    <t>เมื่อวันที่       เดือน  ตุลาคม   พ.ศ.2559</t>
  </si>
  <si>
    <t>กลุ่มงาน/งาน  ....................................................................................................................................................</t>
  </si>
  <si>
    <t>ชื่อโครงการ/งานก่อสร้าง   อาคารศูนย์ควบคุมมลพิษจังหวัดระยอง</t>
  </si>
  <si>
    <t>สถานที่ก่อสร้าง    ศูนย์ราชการจังหวัดระยอง  ตำบลเนินพระ  อำเภอเมือง  จังหวัดระยอง</t>
  </si>
  <si>
    <t>ยผ.รย. 21/2557</t>
  </si>
  <si>
    <t>หน่วยงานเจ้าของโครงการ/งานก่อสร้าง   ศูนย์ควบคุมมลพิษจังหวัดระยอง</t>
  </si>
  <si>
    <t>ประมาณราคาโดย     นายยอดเพชร   แสงพงษ์พิทยา   สถาปนิกชำนาญการ</t>
  </si>
  <si>
    <t>เมื่อวันนที่  12  เดือน  มิถุนายน   พ.ศ.2557</t>
  </si>
  <si>
    <t>ค่าวัสดุสิ่งของ</t>
  </si>
  <si>
    <t>ยอดรวมค่าวัสดุ</t>
  </si>
  <si>
    <t>ราคาหน่วยละ</t>
  </si>
  <si>
    <t>และค่าแรงงาน</t>
  </si>
  <si>
    <t>สรุปงานสถาปัตยกรรม</t>
  </si>
  <si>
    <t>งานมุงหลังคา</t>
  </si>
  <si>
    <t>งานฝ้าเพดานและเพดาน</t>
  </si>
  <si>
    <t>3</t>
  </si>
  <si>
    <t>งานผนัง</t>
  </si>
  <si>
    <t>4</t>
  </si>
  <si>
    <t xml:space="preserve">งานพื้นและทำผิวพื้นต่าง ๆ </t>
  </si>
  <si>
    <t>5</t>
  </si>
  <si>
    <t>งานประตู - หน้าต่าง พร้อมอุปกรณ์</t>
  </si>
  <si>
    <t>6</t>
  </si>
  <si>
    <t>งานบันไดและทางลาด (ไม่รวมงานก่อฉาบ)</t>
  </si>
  <si>
    <t>7</t>
  </si>
  <si>
    <t>งานสุขภัณฑ์และอุปกรณ์ประกอบ</t>
  </si>
  <si>
    <t>8</t>
  </si>
  <si>
    <t>งานทาสี</t>
  </si>
  <si>
    <t>9</t>
  </si>
  <si>
    <t xml:space="preserve">งานอื่น ๆ </t>
  </si>
  <si>
    <t>รวมงานสถาปัตยกรรมเป็นเงิน</t>
  </si>
  <si>
    <t>แผ่นที่ 5/36</t>
  </si>
  <si>
    <t>งานสถาปัตยกรรม</t>
  </si>
  <si>
    <t>2.1 งานหลังคา</t>
  </si>
  <si>
    <t>แผ่น</t>
  </si>
  <si>
    <t>กระเบื้อง-แป</t>
  </si>
  <si>
    <t>กล่อง</t>
  </si>
  <si>
    <t xml:space="preserve"> - ฉนวนกันความร้อนอลูมิเนียมฟอยล์ (วางบนแป)</t>
  </si>
  <si>
    <t xml:space="preserve"> - เชิงชายไม้สังเคราะห์สำเร็จรูป 8 นิ้ว</t>
  </si>
  <si>
    <t>ม.</t>
  </si>
  <si>
    <t xml:space="preserve"> - เชิงชายไม้สังเคราะห์สำเร็จรูป 6 นิ้ว</t>
  </si>
  <si>
    <t>แผ่นที่  6/36</t>
  </si>
  <si>
    <t>2.1.2 งานหลังคา Metal Sheet (R2)</t>
  </si>
  <si>
    <t xml:space="preserve"> - หนา 0.47 มม. ชนิดเคลือบสีพร้อมฉนวนฯ</t>
  </si>
  <si>
    <t xml:space="preserve"> - FLASHING</t>
  </si>
  <si>
    <t xml:space="preserve"> - รางน้ำสแตนเลส เกรด 304</t>
  </si>
  <si>
    <t xml:space="preserve">2.1.3 งานหลังคาและกันสาด คสล. ขัดมัน </t>
  </si>
  <si>
    <t xml:space="preserve"> - ทำผิวขัดมันปรับระดับพร้อมทำระบบกันซึม (R3)</t>
  </si>
  <si>
    <t>รวมงานหลังคาเป็นเงิน</t>
  </si>
  <si>
    <t>แผ่นที่ 7/36</t>
  </si>
  <si>
    <t>2.2 งานฝ้าเพดานและเพดาน</t>
  </si>
  <si>
    <t xml:space="preserve">2.2.1  (C-01) ฝ้าเพดานยิปซั่มบอร์ดฉาบเรียบ หนา 9 มม. </t>
  </si>
  <si>
    <t>พร้อมโครงเคร่าเหล็กอาบสังกะสี@0.60 x 0.60 ม.#</t>
  </si>
  <si>
    <t>2.2.2  (C-02) ฝ้าเพดานยิปซั่มบอร์ดฉาบเรียบ ชนืดทนชื้น หนา 9 มม.</t>
  </si>
  <si>
    <t>2.2.3  (C-03) ฝ้าเพดานท้องพื้นสำเร็จรูป แต่งร่อง/หล่อในที่ ฉาบปูนเรียบ</t>
  </si>
  <si>
    <t>2.2.4  (C-04) ฝ้าเพดานอลูมิเนียมคอมโพสิต โครงเคร่าเหล็ก</t>
  </si>
  <si>
    <t xml:space="preserve">2.2.5 (C-05) ฝ้าระแนงไม้สังเคราะห์ กว้าง 3" เว้นร่อง 0.5 ซม. </t>
  </si>
  <si>
    <t>บุมุ้งลวดไนล่อนกันแมลงโครงเคร่าเหล็กอาบสังกะสี</t>
  </si>
  <si>
    <t>รวมงานฝ้าเพดานและเพดานเป็นเงิน</t>
  </si>
  <si>
    <t>แผ่นที่ 8/36</t>
  </si>
  <si>
    <t>2.3  งานผนัง</t>
  </si>
  <si>
    <t>2.3.1  งานผนังก่อด้วยวัสดุก่อ</t>
  </si>
  <si>
    <t xml:space="preserve"> - ผนังก่ออิฐมอญหนาครึ่งแผ่น</t>
  </si>
  <si>
    <t xml:space="preserve"> - เสาเอ็นและคานทับหลัง คสล. ขนาด      0.10 x 0.10 ม.</t>
  </si>
  <si>
    <t>2.3.2  งานตกแต่งผิวผนัง</t>
  </si>
  <si>
    <t xml:space="preserve"> - กรุผนังแกรนิตโต้ ขนาด 0.30 x 0.30 ม. (ผ.2)</t>
  </si>
  <si>
    <t xml:space="preserve"> - กรุผนังกระเบื้องเซรามิค 0.20 x 0.20 ม. (ผ.3)</t>
  </si>
  <si>
    <t xml:space="preserve"> - ผนังเกร็ดอลูมิเนียม (ผ.4)</t>
  </si>
  <si>
    <t xml:space="preserve"> - กรุอลูมิเนียมคอมโพสิต พร้อมโครงเคร่า      1" x 1" (ผ.5)</t>
  </si>
  <si>
    <t xml:space="preserve"> - บัวปูนปั้น ขนาด      0.10 x 0.10 ม.</t>
  </si>
  <si>
    <t>2.3.4  งานฉาบปูน</t>
  </si>
  <si>
    <t xml:space="preserve"> - ฉาบปูนเรียบโครงสร้าง (เสา คาน ฯลฯ)</t>
  </si>
  <si>
    <t xml:space="preserve"> - ฉาบปูนเรียบผนัง (ผนังก่อ)</t>
  </si>
  <si>
    <t>รวมงานผนังเป็นเงิน</t>
  </si>
  <si>
    <t>แผ่นที่ 9/36</t>
  </si>
  <si>
    <t xml:space="preserve">2.4 งานพื้นและทำผิวพื้นต่าง ๆ </t>
  </si>
  <si>
    <t>2.4.1 งานทำผิวพื้น</t>
  </si>
  <si>
    <t xml:space="preserve"> - ตกแต่งพื้นผิวซีเมนต์ขัดหยาบ (พ.4)</t>
  </si>
  <si>
    <t xml:space="preserve"> - ตกแต่งพื้นผิวซีเมนต์ขัดมัน (พ.3)</t>
  </si>
  <si>
    <t xml:space="preserve"> - งานบังเชิงผนัง (ขัดมัน)</t>
  </si>
  <si>
    <t>2.4.2 งานผิวพื้นปูด้วยวัสดุแผ่นชนิดต่าง ๆ ยึดด้วยปูนกาว</t>
  </si>
  <si>
    <t xml:space="preserve"> - พื้นผิวปูด้วยกระเบื้องแกรนิตโต้ ขนาด     0.60 x 0.60 ม. (พ.1)</t>
  </si>
  <si>
    <t xml:space="preserve"> - พื้นผิวปูด้วยกระเบื้องแกรนิตโต้ ขนาด     0.30 x 0.30 ม. (พ4)</t>
  </si>
  <si>
    <t xml:space="preserve"> - พื้นผิวปูด้วยกระเบื้องเซรามิค  ขนาด     0.20 x 0.20 ม. (พ5)</t>
  </si>
  <si>
    <t xml:space="preserve"> - งานบัวเชิงผนังกระเบื้องแกรนิตโต้ ขนาด     0.10 x 0.60 ม. (พ4)</t>
  </si>
  <si>
    <t>รวมงานพื้นและทำผิวพื้นต่าง ๆ เป็นเงิน</t>
  </si>
  <si>
    <t>2.5 งานประตู - หน้าต่าง พร้อมอุปกรณ์</t>
  </si>
  <si>
    <t>2.5.1 งานประตู</t>
  </si>
  <si>
    <t xml:space="preserve"> - ป 1</t>
  </si>
  <si>
    <t xml:space="preserve"> - ป 2</t>
  </si>
  <si>
    <t xml:space="preserve"> - ป 3</t>
  </si>
  <si>
    <t xml:space="preserve"> - ป 4</t>
  </si>
  <si>
    <t xml:space="preserve"> - ป 5</t>
  </si>
  <si>
    <t xml:space="preserve"> - ป 6</t>
  </si>
  <si>
    <t xml:space="preserve"> - ป 7</t>
  </si>
  <si>
    <t xml:space="preserve"> - ป 8</t>
  </si>
  <si>
    <t xml:space="preserve"> - ป 9</t>
  </si>
  <si>
    <t xml:space="preserve"> - ป 10</t>
  </si>
  <si>
    <t>2.5.2  งานหน้าต่าง</t>
  </si>
  <si>
    <t xml:space="preserve"> - น 1</t>
  </si>
  <si>
    <t xml:space="preserve"> - น 2</t>
  </si>
  <si>
    <t xml:space="preserve"> - น 3</t>
  </si>
  <si>
    <t>แผ่นที่ 12/36</t>
  </si>
  <si>
    <t xml:space="preserve"> - น 4</t>
  </si>
  <si>
    <t xml:space="preserve"> - น 5</t>
  </si>
  <si>
    <t xml:space="preserve"> - น 6</t>
  </si>
  <si>
    <t>รวมงานประตู - หน้าต่าง พร้อมอุปกรณ์เป็นเงิน</t>
  </si>
  <si>
    <t>2.6 งานบันไดและทางลาด (ไม่รวมงานก่อฉาบ)</t>
  </si>
  <si>
    <t>2.6.1 งานตกแต่งวัสดุผิวบันได ST-1</t>
  </si>
  <si>
    <t xml:space="preserve"> - ลูกตั้ง - ลูกนอน ปูกระเบื้องแกรนิตโต้ ขนาด 0.30 x 0.60 ม.</t>
  </si>
  <si>
    <t xml:space="preserve"> - งานจมูกบันไดอลูมิเนียม 2"</t>
  </si>
  <si>
    <t xml:space="preserve"> - งานลูกกรงและราวจับสแตนเลส</t>
  </si>
  <si>
    <t>2.6.2  งานตกแต่งวัสดุผิวบันได้ ST-2</t>
  </si>
  <si>
    <t>แผ่นที่ 13/36</t>
  </si>
  <si>
    <t>2.6.3 งานตกแต่งวัสดุผิวบันได ST-3</t>
  </si>
  <si>
    <t xml:space="preserve"> - ลูกตั้ง+ลูกนอน ปูกระเบื้องแกรนิตโต้ ขนาด 0.30 x 0.60 ม.</t>
  </si>
  <si>
    <t xml:space="preserve"> - จมูกบันไดอลูมิเนียม 2"</t>
  </si>
  <si>
    <t>2.6.4 งานทางลาดคนพิการ</t>
  </si>
  <si>
    <t xml:space="preserve"> - งานทำผิวทรายล้าง</t>
  </si>
  <si>
    <t xml:space="preserve"> - งานเทคอนกรีต       0.15 x 0.15 ม. (ปูนปั้น)</t>
  </si>
  <si>
    <t xml:space="preserve"> - งานวัสดุพื้นผิวต่างสัมผัส</t>
  </si>
  <si>
    <t>รวมงานบันไดและทางลาด (ไม่รวมงานก่อฉาบ) เป็นเงิน</t>
  </si>
  <si>
    <t>2.7  งานสุขภัณฑ์และอุปกรณ์ประกอบ</t>
  </si>
  <si>
    <t xml:space="preserve"> - โถส้วมนั่งราบชนิดมีหม้อน้ำครบชุด</t>
  </si>
  <si>
    <t xml:space="preserve"> - โถปัสสาวะชาย</t>
  </si>
  <si>
    <t xml:space="preserve"> - อ่างล้างหน้าชนิดฝังเคาน์เตอร์ครบชุด</t>
  </si>
  <si>
    <t xml:space="preserve"> - อ่างล้างหน้าชนิดแขวนผนังครบชุด</t>
  </si>
  <si>
    <t xml:space="preserve"> - ที่ใส่กระดาษชำระ</t>
  </si>
  <si>
    <t>แผ่นที่ 14/36</t>
  </si>
  <si>
    <t xml:space="preserve"> - กระจกเงา</t>
  </si>
  <si>
    <t xml:space="preserve"> - บานเปลือย ขนาด 1.60 x 0.75 ม.</t>
  </si>
  <si>
    <t xml:space="preserve"> - บานเปลือย ขนาด 0.50 x 0.75 ม.</t>
  </si>
  <si>
    <t xml:space="preserve"> - บานสำเร็จรูป ชนิดปรับมุมได้ </t>
  </si>
  <si>
    <t xml:space="preserve"> - หิ้งวางของอ้างล้างหน้า</t>
  </si>
  <si>
    <t xml:space="preserve"> - ราวแขวนผ้า</t>
  </si>
  <si>
    <t xml:space="preserve"> - ราวทรงตัวรูปตัว L สแตนเลส</t>
  </si>
  <si>
    <t xml:space="preserve"> - ราวทรงตัวรูปตัว T สแตนเลส</t>
  </si>
  <si>
    <t xml:space="preserve"> - รางทรงตัวสำหรับอ้างล้างหน้า สแตนเลส</t>
  </si>
  <si>
    <t xml:space="preserve"> - ป้านสัญลักษณ์ผู้พิการ (ประตู)</t>
  </si>
  <si>
    <t xml:space="preserve"> - ก๊อกน้ำติดผนัง</t>
  </si>
  <si>
    <t xml:space="preserve"> - สายฉีดชำระ</t>
  </si>
  <si>
    <t xml:space="preserve"> - ตะแกรงกรองผงพร้อมที่ดักกลิ่น 4"</t>
  </si>
  <si>
    <t>แผ่นที่ 15/36</t>
  </si>
  <si>
    <t xml:space="preserve"> - STOP VALVE</t>
  </si>
  <si>
    <t xml:space="preserve"> - ห้องน้ำสำเร็จรูปชนิดทนน้ำ</t>
  </si>
  <si>
    <t xml:space="preserve"> - ด้านหน้า + ประตู + ด้านข้าง พร้อมอุปกรณ์ประกอบ</t>
  </si>
  <si>
    <t xml:space="preserve"> - ด้านหน้า + ประตู  พร้อมอุปกรณ์ประกอบ</t>
  </si>
  <si>
    <t xml:space="preserve"> - เคาน์เตอร์ คสล. (ไม่รวมผิวกระเบื้องแกรนิตโต้ 0.60 x 0.60 ม.)</t>
  </si>
  <si>
    <t>รวมงานสุขภัณฑ์และอุปกรณ์ประกอบ เป็นเงิน</t>
  </si>
  <si>
    <t>2.8 งานทาสี</t>
  </si>
  <si>
    <t xml:space="preserve"> - งานทาสีอะคริลิค 100% ชนิดทาภายใน ผลิตภัณฑ์ โฟร์ซีซั่น หรือเทียบเท่า</t>
  </si>
  <si>
    <t xml:space="preserve"> - งานทาสีอะคริลิค 100% ชนิดกึ่งเงา ผลิตภัณฑ์ Super Shield</t>
  </si>
  <si>
    <t>หรือเทียบเท่า</t>
  </si>
  <si>
    <t xml:space="preserve"> - งานทาสีน้ำมันทาเหล็ก</t>
  </si>
  <si>
    <t>รวมงานทาสี เป็นเงิน</t>
  </si>
  <si>
    <t>แผ่นที่ 16/36</t>
  </si>
  <si>
    <t xml:space="preserve">2.9 งานอื่น ๆ </t>
  </si>
  <si>
    <t>2.9.1 งานป้ายและสัญลักษณ์</t>
  </si>
  <si>
    <t xml:space="preserve"> - ป้ายสัญลักษณ์กรมการจัดหางาน สแตนเลส Ø 2.00 ม. x 2.5 ซม.</t>
  </si>
  <si>
    <t>ติดสติกเกอร์ผลิตภัณฑ์ 3M เว้นขอบ 0.05 ม.</t>
  </si>
  <si>
    <t>2.9.2 ตัวอักษรโลหะ ขึ้นรูป</t>
  </si>
  <si>
    <t>2.9.3 ชุดเหล็ก WF (ด้านหน้า)</t>
  </si>
  <si>
    <t xml:space="preserve"> - WF - 200x150x6 mm. (30.6 gk/m)</t>
  </si>
  <si>
    <t>21.70 m.</t>
  </si>
  <si>
    <t xml:space="preserve"> - PLATE ชุดเหล็กยึด</t>
  </si>
  <si>
    <t xml:space="preserve"> - PL      20 x 25 x 8 mm พร้อม 2-n DB 20 mm.</t>
  </si>
  <si>
    <t xml:space="preserve"> - PL      0.15 x 0.30 x 10 mm</t>
  </si>
  <si>
    <t>รวมงานอื่น ๆ เป็นเงิน</t>
  </si>
  <si>
    <t>2.1.1 งานมุงหลังกระเบื้อง</t>
  </si>
  <si>
    <t xml:space="preserve"> - ครอบสันหลังคา METAL SHEET</t>
  </si>
  <si>
    <t xml:space="preserve"> - แผ่นสะท้อนความร้อน</t>
  </si>
  <si>
    <t xml:space="preserve"> - เหล็กขึ้นรูป 1</t>
  </si>
  <si>
    <t xml:space="preserve"> - เหล็กขึ้นรูป 2</t>
  </si>
  <si>
    <t xml:space="preserve"> -  หนา 0.47 มม. ชนิดเคลือบสีพร้อมฉนวนฯ</t>
  </si>
  <si>
    <t>ปริมาณ</t>
  </si>
  <si>
    <t xml:space="preserve">  ค่าวัสดุ</t>
  </si>
  <si>
    <t xml:space="preserve">     ค่าแรงงาน</t>
  </si>
  <si>
    <t>หน่วยละ</t>
  </si>
  <si>
    <t>บาน</t>
  </si>
  <si>
    <t>ที่ทำการศาลากลางจังหวัดจันทบุรี</t>
  </si>
  <si>
    <t>งานรื้อถอน</t>
  </si>
  <si>
    <t xml:space="preserve"> - ผนังก่ออิฐมอญครึ่งแผ่น</t>
  </si>
  <si>
    <t>งานปรับปรุง</t>
  </si>
  <si>
    <t xml:space="preserve"> - พื้นปูกระเบื้องเอ็กซ์พอร์ซเลนขนาด 24x24 นิ้ว</t>
  </si>
  <si>
    <t xml:space="preserve">   16A 250V วัสดุผลิตจากโพลีคาร์บอเนต</t>
  </si>
  <si>
    <t>ชิ้น</t>
  </si>
  <si>
    <t xml:space="preserve"> - สายฉีดชำระสเตนเลส สีโครเมี่ยม พร้อมสายอ่อน</t>
  </si>
  <si>
    <t>นางสาวกมลพรรณ เจริญสรรพพืช</t>
  </si>
  <si>
    <t xml:space="preserve"> - ตะแกรงกันกลิ่นสเตนเลสใช้กับท่อน้ำทิ้งขนาด 2.5 นิ้ว</t>
  </si>
  <si>
    <t>(หนึ่งแสนแปดหมื่นสามพันเจ็ดร้อยบาทถ้วน)</t>
  </si>
  <si>
    <t>รวมค่าใช้จ่ายงานรื้อถอนทั้งสิ้น</t>
  </si>
  <si>
    <t xml:space="preserve"> - ประตู ป4</t>
  </si>
  <si>
    <t>ห้อง</t>
  </si>
  <si>
    <t xml:space="preserve"> - โถปัสสาวะชายแขวนผนังสีขาว พร้อมอุปกรณ์เซ็นเซอร์</t>
  </si>
  <si>
    <t xml:space="preserve">   (ระบบเปิด-ปิดน้ำ เซ็นเซอร์อินฟาเรด)</t>
  </si>
  <si>
    <t xml:space="preserve"> - กล่องใส่กระดาษชำระม้วนใหญ่แบบมือดึง (พลาสติก)</t>
  </si>
  <si>
    <t xml:space="preserve"> - ก็อกน้ำเดี่ยว (ระบบเปิด-ปิดน้ำ เซ็นเซอร์อินฟาเรด)</t>
  </si>
  <si>
    <t xml:space="preserve">    - เหล็กเสริม RB 9 มม. @ 0.15 มม.</t>
  </si>
  <si>
    <t xml:space="preserve">    - คอนกรีตผสมเสร็จรูปลูกบาศก์ 240 กก./ตร.ซม.</t>
  </si>
  <si>
    <t xml:space="preserve">    - เหล็กตะแกรง RB 4 มม @ 0.15 มม.#</t>
  </si>
  <si>
    <t xml:space="preserve"> - ฉาบปูนเปลือยขัดมัน</t>
  </si>
  <si>
    <t xml:space="preserve"> - ผนังเดิมสกัดผิว (เตรียมผิวเพื่อบุวัสดุต่างๆ)</t>
  </si>
  <si>
    <t>สถานที่ก่อสร้าง                ที่ทำการศาลากลางจังหวัดจันทบุรี</t>
  </si>
  <si>
    <t>A</t>
  </si>
  <si>
    <t>D</t>
  </si>
  <si>
    <t>E</t>
  </si>
  <si>
    <t>B</t>
  </si>
  <si>
    <t>C</t>
  </si>
  <si>
    <t>เงินล่วงหน้าจ่าย</t>
  </si>
  <si>
    <t>เงินประกันผลงานหัก</t>
  </si>
  <si>
    <t xml:space="preserve"> - ผนังกรุกระเบื้องเคลือบเซรามิคขนาด 10x16 นิ้ว </t>
  </si>
  <si>
    <t xml:space="preserve"> ผ1</t>
  </si>
  <si>
    <t>ผ6</t>
  </si>
  <si>
    <t>ผ5</t>
  </si>
  <si>
    <t>ผ3</t>
  </si>
  <si>
    <t>ผ4</t>
  </si>
  <si>
    <t xml:space="preserve"> - กระจกเงา หนา 5 มม. กว้าง 30 ซม.</t>
  </si>
  <si>
    <t xml:space="preserve"> - คิ้วกระเบื้องแกรนิต สีดำ กว้าง 10 ซม. </t>
  </si>
  <si>
    <t>พ1</t>
  </si>
  <si>
    <t>ฝ1</t>
  </si>
  <si>
    <t xml:space="preserve"> - หน้าต่าง น3</t>
  </si>
  <si>
    <t>เครื่อง</t>
  </si>
  <si>
    <t xml:space="preserve"> - ถังขยะแบบเหยียบทรงกลม ขนาด 12 ลิตร (สเตนเลส)</t>
  </si>
  <si>
    <t>รวมค่าใช้จ่ายงานปรับปรุงห้องน้ำศาลากลางจังหวัดจันทบุรี (หลังเก่า) ทั้งสิ้น</t>
  </si>
  <si>
    <t xml:space="preserve"> - คลีนเอ้าท์ ฝาทองเหลือง พีวีซีขนาด Ø 4 นิ้ว</t>
  </si>
  <si>
    <t xml:space="preserve"> - ช่องล้างท่อ (Floor Cleanout)  ขนาด Ø 4 นิ้ว</t>
  </si>
  <si>
    <t xml:space="preserve"> - รื้อกระเบื้องกรุผนังพร้อมกระจกเงา ของเดิมทั้งหมด </t>
  </si>
  <si>
    <t xml:space="preserve"> - รื้อบานประตู ป1 พร้อมวงกบประตู  (รื้อกอง)</t>
  </si>
  <si>
    <t xml:space="preserve"> - รื้อบานประตู ป3 พร้อมวงกบประตู  (รื้อกอง)</t>
  </si>
  <si>
    <t xml:space="preserve"> - รื้อบานประตู ป2 พร้อมวงกบประตู  (รื้อกอง)</t>
  </si>
  <si>
    <t xml:space="preserve"> - รื้อบานหน้าต่าง น1 พร้อมวงกบหน้าต่าง  (รื้อกอง)</t>
  </si>
  <si>
    <t xml:space="preserve"> - รื้อสุขภัณฑ์ ของเดิมทั้งหมด (รื้อกอง)</t>
  </si>
  <si>
    <t xml:space="preserve"> - /กรมบัญชีกลาง</t>
  </si>
  <si>
    <t xml:space="preserve"> - /สำนักปลัดกระทรวงแรงงาน</t>
  </si>
  <si>
    <t xml:space="preserve"> - รื้อทุบผนัง น1 (รื้อขนไป)</t>
  </si>
  <si>
    <t xml:space="preserve"> - รื้อทุบผนังพร้อมกระเบื้องกรุผนัง ผ0 (รื้อขนไป)</t>
  </si>
  <si>
    <t xml:space="preserve"> - รื้อกระเบื้องปูพื้น ของเดิมทั้งหมด (รื้อขนไป)</t>
  </si>
  <si>
    <t xml:space="preserve">   (รื้อขนไป) </t>
  </si>
  <si>
    <t xml:space="preserve"> - รื้อเคาน์เตอร์พร้อมกระเบื้องกรุเคาน์เตอร์ (รื้อขนไป)</t>
  </si>
  <si>
    <t xml:space="preserve">สถานที่ก่อสร้าง                        </t>
  </si>
  <si>
    <t>ผนังก่อสามัญ(อิฐมอญ)ครึ่งแผ่นอิฐ</t>
  </si>
  <si>
    <t xml:space="preserve"> - อิฐสามัญ(อิฐมอญ)ขนาด 3.5 x 7 x 16 ซม.</t>
  </si>
  <si>
    <t>ก้อน</t>
  </si>
  <si>
    <t xml:space="preserve"> - ปูนซีเมนต์ผสม(Silica Cement)</t>
  </si>
  <si>
    <t xml:space="preserve"> - น้ำยาผสมปูนก่อ</t>
  </si>
  <si>
    <t>ลิตร</t>
  </si>
  <si>
    <t xml:space="preserve"> - ทรายหยาบ</t>
  </si>
  <si>
    <t xml:space="preserve"> - น้ำผสมปูนก่อ</t>
  </si>
  <si>
    <t xml:space="preserve">               รวมผนังก่ออิฐสามัญครึ่งแผ่นอิฐ</t>
  </si>
  <si>
    <t xml:space="preserve"> =</t>
  </si>
  <si>
    <t>ร้านค้าวัสดุ จว.จบ./กรมบัญชีกลาง</t>
  </si>
  <si>
    <t>ปูนทรายพื้นผิวซีเมนต์ขัดมัน</t>
  </si>
  <si>
    <t xml:space="preserve">    รวมปูนทรายรองพื้นผิวซีเมนต์ขัดมัน</t>
  </si>
  <si>
    <t xml:space="preserve"> สนง.พาณิชย์ จว.จบ./กรมบัญชีกลาง</t>
  </si>
  <si>
    <t xml:space="preserve"> - รื้อฝ้าเพดานพร้อมโครงคร่าว ของเดิมทั้งหมด </t>
  </si>
  <si>
    <t xml:space="preserve"> - รื้อโคมไฟส่องสว่างพร้อมสายไฟ ของเดิมทั้งหมด </t>
  </si>
  <si>
    <t xml:space="preserve">   (รื้อกอง) งานแล้วเสร็จภายใน 2 วัน อัตราค่าจ้างขั้นต่ำ ฉบับที่ 12</t>
  </si>
  <si>
    <t xml:space="preserve"> - รื้อท่อโสโครก,ท่อน้ำทิ้ง,ท่อน้ำดี ของเดิมทั้งหมด </t>
  </si>
  <si>
    <t xml:space="preserve">   (รื้อขนไป) งานแล้วเสร็จภายใน 8 วัน อัตราค่าจ้างขั้นต่ำ ฉบับที่ 12</t>
  </si>
  <si>
    <t xml:space="preserve"> - รื้อสกัดพื้น ค.ส.ล.บริเวณแนววางท่อโสโครกและ</t>
  </si>
  <si>
    <t xml:space="preserve">   ท่อน้ำเสียจุดใหม่ (รื้อขนไป)</t>
  </si>
  <si>
    <t xml:space="preserve"> - ปูนกาวซีเมนต์ หนา 5 มม.</t>
  </si>
  <si>
    <t>20 kg./ถุง</t>
  </si>
  <si>
    <t xml:space="preserve"> - ปูนยาแนว</t>
  </si>
  <si>
    <t>1 kg./ถุง</t>
  </si>
  <si>
    <t xml:space="preserve"> - คิ้ว พีวีซี </t>
  </si>
  <si>
    <t>2 ม./เส้น</t>
  </si>
  <si>
    <t xml:space="preserve">    รวมผนังบุกระเบื้องเซรามิคสีธรรมดา 8"x10"</t>
  </si>
  <si>
    <t>ผนังบุกระเบื้องเซรามิคเคลือบสีธรรมดาขนาด 10"x16"</t>
  </si>
  <si>
    <t xml:space="preserve"> - กระเบื้องแซรามิคสีธรรมดา 10"x16" (10 แผ่น)</t>
  </si>
  <si>
    <t xml:space="preserve"> - ผนังกรุกระเบื้องแกรนิตโต้ขนาด 24x24 นิ้ว</t>
  </si>
  <si>
    <t xml:space="preserve">  ฝ้าเพดานแผ่นยิบซั่มบอร์ดหนา  9 มม.ขนาด 1.20x2.40 ม.</t>
  </si>
  <si>
    <t xml:space="preserve"> รุ่นอลูมิเนียมฟอยล์ โครงคร่าวเหล็กชุบสังกะสี@ 0.60 ม.</t>
  </si>
  <si>
    <t xml:space="preserve"> - โครงคร่าวเหล็กชุบสังกะสี</t>
  </si>
  <si>
    <t>เส้น</t>
  </si>
  <si>
    <t>(1 เส้น 3 ม.)</t>
  </si>
  <si>
    <t xml:space="preserve"> - ตะปูเกลียว</t>
  </si>
  <si>
    <t>(1 กล่อง 500 ตัวหนัก 0.8 กก.)</t>
  </si>
  <si>
    <t xml:space="preserve"> - ปูนฉาบรอยต่อ ผ้าแถบ</t>
  </si>
  <si>
    <t>รวมงานทำฝ้าเพดานแผ่นยิบซั่มบอร์ดหนา 9 มม.</t>
  </si>
  <si>
    <t xml:space="preserve"> - แผ่นยิบซั่มบอร์ดหนา 9 มม. รุ่นทนชื้น ขนาด 1.20 x 2.40 ม. </t>
  </si>
  <si>
    <t xml:space="preserve"> - สีน้ำอะคลีลิค ทาได้ทั้งภายในและภายนอก ชนิดกึ่งเงา</t>
  </si>
  <si>
    <t xml:space="preserve">   (น้ำยารองพื้นปูนเก่า 1 เที่ยว สีรองพื้น 1 เที่ยวและ</t>
  </si>
  <si>
    <t xml:space="preserve">   สีทับหน้าจริง 2 เที่ยว )</t>
  </si>
  <si>
    <t xml:space="preserve"> - ทาสีน้ำอะครีลิค ชนิดทาฝ้าเพดาน รุ่นสีด้าน</t>
  </si>
  <si>
    <t xml:space="preserve"> - ฝ้าเพดานแผ่นยิปซั่ม รุ่นทนชื้น หนา 9 มม. </t>
  </si>
  <si>
    <t xml:space="preserve">   ฉาบรอยต่อเรียบ โครงคร่าวโลหะชุบสังกะสี @ 0.60x0.60 ม.</t>
  </si>
  <si>
    <t>ผนังบุกระเบื้องแกรนิโต้ขนาด 24"x24"</t>
  </si>
  <si>
    <t xml:space="preserve">   (ระบุสีขณะก่อสร้าง) </t>
  </si>
  <si>
    <t xml:space="preserve"> - ผนังกรุกระเบื้องแกรนิตสีดำ</t>
  </si>
  <si>
    <t>ร้านค้าวัสดุเวปไซต์/กรมบัญชีกลาง</t>
  </si>
  <si>
    <t xml:space="preserve"> - ผนังกรุกระเบื้องลายหินธรรมชาติ ขนาด 16x16 นิ้ว</t>
  </si>
  <si>
    <t xml:space="preserve"> - กระเบื้องแกรนิโต้ขนาด 24"x24"</t>
  </si>
  <si>
    <t>ผนังบุกระเบื้องลายหินธรรมชาติ ขนาด 16x16 นิ้ว</t>
  </si>
  <si>
    <t xml:space="preserve"> - กระเบื้องลายหินธรรมชาติ ขนาด 16x16 นิ้ว</t>
  </si>
  <si>
    <t xml:space="preserve"> - คิ้ว ค.ส.ล.หนา 10 ซม. กว้าง 10 ซม. </t>
  </si>
  <si>
    <t xml:space="preserve">   ฉาบปูนเปลือยขัดมัน</t>
  </si>
  <si>
    <t xml:space="preserve"> - ผนัง ค.ส.ล.หนา 10 ซม. ขนาด 45x45 ซม. </t>
  </si>
  <si>
    <t>ราคากลาง สพฐ./ -</t>
  </si>
  <si>
    <t xml:space="preserve">   (รวมค่าแรง)</t>
  </si>
  <si>
    <t xml:space="preserve"> - งานเดินท่อโสโครก ท่อ พีวีซี ชั้น 8.5 ขนาด Ø 4 นิ้ว</t>
  </si>
  <si>
    <t xml:space="preserve"> - งานเดินท่ออากาศ ท่อ พีวีซี ชั้น 8.5 ขนาด Ø 4 นิ้ว</t>
  </si>
  <si>
    <r>
      <t xml:space="preserve"> - งานเดินท่อน้ำดี ท่อ พีวีซี ชั้น 13.5 ขนาด Ø </t>
    </r>
    <r>
      <rPr>
        <sz val="18"/>
        <rFont val="TH SarabunPSK"/>
        <family val="2"/>
      </rPr>
      <t>¾</t>
    </r>
    <r>
      <rPr>
        <sz val="15"/>
        <rFont val="TH SarabunPSK"/>
        <family val="2"/>
      </rPr>
      <t xml:space="preserve"> นิ้ว</t>
    </r>
  </si>
  <si>
    <t xml:space="preserve">   ขนาด Ø 2½ นิ้ว (รวมค่าแรง)</t>
  </si>
  <si>
    <t xml:space="preserve">   ท่อ พีวีซี ชั้น 8.5 ขนาด Ø 2 นิ้ว (รวมค่าแรง)</t>
  </si>
  <si>
    <t xml:space="preserve"> - งานซ่อมปิดพื้น บริเวณแนววางท่อโสโครกและ</t>
  </si>
  <si>
    <t xml:space="preserve">   ท่อน้ำเสียจุดใหม่</t>
  </si>
  <si>
    <t xml:space="preserve"> - เคาน์เตอร์ ค.ส.ล.ปูกระเบื้องแกรนิตสีดำเจียรขอบลบมุม</t>
  </si>
  <si>
    <t xml:space="preserve"> - โคมดาวน์ไลน์ บล็อกอลูมิเนียมเหลี่ยม 6 นิ้ว  </t>
  </si>
  <si>
    <t xml:space="preserve">   ฝังฝ้าเพดาน หลอด LED 15 วัตต์ ขั้ว E27</t>
  </si>
  <si>
    <t xml:space="preserve"> - สวิทซ์ทางเดียว 1 สวิตซ์ 1 ช่องทนกระแสไฟฟ้าได้สูงสุด </t>
  </si>
  <si>
    <t>1,450/ม้วน 100 ม.</t>
  </si>
  <si>
    <t xml:space="preserve">    - ไม้แบบ+ตะปู</t>
  </si>
  <si>
    <t xml:space="preserve"> เวปไซต์/กรมบัญชีกลาง </t>
  </si>
  <si>
    <t xml:space="preserve">   PU โฟมความหนาไม่น้อยกว่า 25 มม. ปิดผิวด้วยลานิเนต ปิดขอบด้วย PVC กันน้ำ 100%</t>
  </si>
  <si>
    <t xml:space="preserve"> - ผนังกั้นห้องน้ำสำเร็จรูป พร้อมประตู (ป5) </t>
  </si>
  <si>
    <t>ผปก.อลูมิเนียม จว.จบ./กรมบัญชีกลาง</t>
  </si>
  <si>
    <t xml:space="preserve"> - โถส้วมแบบนั่งราบ 2 ชิ้น 3/4 ลิตร สีขาว </t>
  </si>
  <si>
    <t xml:space="preserve">   พร้อมอุปกรณ์ประกอบ</t>
  </si>
  <si>
    <t xml:space="preserve"> - วาล์วเปิดปิดน้ำเข้า 1 ทางออก 2 ทาง วัสดุทองเหลือง</t>
  </si>
  <si>
    <t xml:space="preserve">   ชุบโครเมี่ยม</t>
  </si>
  <si>
    <t>ราคากลาง สพฐ./กรมบัญชีกลาง</t>
  </si>
  <si>
    <t xml:space="preserve"> - อ่างล้างหน้าแบบฝังครึ่งเคาน์เตอร์ สีขาว </t>
  </si>
  <si>
    <t xml:space="preserve"> - อ่างล้างหน้าแบบวางบนเคาน์เตอร์ สีขาว </t>
  </si>
  <si>
    <t xml:space="preserve">   (รวมค่าติดตั้งและอุปกรณ์มาตรฐานครบชุด)</t>
  </si>
  <si>
    <t xml:space="preserve">   (พร้อมอุปกรณ์ประกอบมาตรฐานครบชุด)</t>
  </si>
  <si>
    <t xml:space="preserve"> - ค่าแรงเดินสายไฟฟ้า (เซ็นเซอร์อินฟาเรด) </t>
  </si>
  <si>
    <t xml:space="preserve">   พร้อมค่าอุปกรณ์ สายไฟ THW 2.5 Sq.mm. ร้อยท่อฝังในผนัง ใช้ท่อพีวีซีร้อยสายไฟสีเหลืองขนาด 1/2 นิ้ว (งานไฟส่องสว่าง)</t>
  </si>
  <si>
    <t xml:space="preserve"> - ค่าแรงเดินสายไฟฟ้า (โคมไฟและสวิตซ์)</t>
  </si>
  <si>
    <t xml:space="preserve"> - กระจกเงาขอบเปลือยเจียรปรี หนา 5 มม. </t>
  </si>
  <si>
    <t xml:space="preserve">   ขนาด (W)60x(H)1600 ซม.</t>
  </si>
  <si>
    <t xml:space="preserve">   ขนาด (W)35x(H)2100 ซม.</t>
  </si>
  <si>
    <r>
      <t xml:space="preserve"> - </t>
    </r>
    <r>
      <rPr>
        <b/>
        <sz val="15"/>
        <rFont val="TH SarabunPSK"/>
        <family val="2"/>
      </rPr>
      <t>เครื่องจ่ายสบู่เหลวขนาด 800 มล. อัตโนมัติ</t>
    </r>
  </si>
  <si>
    <t>ร้านค้าวัสดุ จว.จบ./-</t>
  </si>
  <si>
    <t xml:space="preserve"> - ระแนงไม้สังเคราะห์ WPC แบบตันสีสำเร็จ</t>
  </si>
  <si>
    <t xml:space="preserve">   ขนาด 2.5x300x2.5 ซม.</t>
  </si>
  <si>
    <t>3 ม.335 บ.</t>
  </si>
  <si>
    <t xml:space="preserve"> - งานเดินท่อน้ำทิ้งโถปัสสาวะชาย </t>
  </si>
  <si>
    <t xml:space="preserve"> - งานเดินท่อน้ำทิ้ง อ่างล้างหน้า</t>
  </si>
  <si>
    <t xml:space="preserve"> - งานเดินท่อน้ำทิ้ง รูระบายน้ำทิ้ง ท่อ พีวีซี ชั้น 8.5 </t>
  </si>
  <si>
    <t>แบบสรุปราคากลางค่าก่อสร้าง</t>
  </si>
  <si>
    <t>แบบเลขที่ ยธ.จบ. 23/2565</t>
  </si>
  <si>
    <t xml:space="preserve"> เมื่อวันที่ 1 เมษายน 2567</t>
  </si>
  <si>
    <t>ตำแหน่งพนักงานสถาปนิก</t>
  </si>
  <si>
    <t>กรรมการ</t>
  </si>
  <si>
    <t>ประธานกรรมการ</t>
  </si>
  <si>
    <t>นายวงศธร ทุมทอง ตำแหน่งนักวิเคราะห์นโยบายและแผนชำนาญการ</t>
  </si>
  <si>
    <t xml:space="preserve"> นายอนุภาพ มหาสัทธา ตำแหน่งนักทรัพยากรบุคคลปฏิบัติการ</t>
  </si>
  <si>
    <t>ชื่อโครงการ / งานก่อสร้าง</t>
  </si>
  <si>
    <t>ปรับปรุงซ่อมแซมห้องน้ำศาลากลางจังหวัดจันทบุรี (หลังเก่า)</t>
  </si>
  <si>
    <t>ประมาณราคากลางโดย</t>
  </si>
  <si>
    <t>ชื่อโครงการ/งานก่อสร้าง    ปรับปรุงซ่อมแซมห้องน้ำศาลากลางจังหวัดจันทบุรี (หลังเก่า)</t>
  </si>
  <si>
    <t>แบบ ปร.4  ที่แนบ            มีจำนวน  5  แผ่น</t>
  </si>
  <si>
    <t xml:space="preserve">                   ลงชื่อ ……………………………………………. ประธานกรรมการ </t>
  </si>
  <si>
    <t xml:space="preserve">        ลงชื่อ ……………………………………………. กรรมการ </t>
  </si>
  <si>
    <t>นักวิเคราะห์นโยบายและแผนชำนาญการ</t>
  </si>
  <si>
    <t xml:space="preserve">                  พนักงานสถาปนิก                       </t>
  </si>
  <si>
    <t xml:space="preserve">    ( นายวงศธร ทุมทอง )   </t>
  </si>
  <si>
    <t>( อนุภาพ มหาสัทธา )</t>
  </si>
  <si>
    <t>นักทรัพยากรบุคคลปฏิบัติการ</t>
  </si>
  <si>
    <t>แบบ ปร.4  และ ปร.5 ที่แนบ  มีจำนวน  1  ชุด</t>
  </si>
  <si>
    <t>ประมาณราคาราคาเมื่อวันที่   1 เมษายน 2567</t>
  </si>
  <si>
    <t>สถานที่ก่อสร้าง                    ที่ทำการศาลากลางจังหวัดจันทบุรี</t>
  </si>
  <si>
    <t xml:space="preserve">แบบเลขที่                           ยธ.23/2565  </t>
  </si>
  <si>
    <t>แบบสรุปราคากลางงานก่อสร้างอาคาร</t>
  </si>
  <si>
    <t>ชื่อโครงการ/งานก่อสร้าง        ปรับปรุงซ่อมแซมห้องน้ำศาลากลางจังหวัดจันทบุรี (หลังเก่า)</t>
  </si>
  <si>
    <t>ปรับปรุงซ่อมแซมห้องน้ำศาลากลางจังหวัดจันทบุรี</t>
  </si>
  <si>
    <t>(หลังเก่า)</t>
  </si>
  <si>
    <t xml:space="preserve">       ดอกเบี้ยเงินกู้ 7%</t>
  </si>
  <si>
    <t>ประมาณราคากลางเมื่อวันที่ 1 เมษายน พ.ศ.2567</t>
  </si>
  <si>
    <t xml:space="preserve">                                   คำสั่งจังหวัดจันทบุรี ที่ 870/2567 สั่ง ณ วันที่ 14 มีนาคม พ.ศ.2567</t>
  </si>
  <si>
    <t xml:space="preserve"> ( น.ส.กมลพรรณ เจริญสรรพพืช )   </t>
  </si>
  <si>
    <t>( น.ส.กมลพรรณ เจริญสรรพพืช )</t>
  </si>
  <si>
    <t xml:space="preserve">     พนักงานสถาปนิก        </t>
  </si>
  <si>
    <t xml:space="preserve">                  ลงชื่อ ……………………………………………. ประธานกรรมการ </t>
  </si>
  <si>
    <t xml:space="preserve">     ลงชื่อ …………....……………………………… กรรมการ </t>
  </si>
  <si>
    <t>ตาราง Factor F งานก่อสร้างอาคาร</t>
  </si>
  <si>
    <t>การคำนวณหาค่า Factor-F เฉลี่ย</t>
  </si>
  <si>
    <t>ตาราง Factor F  งานอาคาร</t>
  </si>
  <si>
    <t>หนังสือกรมบัญชีกลาง  หลักเกณฑ์การคำนวณราคากลาง</t>
  </si>
  <si>
    <t>เริ่มใช้  พฤศจิกายน  2565</t>
  </si>
  <si>
    <t>ราคาค่าวัสดุและค่าแรงที่ประมาณราคาได้</t>
  </si>
  <si>
    <t>Factor F =</t>
  </si>
  <si>
    <t>D - ((D-E)*(A-B)/(C-B))</t>
  </si>
  <si>
    <t>ค่าภาษีมูลค่าเพิ่ม</t>
  </si>
  <si>
    <t>B : ค่างานต้นทุนต่ำ</t>
  </si>
  <si>
    <t>A : ค่างานต้นทุนที่ประมาณราคาได้</t>
  </si>
  <si>
    <t>C : ค่างานต้นทุนสูง</t>
  </si>
  <si>
    <r>
      <rPr>
        <sz val="14"/>
        <rFont val="Calibri"/>
        <family val="2"/>
      </rPr>
      <t>≤</t>
    </r>
    <r>
      <rPr>
        <sz val="14"/>
        <rFont val="AngsanaUPC"/>
        <family val="1"/>
      </rPr>
      <t>500,000</t>
    </r>
  </si>
  <si>
    <t>D : Factor F ทุนต่ำ</t>
  </si>
  <si>
    <t>E : Factor F ทุนสูง</t>
  </si>
  <si>
    <t>(นำค่านี้ไปใช้ในการคำนวณ)</t>
  </si>
  <si>
    <t>≥500,000,000</t>
  </si>
  <si>
    <t>งวดที่ 1</t>
  </si>
  <si>
    <r>
      <t xml:space="preserve"> - งานเดินท่อน้ำดี ท่อ พีวีซี ชั้น 13.5 ขนาด Ø </t>
    </r>
    <r>
      <rPr>
        <sz val="18"/>
        <color rgb="FFFF0000"/>
        <rFont val="TH SarabunPSK"/>
        <family val="2"/>
      </rPr>
      <t>¾</t>
    </r>
    <r>
      <rPr>
        <sz val="15"/>
        <color rgb="FFFF0000"/>
        <rFont val="TH SarabunPSK"/>
        <family val="2"/>
      </rPr>
      <t xml:space="preserve"> นิ้ว</t>
    </r>
  </si>
  <si>
    <t>งวดที่ 2</t>
  </si>
  <si>
    <t>งวดที่ 3</t>
  </si>
  <si>
    <t>งวดที่ 4</t>
  </si>
  <si>
    <r>
      <t xml:space="preserve"> - </t>
    </r>
    <r>
      <rPr>
        <b/>
        <sz val="15"/>
        <color theme="7"/>
        <rFont val="TH SarabunPSK"/>
        <family val="2"/>
      </rPr>
      <t>เครื่องจ่ายสบู่เหลวขนาด 800 มล. อัตโนมัติ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</si>
</sst>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8" formatCode="&quot;฿&quot;#,##0.00;[Red]\-&quot;฿&quot;#,##0.00"/>
    <numFmt numFmtId="42" formatCode="_-&quot;฿&quot;* #,##0_-;\-&quot;฿&quot;* #,##0_-;_-&quot;฿&quot;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  <numFmt numFmtId="190" formatCode="_-* #,##0.0000_-;\-* #,##0.0000_-;_-* &quot;-&quot;??_-;_-@_-"/>
    <numFmt numFmtId="191" formatCode="_-* #,##0.00000_-;\-* #,##0.00000_-;_-* &quot;-&quot;??_-;_-@_-"/>
    <numFmt numFmtId="192" formatCode="#,##0.0_);\(#,##0.0\)"/>
    <numFmt numFmtId="193" formatCode="_(* #,##0.0000_);_(* \(#,##0.0000\);_(* &quot;-&quot;??_);_(@_)"/>
    <numFmt numFmtId="194" formatCode="_(* #,##0.000000_);_(* \(#,##0.000000\);_(* &quot;-&quot;??_);_(@_)"/>
    <numFmt numFmtId="195" formatCode="General_)"/>
    <numFmt numFmtId="196" formatCode="#,##0.000000&quot; &quot;"/>
    <numFmt numFmtId="197" formatCode="dd\-mm\-yy"/>
    <numFmt numFmtId="198" formatCode="#,###&quot;   &quot;"/>
    <numFmt numFmtId="199" formatCode="&quot;฿&quot;\t#,##0_);\(&quot;฿&quot;\t#,##0\)"/>
    <numFmt numFmtId="200" formatCode="\t0.00E+00"/>
    <numFmt numFmtId="201" formatCode="_(&quot;$&quot;* #,##0.000_);_(&quot;$&quot;* \(#,##0.000\);_(&quot;$&quot;* &quot;-&quot;??_);_(@_)"/>
    <numFmt numFmtId="202" formatCode="0.0&quot;  &quot;"/>
    <numFmt numFmtId="203" formatCode="_-* #,##0.00000_-;\-* #,##0.00000_-;_-* &quot;-&quot;?????_-;_-@_-"/>
    <numFmt numFmtId="204" formatCode="m/d/yy\ hh:mm"/>
    <numFmt numFmtId="205" formatCode="_(&quot;$&quot;* #,##0.0000_);_(&quot;$&quot;* \(#,##0.0000\);_(&quot;$&quot;* &quot;-&quot;??_);_(@_)"/>
    <numFmt numFmtId="206" formatCode="_(* #,##0.00000_);_(* \(#,##0.00000\);_(* &quot;-&quot;??_);_(@_)"/>
    <numFmt numFmtId="207" formatCode="_-* #,##0.0_-;\-* #,##0.0_-;_-* &quot;-&quot;??_-;_-@_-"/>
    <numFmt numFmtId="208" formatCode="#,##0.00;[Red]#,##0.00"/>
    <numFmt numFmtId="209" formatCode="0.0"/>
    <numFmt numFmtId="210" formatCode="0.0000"/>
    <numFmt numFmtId="211" formatCode="_-* #,##0.000000_-;\-* #,##0.000000_-;_-* &quot;-&quot;??_-;_-@_-"/>
  </numFmts>
  <fonts count="104">
    <font>
      <sz val="14"/>
      <name val="Cordia New"/>
      <charset val="222"/>
    </font>
    <font>
      <sz val="14"/>
      <name val="Cordia New"/>
      <family val="2"/>
    </font>
    <font>
      <sz val="14"/>
      <name val="Browallia New"/>
      <family val="2"/>
    </font>
    <font>
      <sz val="14"/>
      <name val="Cordia New"/>
      <family val="2"/>
    </font>
    <font>
      <b/>
      <sz val="14.5"/>
      <name val="TH SarabunPSK"/>
      <family val="2"/>
    </font>
    <font>
      <sz val="14.5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4"/>
      <color indexed="43"/>
      <name val="BrowalliaUPC"/>
      <family val="2"/>
      <charset val="222"/>
    </font>
    <font>
      <sz val="14"/>
      <name val="BrowalliaUPC"/>
      <family val="2"/>
      <charset val="222"/>
    </font>
    <font>
      <sz val="14"/>
      <color indexed="9"/>
      <name val="BrowalliaUPC"/>
      <family val="2"/>
      <charset val="222"/>
    </font>
    <font>
      <b/>
      <sz val="14"/>
      <name val="BrowalliaUPC"/>
      <family val="2"/>
      <charset val="222"/>
    </font>
    <font>
      <sz val="14"/>
      <color indexed="10"/>
      <name val="BrowalliaUPC"/>
      <family val="2"/>
      <charset val="222"/>
    </font>
    <font>
      <u/>
      <sz val="10"/>
      <color indexed="12"/>
      <name val="Arial"/>
      <family val="2"/>
    </font>
    <font>
      <sz val="14"/>
      <color indexed="12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u/>
      <sz val="12"/>
      <color indexed="12"/>
      <name val="EucrosiaUPC"/>
      <family val="1"/>
      <charset val="222"/>
    </font>
    <font>
      <u/>
      <sz val="12"/>
      <color indexed="36"/>
      <name val="EucrosiaUPC"/>
      <family val="1"/>
      <charset val="222"/>
    </font>
    <font>
      <sz val="15"/>
      <name val="TH SarabunPSK"/>
      <family val="2"/>
    </font>
    <font>
      <sz val="14.5"/>
      <color theme="1"/>
      <name val="TH SarabunPSK"/>
      <family val="2"/>
    </font>
    <font>
      <sz val="14.5"/>
      <color rgb="FFFF0000"/>
      <name val="TH SarabunPSK"/>
      <family val="2"/>
    </font>
    <font>
      <sz val="15"/>
      <color rgb="FFFF0000"/>
      <name val="TH SarabunPSK"/>
      <family val="2"/>
    </font>
    <font>
      <b/>
      <sz val="15"/>
      <name val="TH SarabunPSK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color theme="1"/>
      <name val="TH SarabunPSK"/>
      <family val="2"/>
    </font>
    <font>
      <sz val="14"/>
      <color rgb="FFFF0000"/>
      <name val="TH SarabunPSK"/>
      <family val="2"/>
    </font>
    <font>
      <b/>
      <sz val="18"/>
      <color indexed="60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b/>
      <sz val="14"/>
      <color indexed="8"/>
      <name val="FreesiaUPC"/>
      <family val="2"/>
      <charset val="222"/>
    </font>
    <font>
      <sz val="14"/>
      <name val="Angsana New"/>
      <family val="1"/>
    </font>
    <font>
      <b/>
      <sz val="14"/>
      <color indexed="12"/>
      <name val="Angsana New"/>
      <family val="1"/>
    </font>
    <font>
      <b/>
      <sz val="14"/>
      <name val="FreesiaUPC"/>
      <family val="2"/>
      <charset val="222"/>
    </font>
    <font>
      <b/>
      <sz val="12"/>
      <name val="FreesiaUPC"/>
      <family val="2"/>
      <charset val="222"/>
    </font>
    <font>
      <sz val="14"/>
      <name val="Arial"/>
      <family val="2"/>
    </font>
    <font>
      <sz val="14"/>
      <name val="FreesiaUPC"/>
      <family val="2"/>
      <charset val="222"/>
    </font>
    <font>
      <sz val="14"/>
      <color indexed="8"/>
      <name val="FreesiaUPC"/>
      <family val="2"/>
      <charset val="222"/>
    </font>
    <font>
      <b/>
      <sz val="14"/>
      <color indexed="12"/>
      <name val="FreesiaUPC"/>
      <family val="2"/>
      <charset val="222"/>
    </font>
    <font>
      <sz val="14"/>
      <color indexed="10"/>
      <name val="FreesiaUPC"/>
      <family val="2"/>
      <charset val="222"/>
    </font>
    <font>
      <b/>
      <sz val="14"/>
      <color indexed="8"/>
      <name val="Angsana New"/>
      <family val="1"/>
    </font>
    <font>
      <sz val="11"/>
      <name val="FreesiaUPC"/>
      <family val="2"/>
      <charset val="222"/>
    </font>
    <font>
      <sz val="14"/>
      <color indexed="8"/>
      <name val="Cordia New"/>
      <family val="2"/>
    </font>
    <font>
      <b/>
      <sz val="16"/>
      <name val="Angsana New"/>
      <family val="1"/>
    </font>
    <font>
      <sz val="16"/>
      <color indexed="10"/>
      <name val="Angsana New"/>
      <family val="1"/>
    </font>
    <font>
      <sz val="16"/>
      <color indexed="8"/>
      <name val="Angsana New"/>
      <family val="1"/>
    </font>
    <font>
      <sz val="16"/>
      <color indexed="12"/>
      <name val="Angsana New"/>
      <family val="1"/>
    </font>
    <font>
      <b/>
      <u/>
      <sz val="14"/>
      <color indexed="12"/>
      <name val="FreesiaUPC"/>
      <family val="2"/>
      <charset val="222"/>
    </font>
    <font>
      <sz val="13"/>
      <name val="TH SarabunPSK"/>
      <family val="2"/>
    </font>
    <font>
      <sz val="14"/>
      <color rgb="FFFF0000"/>
      <name val="Cordia New"/>
      <family val="2"/>
    </font>
    <font>
      <sz val="10"/>
      <name val="TH SarabunPSK"/>
      <family val="2"/>
    </font>
    <font>
      <b/>
      <sz val="15"/>
      <color theme="1"/>
      <name val="TH SarabunPSK"/>
      <family val="2"/>
    </font>
    <font>
      <sz val="12"/>
      <name val="TH SarabunPSK"/>
      <family val="2"/>
    </font>
    <font>
      <sz val="14"/>
      <name val="AngsanaUPC"/>
      <family val="1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b/>
      <sz val="16"/>
      <name val="AngsanaUPC"/>
      <family val="1"/>
    </font>
    <font>
      <sz val="14"/>
      <name val="TH SarabunPSK"/>
      <family val="2"/>
      <charset val="222"/>
    </font>
    <font>
      <sz val="15"/>
      <name val="TH SarabunPSK"/>
      <family val="2"/>
      <charset val="222"/>
    </font>
    <font>
      <sz val="11"/>
      <name val="AngsanaUPC"/>
      <family val="1"/>
      <charset val="222"/>
    </font>
    <font>
      <sz val="15"/>
      <name val="Angsana New"/>
      <family val="1"/>
    </font>
    <font>
      <sz val="15"/>
      <name val="AngsanaUPC"/>
      <family val="1"/>
      <charset val="222"/>
    </font>
    <font>
      <sz val="14"/>
      <color indexed="12"/>
      <name val="AngsanaUPC"/>
      <family val="1"/>
      <charset val="222"/>
    </font>
    <font>
      <sz val="15"/>
      <name val="Angsana New"/>
      <family val="1"/>
      <charset val="222"/>
    </font>
    <font>
      <sz val="18"/>
      <name val="TH SarabunPSK"/>
      <family val="2"/>
    </font>
    <font>
      <sz val="13"/>
      <name val="TH SarabunPSK"/>
      <family val="2"/>
      <charset val="222"/>
    </font>
    <font>
      <sz val="12"/>
      <name val="EucrosiaUPC"/>
      <family val="1"/>
    </font>
    <font>
      <b/>
      <sz val="15"/>
      <name val="TH SarabunPSK"/>
      <family val="2"/>
      <charset val="222"/>
    </font>
    <font>
      <sz val="15"/>
      <name val="Cordia New"/>
      <family val="2"/>
    </font>
    <font>
      <sz val="15"/>
      <color indexed="8"/>
      <name val="TH SarabunPSK"/>
      <family val="2"/>
    </font>
    <font>
      <b/>
      <sz val="15"/>
      <color indexed="8"/>
      <name val="TH SarabunPSK"/>
      <family val="2"/>
    </font>
    <font>
      <sz val="14"/>
      <name val="Calibri"/>
      <family val="2"/>
    </font>
    <font>
      <b/>
      <i/>
      <sz val="14"/>
      <color rgb="FFFF0000"/>
      <name val="AngsanaUPC"/>
      <family val="1"/>
    </font>
    <font>
      <sz val="14"/>
      <color rgb="FFFF0000"/>
      <name val="AngsanaUPC"/>
      <family val="1"/>
    </font>
    <font>
      <b/>
      <sz val="15"/>
      <color rgb="FFFF0000"/>
      <name val="TH SarabunPSK"/>
      <family val="2"/>
    </font>
    <font>
      <sz val="18"/>
      <color rgb="FFFF0000"/>
      <name val="TH SarabunPSK"/>
      <family val="2"/>
    </font>
    <font>
      <b/>
      <sz val="14"/>
      <color rgb="FF0070C0"/>
      <name val="TH SarabunPSK"/>
      <family val="2"/>
    </font>
    <font>
      <sz val="15"/>
      <color rgb="FF0070C0"/>
      <name val="TH SarabunPSK"/>
      <family val="2"/>
    </font>
    <font>
      <sz val="14"/>
      <color rgb="FF0070C0"/>
      <name val="TH SarabunPSK"/>
      <family val="2"/>
    </font>
    <font>
      <b/>
      <sz val="14"/>
      <color theme="8" tint="0.39997558519241921"/>
      <name val="TH SarabunPSK"/>
      <family val="2"/>
    </font>
    <font>
      <sz val="15"/>
      <color theme="8" tint="0.39997558519241921"/>
      <name val="TH SarabunPSK"/>
      <family val="2"/>
    </font>
    <font>
      <sz val="14"/>
      <color theme="8" tint="0.39997558519241921"/>
      <name val="TH SarabunPSK"/>
      <family val="2"/>
    </font>
    <font>
      <b/>
      <sz val="14"/>
      <color theme="7"/>
      <name val="TH SarabunPSK"/>
      <family val="2"/>
    </font>
    <font>
      <sz val="15"/>
      <color theme="7"/>
      <name val="TH SarabunPSK"/>
      <family val="2"/>
    </font>
    <font>
      <sz val="14"/>
      <color theme="7"/>
      <name val="TH SarabunPSK"/>
      <family val="2"/>
    </font>
    <font>
      <b/>
      <sz val="15"/>
      <color theme="7"/>
      <name val="TH SarabunPSK"/>
      <family val="2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7">
    <xf numFmtId="0" fontId="0" fillId="0" borderId="0"/>
    <xf numFmtId="0" fontId="16" fillId="0" borderId="0">
      <alignment vertical="center"/>
    </xf>
    <xf numFmtId="195" fontId="17" fillId="0" borderId="0" applyFont="0" applyFill="0" applyBorder="0" applyAlignment="0" applyProtection="0"/>
    <xf numFmtId="19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4" fontId="18" fillId="0" borderId="0" applyFont="0" applyFill="0" applyBorder="0" applyAlignment="0" applyProtection="0"/>
    <xf numFmtId="199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198" fontId="17" fillId="0" borderId="0" applyFont="0" applyFill="0" applyBorder="0" applyAlignment="0" applyProtection="0"/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1" fillId="0" borderId="0"/>
    <xf numFmtId="0" fontId="22" fillId="0" borderId="0"/>
    <xf numFmtId="9" fontId="7" fillId="2" borderId="0"/>
    <xf numFmtId="0" fontId="3" fillId="0" borderId="0"/>
    <xf numFmtId="0" fontId="23" fillId="3" borderId="1">
      <alignment horizontal="centerContinuous" vertical="top"/>
    </xf>
    <xf numFmtId="0" fontId="7" fillId="0" borderId="0" applyFill="0" applyBorder="0" applyAlignment="0"/>
    <xf numFmtId="192" fontId="18" fillId="0" borderId="0" applyFill="0" applyBorder="0" applyAlignment="0"/>
    <xf numFmtId="0" fontId="24" fillId="0" borderId="0" applyFill="0" applyBorder="0" applyAlignment="0"/>
    <xf numFmtId="0" fontId="25" fillId="0" borderId="0" applyFill="0" applyBorder="0" applyAlignment="0"/>
    <xf numFmtId="0" fontId="25" fillId="0" borderId="0" applyFill="0" applyBorder="0" applyAlignment="0"/>
    <xf numFmtId="201" fontId="17" fillId="0" borderId="0" applyFill="0" applyBorder="0" applyAlignment="0"/>
    <xf numFmtId="202" fontId="19" fillId="0" borderId="0" applyFill="0" applyBorder="0" applyAlignment="0"/>
    <xf numFmtId="192" fontId="18" fillId="0" borderId="0" applyFill="0" applyBorder="0" applyAlignment="0"/>
    <xf numFmtId="201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3" borderId="1">
      <alignment horizontal="centerContinuous" vertical="top"/>
    </xf>
    <xf numFmtId="192" fontId="18" fillId="0" borderId="0" applyFont="0" applyFill="0" applyBorder="0" applyAlignment="0" applyProtection="0"/>
    <xf numFmtId="15" fontId="26" fillId="0" borderId="0"/>
    <xf numFmtId="14" fontId="27" fillId="0" borderId="0" applyFill="0" applyBorder="0" applyAlignment="0"/>
    <xf numFmtId="15" fontId="28" fillId="4" borderId="0">
      <alignment horizontal="centerContinuous"/>
    </xf>
    <xf numFmtId="201" fontId="17" fillId="0" borderId="0" applyFill="0" applyBorder="0" applyAlignment="0"/>
    <xf numFmtId="192" fontId="18" fillId="0" borderId="0" applyFill="0" applyBorder="0" applyAlignment="0"/>
    <xf numFmtId="201" fontId="17" fillId="0" borderId="0" applyFill="0" applyBorder="0" applyAlignment="0"/>
    <xf numFmtId="202" fontId="19" fillId="0" borderId="0" applyFill="0" applyBorder="0" applyAlignment="0"/>
    <xf numFmtId="192" fontId="18" fillId="0" borderId="0" applyFill="0" applyBorder="0" applyAlignment="0"/>
    <xf numFmtId="38" fontId="29" fillId="3" borderId="0" applyNumberFormat="0" applyBorder="0" applyAlignment="0" applyProtection="0"/>
    <xf numFmtId="0" fontId="30" fillId="0" borderId="2" applyNumberFormat="0" applyAlignment="0" applyProtection="0">
      <alignment horizontal="left" vertical="center"/>
    </xf>
    <xf numFmtId="0" fontId="30" fillId="0" borderId="3">
      <alignment horizontal="left" vertical="center"/>
    </xf>
    <xf numFmtId="0" fontId="13" fillId="0" borderId="0" applyNumberFormat="0" applyFill="0" applyBorder="0" applyAlignment="0" applyProtection="0">
      <alignment vertical="top"/>
      <protection locked="0"/>
    </xf>
    <xf numFmtId="10" fontId="29" fillId="5" borderId="4" applyNumberFormat="0" applyBorder="0" applyAlignment="0" applyProtection="0"/>
    <xf numFmtId="201" fontId="17" fillId="0" borderId="0" applyFill="0" applyBorder="0" applyAlignment="0"/>
    <xf numFmtId="192" fontId="18" fillId="0" borderId="0" applyFill="0" applyBorder="0" applyAlignment="0"/>
    <xf numFmtId="201" fontId="17" fillId="0" borderId="0" applyFill="0" applyBorder="0" applyAlignment="0"/>
    <xf numFmtId="202" fontId="19" fillId="0" borderId="0" applyFill="0" applyBorder="0" applyAlignment="0"/>
    <xf numFmtId="192" fontId="18" fillId="0" borderId="0" applyFill="0" applyBorder="0" applyAlignment="0"/>
    <xf numFmtId="0" fontId="31" fillId="0" borderId="0"/>
    <xf numFmtId="203" fontId="17" fillId="0" borderId="0"/>
    <xf numFmtId="0" fontId="3" fillId="0" borderId="0"/>
    <xf numFmtId="0" fontId="32" fillId="0" borderId="0" applyFont="0" applyFill="0" applyBorder="0" applyAlignment="0" applyProtection="0"/>
    <xf numFmtId="201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0" fontId="7" fillId="0" borderId="0" applyFont="0" applyFill="0" applyBorder="0" applyAlignment="0" applyProtection="0"/>
    <xf numFmtId="201" fontId="17" fillId="0" borderId="0" applyFill="0" applyBorder="0" applyAlignment="0"/>
    <xf numFmtId="192" fontId="18" fillId="0" borderId="0" applyFill="0" applyBorder="0" applyAlignment="0"/>
    <xf numFmtId="201" fontId="17" fillId="0" borderId="0" applyFill="0" applyBorder="0" applyAlignment="0"/>
    <xf numFmtId="202" fontId="19" fillId="0" borderId="0" applyFill="0" applyBorder="0" applyAlignment="0"/>
    <xf numFmtId="192" fontId="18" fillId="0" borderId="0" applyFill="0" applyBorder="0" applyAlignment="0"/>
    <xf numFmtId="0" fontId="33" fillId="2" borderId="0"/>
    <xf numFmtId="0" fontId="7" fillId="0" borderId="0"/>
    <xf numFmtId="49" fontId="27" fillId="0" borderId="0" applyFill="0" applyBorder="0" applyAlignment="0"/>
    <xf numFmtId="0" fontId="25" fillId="0" borderId="0" applyFill="0" applyBorder="0" applyAlignment="0"/>
    <xf numFmtId="0" fontId="25" fillId="0" borderId="0" applyFill="0" applyBorder="0" applyAlignment="0"/>
    <xf numFmtId="204" fontId="17" fillId="0" borderId="0" applyFont="0" applyFill="0" applyBorder="0" applyAlignment="0" applyProtection="0"/>
    <xf numFmtId="205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2" fillId="0" borderId="0"/>
    <xf numFmtId="42" fontId="1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" fillId="0" borderId="0"/>
    <xf numFmtId="0" fontId="1" fillId="0" borderId="0"/>
    <xf numFmtId="0" fontId="71" fillId="0" borderId="0"/>
    <xf numFmtId="187" fontId="71" fillId="0" borderId="0" applyFont="0" applyFill="0" applyBorder="0" applyAlignment="0" applyProtection="0"/>
    <xf numFmtId="0" fontId="71" fillId="0" borderId="0"/>
    <xf numFmtId="187" fontId="71" fillId="0" borderId="0" applyFont="0" applyFill="0" applyBorder="0" applyAlignment="0" applyProtection="0"/>
    <xf numFmtId="0" fontId="84" fillId="0" borderId="0"/>
    <xf numFmtId="8" fontId="1" fillId="0" borderId="0" applyFont="0" applyFill="0" applyBorder="0" applyAlignment="0" applyProtection="0"/>
    <xf numFmtId="0" fontId="7" fillId="0" borderId="0"/>
  </cellStyleXfs>
  <cellXfs count="802">
    <xf numFmtId="0" fontId="0" fillId="0" borderId="0" xfId="0"/>
    <xf numFmtId="0" fontId="8" fillId="7" borderId="0" xfId="78" applyFont="1" applyFill="1"/>
    <xf numFmtId="193" fontId="9" fillId="7" borderId="0" xfId="71" applyNumberFormat="1" applyFont="1" applyFill="1"/>
    <xf numFmtId="0" fontId="9" fillId="7" borderId="0" xfId="78" applyFont="1" applyFill="1"/>
    <xf numFmtId="0" fontId="8" fillId="7" borderId="0" xfId="78" applyFont="1" applyFill="1" applyAlignment="1">
      <alignment horizontal="right"/>
    </xf>
    <xf numFmtId="0" fontId="10" fillId="7" borderId="0" xfId="78" applyFont="1" applyFill="1"/>
    <xf numFmtId="0" fontId="10" fillId="7" borderId="0" xfId="78" applyFont="1" applyFill="1" applyAlignment="1">
      <alignment horizontal="right"/>
    </xf>
    <xf numFmtId="0" fontId="11" fillId="6" borderId="14" xfId="78" applyFont="1" applyFill="1" applyBorder="1" applyAlignment="1">
      <alignment horizontal="center"/>
    </xf>
    <xf numFmtId="0" fontId="11" fillId="6" borderId="15" xfId="78" applyFont="1" applyFill="1" applyBorder="1" applyAlignment="1">
      <alignment horizontal="center"/>
    </xf>
    <xf numFmtId="0" fontId="11" fillId="8" borderId="16" xfId="78" applyFont="1" applyFill="1" applyBorder="1" applyAlignment="1">
      <alignment horizontal="center"/>
    </xf>
    <xf numFmtId="0" fontId="11" fillId="6" borderId="17" xfId="78" applyFont="1" applyFill="1" applyBorder="1" applyAlignment="1">
      <alignment horizontal="center"/>
    </xf>
    <xf numFmtId="0" fontId="11" fillId="6" borderId="18" xfId="78" applyFont="1" applyFill="1" applyBorder="1" applyAlignment="1">
      <alignment horizontal="center"/>
    </xf>
    <xf numFmtId="0" fontId="11" fillId="2" borderId="0" xfId="78" applyFont="1" applyFill="1" applyAlignment="1">
      <alignment horizontal="center"/>
    </xf>
    <xf numFmtId="0" fontId="11" fillId="2" borderId="18" xfId="78" applyFont="1" applyFill="1" applyBorder="1" applyAlignment="1">
      <alignment horizontal="center"/>
    </xf>
    <xf numFmtId="0" fontId="9" fillId="6" borderId="17" xfId="78" applyFont="1" applyFill="1" applyBorder="1"/>
    <xf numFmtId="193" fontId="9" fillId="6" borderId="18" xfId="71" applyNumberFormat="1" applyFont="1" applyFill="1" applyBorder="1"/>
    <xf numFmtId="0" fontId="9" fillId="2" borderId="0" xfId="78" applyFont="1" applyFill="1"/>
    <xf numFmtId="193" fontId="9" fillId="2" borderId="0" xfId="71" applyNumberFormat="1" applyFont="1" applyFill="1" applyBorder="1"/>
    <xf numFmtId="0" fontId="9" fillId="2" borderId="18" xfId="78" applyFont="1" applyFill="1" applyBorder="1" applyAlignment="1">
      <alignment horizontal="center"/>
    </xf>
    <xf numFmtId="0" fontId="10" fillId="7" borderId="0" xfId="78" applyFont="1" applyFill="1" applyProtection="1">
      <protection locked="0" hidden="1"/>
    </xf>
    <xf numFmtId="0" fontId="10" fillId="7" borderId="0" xfId="78" applyFont="1" applyFill="1" applyAlignment="1" applyProtection="1">
      <alignment horizontal="right"/>
      <protection locked="0" hidden="1"/>
    </xf>
    <xf numFmtId="0" fontId="13" fillId="6" borderId="18" xfId="40" applyFill="1" applyBorder="1" applyAlignment="1" applyProtection="1">
      <alignment horizontal="center"/>
    </xf>
    <xf numFmtId="0" fontId="13" fillId="2" borderId="0" xfId="40" applyFill="1" applyBorder="1" applyAlignment="1" applyProtection="1">
      <alignment horizontal="center"/>
    </xf>
    <xf numFmtId="0" fontId="9" fillId="2" borderId="18" xfId="78" applyFont="1" applyFill="1" applyBorder="1"/>
    <xf numFmtId="0" fontId="9" fillId="2" borderId="0" xfId="78" applyFont="1" applyFill="1" applyAlignment="1">
      <alignment horizontal="center"/>
    </xf>
    <xf numFmtId="191" fontId="10" fillId="7" borderId="0" xfId="78" applyNumberFormat="1" applyFont="1" applyFill="1" applyAlignment="1" applyProtection="1">
      <alignment horizontal="right"/>
      <protection locked="0" hidden="1"/>
    </xf>
    <xf numFmtId="0" fontId="9" fillId="6" borderId="19" xfId="78" applyFont="1" applyFill="1" applyBorder="1"/>
    <xf numFmtId="193" fontId="9" fillId="6" borderId="20" xfId="71" applyNumberFormat="1" applyFont="1" applyFill="1" applyBorder="1"/>
    <xf numFmtId="0" fontId="9" fillId="2" borderId="21" xfId="78" applyFont="1" applyFill="1" applyBorder="1"/>
    <xf numFmtId="193" fontId="9" fillId="2" borderId="21" xfId="71" applyNumberFormat="1" applyFont="1" applyFill="1" applyBorder="1"/>
    <xf numFmtId="0" fontId="11" fillId="2" borderId="21" xfId="78" applyFont="1" applyFill="1" applyBorder="1"/>
    <xf numFmtId="0" fontId="9" fillId="2" borderId="20" xfId="78" applyFont="1" applyFill="1" applyBorder="1"/>
    <xf numFmtId="0" fontId="10" fillId="7" borderId="0" xfId="78" quotePrefix="1" applyFont="1" applyFill="1" applyAlignment="1" applyProtection="1">
      <alignment horizontal="right"/>
      <protection locked="0" hidden="1"/>
    </xf>
    <xf numFmtId="0" fontId="9" fillId="7" borderId="0" xfId="78" applyFont="1" applyFill="1" applyAlignment="1">
      <alignment horizontal="center"/>
    </xf>
    <xf numFmtId="0" fontId="10" fillId="7" borderId="0" xfId="78" applyFont="1" applyFill="1" applyAlignment="1">
      <alignment horizontal="center"/>
    </xf>
    <xf numFmtId="0" fontId="10" fillId="7" borderId="0" xfId="78" applyFont="1" applyFill="1" applyAlignment="1" applyProtection="1">
      <alignment horizontal="center"/>
      <protection locked="0" hidden="1"/>
    </xf>
    <xf numFmtId="0" fontId="11" fillId="6" borderId="0" xfId="78" applyFont="1" applyFill="1" applyAlignment="1">
      <alignment horizontal="center"/>
    </xf>
    <xf numFmtId="194" fontId="9" fillId="7" borderId="0" xfId="78" applyNumberFormat="1" applyFont="1" applyFill="1"/>
    <xf numFmtId="193" fontId="9" fillId="6" borderId="0" xfId="71" applyNumberFormat="1" applyFont="1" applyFill="1" applyBorder="1"/>
    <xf numFmtId="0" fontId="9" fillId="6" borderId="0" xfId="78" applyFont="1" applyFill="1"/>
    <xf numFmtId="188" fontId="12" fillId="9" borderId="4" xfId="71" applyNumberFormat="1" applyFont="1" applyFill="1" applyBorder="1" applyProtection="1">
      <protection locked="0"/>
    </xf>
    <xf numFmtId="0" fontId="12" fillId="9" borderId="4" xfId="78" applyFont="1" applyFill="1" applyBorder="1" applyProtection="1">
      <protection locked="0"/>
    </xf>
    <xf numFmtId="0" fontId="9" fillId="6" borderId="18" xfId="78" applyFont="1" applyFill="1" applyBorder="1"/>
    <xf numFmtId="188" fontId="10" fillId="7" borderId="0" xfId="71" applyNumberFormat="1" applyFont="1" applyFill="1" applyAlignment="1" applyProtection="1">
      <alignment horizontal="right"/>
      <protection locked="0" hidden="1"/>
    </xf>
    <xf numFmtId="193" fontId="9" fillId="6" borderId="21" xfId="71" applyNumberFormat="1" applyFont="1" applyFill="1" applyBorder="1"/>
    <xf numFmtId="0" fontId="9" fillId="6" borderId="21" xfId="78" applyFont="1" applyFill="1" applyBorder="1"/>
    <xf numFmtId="0" fontId="9" fillId="6" borderId="20" xfId="78" applyFont="1" applyFill="1" applyBorder="1"/>
    <xf numFmtId="188" fontId="10" fillId="7" borderId="0" xfId="71" quotePrefix="1" applyNumberFormat="1" applyFont="1" applyFill="1" applyAlignment="1" applyProtection="1">
      <alignment horizontal="right"/>
      <protection locked="0" hidden="1"/>
    </xf>
    <xf numFmtId="193" fontId="11" fillId="10" borderId="22" xfId="71" applyNumberFormat="1" applyFont="1" applyFill="1" applyBorder="1" applyAlignment="1">
      <alignment horizontal="center" vertical="center" wrapText="1"/>
    </xf>
    <xf numFmtId="0" fontId="11" fillId="10" borderId="22" xfId="78" applyFont="1" applyFill="1" applyBorder="1" applyAlignment="1">
      <alignment horizontal="center" vertical="center" wrapText="1"/>
    </xf>
    <xf numFmtId="0" fontId="9" fillId="2" borderId="23" xfId="78" applyFont="1" applyFill="1" applyBorder="1" applyAlignment="1">
      <alignment horizontal="right"/>
    </xf>
    <xf numFmtId="193" fontId="9" fillId="2" borderId="24" xfId="71" applyNumberFormat="1" applyFont="1" applyFill="1" applyBorder="1"/>
    <xf numFmtId="0" fontId="9" fillId="2" borderId="24" xfId="78" applyFont="1" applyFill="1" applyBorder="1"/>
    <xf numFmtId="193" fontId="9" fillId="2" borderId="24" xfId="82" applyNumberFormat="1" applyFont="1" applyFill="1" applyBorder="1"/>
    <xf numFmtId="0" fontId="9" fillId="2" borderId="24" xfId="82" applyNumberFormat="1" applyFont="1" applyFill="1" applyBorder="1"/>
    <xf numFmtId="190" fontId="9" fillId="2" borderId="24" xfId="78" applyNumberFormat="1" applyFont="1" applyFill="1" applyBorder="1"/>
    <xf numFmtId="193" fontId="14" fillId="2" borderId="25" xfId="71" applyNumberFormat="1" applyFont="1" applyFill="1" applyBorder="1" applyAlignment="1"/>
    <xf numFmtId="0" fontId="9" fillId="2" borderId="26" xfId="78" applyFont="1" applyFill="1" applyBorder="1"/>
    <xf numFmtId="193" fontId="9" fillId="2" borderId="4" xfId="71" applyNumberFormat="1" applyFont="1" applyFill="1" applyBorder="1"/>
    <xf numFmtId="0" fontId="9" fillId="2" borderId="4" xfId="78" applyFont="1" applyFill="1" applyBorder="1"/>
    <xf numFmtId="193" fontId="9" fillId="2" borderId="4" xfId="82" applyNumberFormat="1" applyFont="1" applyFill="1" applyBorder="1"/>
    <xf numFmtId="0" fontId="9" fillId="2" borderId="4" xfId="82" applyNumberFormat="1" applyFont="1" applyFill="1" applyBorder="1"/>
    <xf numFmtId="190" fontId="9" fillId="2" borderId="4" xfId="78" applyNumberFormat="1" applyFont="1" applyFill="1" applyBorder="1"/>
    <xf numFmtId="193" fontId="14" fillId="2" borderId="27" xfId="71" applyNumberFormat="1" applyFont="1" applyFill="1" applyBorder="1" applyAlignment="1"/>
    <xf numFmtId="0" fontId="9" fillId="2" borderId="28" xfId="78" applyFont="1" applyFill="1" applyBorder="1" applyAlignment="1">
      <alignment horizontal="right"/>
    </xf>
    <xf numFmtId="193" fontId="9" fillId="2" borderId="22" xfId="71" applyNumberFormat="1" applyFont="1" applyFill="1" applyBorder="1"/>
    <xf numFmtId="0" fontId="9" fillId="2" borderId="22" xfId="78" applyFont="1" applyFill="1" applyBorder="1"/>
    <xf numFmtId="193" fontId="9" fillId="2" borderId="22" xfId="82" applyNumberFormat="1" applyFont="1" applyFill="1" applyBorder="1"/>
    <xf numFmtId="0" fontId="9" fillId="2" borderId="22" xfId="82" applyNumberFormat="1" applyFont="1" applyFill="1" applyBorder="1"/>
    <xf numFmtId="190" fontId="9" fillId="2" borderId="22" xfId="78" applyNumberFormat="1" applyFont="1" applyFill="1" applyBorder="1"/>
    <xf numFmtId="193" fontId="14" fillId="2" borderId="29" xfId="71" applyNumberFormat="1" applyFont="1" applyFill="1" applyBorder="1" applyAlignment="1"/>
    <xf numFmtId="43" fontId="5" fillId="0" borderId="4" xfId="67" applyFont="1" applyBorder="1" applyAlignment="1">
      <alignment horizontal="center"/>
    </xf>
    <xf numFmtId="43" fontId="5" fillId="0" borderId="4" xfId="67" applyFont="1" applyFill="1" applyBorder="1" applyAlignment="1">
      <alignment horizontal="center"/>
    </xf>
    <xf numFmtId="0" fontId="36" fillId="0" borderId="0" xfId="83" applyFont="1"/>
    <xf numFmtId="188" fontId="36" fillId="6" borderId="32" xfId="84" applyNumberFormat="1" applyFont="1" applyFill="1" applyBorder="1"/>
    <xf numFmtId="188" fontId="36" fillId="6" borderId="33" xfId="84" applyNumberFormat="1" applyFont="1" applyFill="1" applyBorder="1" applyAlignment="1">
      <alignment horizontal="center"/>
    </xf>
    <xf numFmtId="188" fontId="36" fillId="6" borderId="30" xfId="84" applyNumberFormat="1" applyFont="1" applyFill="1" applyBorder="1"/>
    <xf numFmtId="188" fontId="36" fillId="6" borderId="33" xfId="84" applyNumberFormat="1" applyFont="1" applyFill="1" applyBorder="1"/>
    <xf numFmtId="188" fontId="36" fillId="6" borderId="34" xfId="84" applyNumberFormat="1" applyFont="1" applyFill="1" applyBorder="1"/>
    <xf numFmtId="188" fontId="36" fillId="6" borderId="10" xfId="84" applyNumberFormat="1" applyFont="1" applyFill="1" applyBorder="1"/>
    <xf numFmtId="188" fontId="36" fillId="6" borderId="31" xfId="84" applyNumberFormat="1" applyFont="1" applyFill="1" applyBorder="1"/>
    <xf numFmtId="188" fontId="36" fillId="0" borderId="0" xfId="84" applyNumberFormat="1" applyFont="1"/>
    <xf numFmtId="188" fontId="36" fillId="0" borderId="5" xfId="84" applyNumberFormat="1" applyFont="1" applyBorder="1" applyAlignment="1">
      <alignment horizontal="center"/>
    </xf>
    <xf numFmtId="188" fontId="36" fillId="0" borderId="12" xfId="84" quotePrefix="1" applyNumberFormat="1" applyFont="1" applyBorder="1" applyAlignment="1">
      <alignment horizontal="center"/>
    </xf>
    <xf numFmtId="188" fontId="40" fillId="6" borderId="32" xfId="84" quotePrefix="1" applyNumberFormat="1" applyFont="1" applyFill="1" applyBorder="1" applyAlignment="1">
      <alignment horizontal="left"/>
    </xf>
    <xf numFmtId="43" fontId="36" fillId="0" borderId="0" xfId="67" applyFont="1"/>
    <xf numFmtId="188" fontId="36" fillId="0" borderId="0" xfId="84" applyNumberFormat="1" applyFont="1" applyBorder="1"/>
    <xf numFmtId="43" fontId="4" fillId="0" borderId="4" xfId="67" applyFont="1" applyBorder="1" applyAlignment="1">
      <alignment horizontal="center" vertical="center"/>
    </xf>
    <xf numFmtId="43" fontId="5" fillId="0" borderId="4" xfId="67" applyFont="1" applyBorder="1" applyAlignment="1">
      <alignment horizontal="center" vertical="center"/>
    </xf>
    <xf numFmtId="43" fontId="37" fillId="0" borderId="0" xfId="67" applyFont="1"/>
    <xf numFmtId="189" fontId="4" fillId="0" borderId="4" xfId="67" applyNumberFormat="1" applyFont="1" applyBorder="1" applyAlignment="1">
      <alignment horizontal="center"/>
    </xf>
    <xf numFmtId="43" fontId="4" fillId="0" borderId="4" xfId="67" applyFont="1" applyBorder="1"/>
    <xf numFmtId="43" fontId="5" fillId="0" borderId="4" xfId="67" applyFont="1" applyBorder="1"/>
    <xf numFmtId="43" fontId="5" fillId="0" borderId="10" xfId="67" applyFont="1" applyBorder="1" applyAlignment="1">
      <alignment horizontal="center"/>
    </xf>
    <xf numFmtId="43" fontId="5" fillId="0" borderId="4" xfId="67" applyFont="1" applyFill="1" applyBorder="1"/>
    <xf numFmtId="43" fontId="5" fillId="0" borderId="10" xfId="67" applyFont="1" applyFill="1" applyBorder="1" applyAlignment="1">
      <alignment horizontal="center"/>
    </xf>
    <xf numFmtId="43" fontId="37" fillId="0" borderId="0" xfId="67" applyFont="1" applyFill="1"/>
    <xf numFmtId="43" fontId="6" fillId="0" borderId="4" xfId="67" applyFont="1" applyFill="1" applyBorder="1"/>
    <xf numFmtId="43" fontId="6" fillId="0" borderId="4" xfId="67" applyFont="1" applyFill="1" applyBorder="1" applyAlignment="1">
      <alignment horizontal="centerContinuous"/>
    </xf>
    <xf numFmtId="43" fontId="6" fillId="0" borderId="4" xfId="67" applyFont="1" applyFill="1" applyBorder="1" applyAlignment="1"/>
    <xf numFmtId="43" fontId="6" fillId="0" borderId="0" xfId="67" applyFont="1" applyFill="1" applyBorder="1"/>
    <xf numFmtId="43" fontId="36" fillId="0" borderId="0" xfId="67" applyFont="1" applyFill="1"/>
    <xf numFmtId="43" fontId="36" fillId="0" borderId="4" xfId="67" applyFont="1" applyFill="1" applyBorder="1"/>
    <xf numFmtId="207" fontId="6" fillId="0" borderId="4" xfId="67" applyNumberFormat="1" applyFont="1" applyFill="1" applyBorder="1" applyAlignment="1">
      <alignment horizontal="centerContinuous"/>
    </xf>
    <xf numFmtId="43" fontId="36" fillId="16" borderId="0" xfId="67" applyFont="1" applyFill="1"/>
    <xf numFmtId="43" fontId="39" fillId="14" borderId="0" xfId="67" applyFont="1" applyFill="1"/>
    <xf numFmtId="43" fontId="6" fillId="0" borderId="10" xfId="67" applyFont="1" applyFill="1" applyBorder="1"/>
    <xf numFmtId="43" fontId="5" fillId="0" borderId="5" xfId="67" applyFont="1" applyBorder="1" applyAlignment="1">
      <alignment horizontal="center"/>
    </xf>
    <xf numFmtId="43" fontId="5" fillId="0" borderId="11" xfId="67" applyFont="1" applyBorder="1" applyAlignment="1">
      <alignment horizontal="center"/>
    </xf>
    <xf numFmtId="43" fontId="5" fillId="0" borderId="12" xfId="67" applyFont="1" applyBorder="1" applyAlignment="1">
      <alignment horizontal="center"/>
    </xf>
    <xf numFmtId="43" fontId="6" fillId="0" borderId="4" xfId="67" applyFont="1" applyFill="1" applyBorder="1" applyAlignment="1">
      <alignment horizontal="center"/>
    </xf>
    <xf numFmtId="43" fontId="6" fillId="0" borderId="0" xfId="67" applyFont="1"/>
    <xf numFmtId="43" fontId="44" fillId="13" borderId="0" xfId="67" applyFont="1" applyFill="1"/>
    <xf numFmtId="43" fontId="40" fillId="0" borderId="0" xfId="67" applyFont="1"/>
    <xf numFmtId="43" fontId="40" fillId="0" borderId="0" xfId="67" applyFont="1" applyAlignment="1">
      <alignment horizontal="left"/>
    </xf>
    <xf numFmtId="43" fontId="36" fillId="0" borderId="0" xfId="67" applyFont="1" applyAlignment="1">
      <alignment horizontal="center"/>
    </xf>
    <xf numFmtId="43" fontId="36" fillId="0" borderId="0" xfId="67" applyFont="1" applyAlignment="1">
      <alignment horizontal="left"/>
    </xf>
    <xf numFmtId="43" fontId="38" fillId="13" borderId="0" xfId="67" applyFont="1" applyFill="1"/>
    <xf numFmtId="43" fontId="5" fillId="0" borderId="10" xfId="67" applyFont="1" applyBorder="1" applyAlignment="1">
      <alignment horizontal="center" vertical="center"/>
    </xf>
    <xf numFmtId="43" fontId="44" fillId="13" borderId="0" xfId="67" applyFont="1" applyFill="1" applyBorder="1"/>
    <xf numFmtId="43" fontId="39" fillId="13" borderId="0" xfId="67" applyFont="1" applyFill="1"/>
    <xf numFmtId="43" fontId="5" fillId="0" borderId="9" xfId="67" applyFont="1" applyBorder="1" applyAlignment="1">
      <alignment horizontal="center"/>
    </xf>
    <xf numFmtId="43" fontId="5" fillId="0" borderId="8" xfId="67" applyFont="1" applyBorder="1" applyAlignment="1">
      <alignment horizontal="center"/>
    </xf>
    <xf numFmtId="43" fontId="6" fillId="0" borderId="10" xfId="67" applyFont="1" applyFill="1" applyBorder="1" applyAlignment="1">
      <alignment horizontal="centerContinuous"/>
    </xf>
    <xf numFmtId="43" fontId="6" fillId="0" borderId="10" xfId="67" applyFont="1" applyFill="1" applyBorder="1" applyAlignment="1">
      <alignment horizontal="center"/>
    </xf>
    <xf numFmtId="43" fontId="6" fillId="0" borderId="10" xfId="67" applyFont="1" applyFill="1" applyBorder="1" applyAlignment="1"/>
    <xf numFmtId="43" fontId="5" fillId="0" borderId="10" xfId="67" applyFont="1" applyFill="1" applyBorder="1"/>
    <xf numFmtId="43" fontId="4" fillId="0" borderId="10" xfId="67" applyFont="1" applyFill="1" applyBorder="1"/>
    <xf numFmtId="43" fontId="5" fillId="0" borderId="0" xfId="67" applyFont="1" applyFill="1"/>
    <xf numFmtId="43" fontId="5" fillId="0" borderId="10" xfId="67" applyFont="1" applyBorder="1"/>
    <xf numFmtId="43" fontId="5" fillId="0" borderId="4" xfId="67" applyFont="1" applyFill="1" applyBorder="1" applyAlignment="1">
      <alignment horizontal="center" vertical="center"/>
    </xf>
    <xf numFmtId="43" fontId="4" fillId="0" borderId="10" xfId="67" applyFont="1" applyBorder="1" applyAlignment="1">
      <alignment horizontal="center"/>
    </xf>
    <xf numFmtId="43" fontId="6" fillId="0" borderId="0" xfId="67" applyFont="1" applyFill="1"/>
    <xf numFmtId="207" fontId="40" fillId="0" borderId="0" xfId="67" applyNumberFormat="1" applyFont="1"/>
    <xf numFmtId="207" fontId="5" fillId="0" borderId="5" xfId="67" applyNumberFormat="1" applyFont="1" applyBorder="1" applyAlignment="1">
      <alignment horizontal="center" vertical="center"/>
    </xf>
    <xf numFmtId="207" fontId="5" fillId="0" borderId="8" xfId="67" applyNumberFormat="1" applyFont="1" applyBorder="1" applyAlignment="1">
      <alignment horizontal="center" vertical="center"/>
    </xf>
    <xf numFmtId="207" fontId="5" fillId="0" borderId="10" xfId="67" applyNumberFormat="1" applyFont="1" applyBorder="1" applyAlignment="1">
      <alignment horizontal="center" vertical="center"/>
    </xf>
    <xf numFmtId="207" fontId="5" fillId="0" borderId="4" xfId="67" applyNumberFormat="1" applyFont="1" applyBorder="1"/>
    <xf numFmtId="207" fontId="5" fillId="0" borderId="4" xfId="67" applyNumberFormat="1" applyFont="1" applyFill="1" applyBorder="1"/>
    <xf numFmtId="207" fontId="6" fillId="0" borderId="10" xfId="67" applyNumberFormat="1" applyFont="1" applyFill="1" applyBorder="1" applyAlignment="1">
      <alignment horizontal="centerContinuous"/>
    </xf>
    <xf numFmtId="207" fontId="5" fillId="0" borderId="10" xfId="67" applyNumberFormat="1" applyFont="1" applyFill="1" applyBorder="1"/>
    <xf numFmtId="207" fontId="5" fillId="0" borderId="10" xfId="67" applyNumberFormat="1" applyFont="1" applyBorder="1"/>
    <xf numFmtId="207" fontId="37" fillId="0" borderId="0" xfId="67" applyNumberFormat="1" applyFont="1"/>
    <xf numFmtId="207" fontId="40" fillId="0" borderId="0" xfId="67" applyNumberFormat="1" applyFont="1" applyFill="1"/>
    <xf numFmtId="43" fontId="36" fillId="0" borderId="0" xfId="67" applyFont="1" applyFill="1" applyAlignment="1">
      <alignment horizontal="left"/>
    </xf>
    <xf numFmtId="43" fontId="44" fillId="0" borderId="0" xfId="67" applyFont="1" applyFill="1"/>
    <xf numFmtId="207" fontId="5" fillId="0" borderId="5" xfId="67" applyNumberFormat="1" applyFont="1" applyFill="1" applyBorder="1" applyAlignment="1">
      <alignment horizontal="center" vertical="center"/>
    </xf>
    <xf numFmtId="43" fontId="5" fillId="0" borderId="5" xfId="67" applyFont="1" applyFill="1" applyBorder="1" applyAlignment="1">
      <alignment horizontal="center"/>
    </xf>
    <xf numFmtId="43" fontId="38" fillId="0" borderId="0" xfId="67" applyFont="1" applyFill="1"/>
    <xf numFmtId="0" fontId="45" fillId="0" borderId="0" xfId="0" applyFont="1"/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2" fontId="48" fillId="0" borderId="0" xfId="0" applyNumberFormat="1" applyFont="1"/>
    <xf numFmtId="0" fontId="49" fillId="0" borderId="0" xfId="0" applyFont="1" applyAlignment="1">
      <alignment horizontal="right"/>
    </xf>
    <xf numFmtId="0" fontId="50" fillId="0" borderId="0" xfId="0" applyFont="1"/>
    <xf numFmtId="2" fontId="50" fillId="0" borderId="0" xfId="0" applyNumberFormat="1" applyFont="1"/>
    <xf numFmtId="0" fontId="51" fillId="0" borderId="37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51" fillId="0" borderId="41" xfId="0" applyFont="1" applyBorder="1" applyAlignment="1">
      <alignment horizontal="center"/>
    </xf>
    <xf numFmtId="0" fontId="51" fillId="0" borderId="42" xfId="0" applyFont="1" applyBorder="1" applyAlignment="1">
      <alignment horizontal="center"/>
    </xf>
    <xf numFmtId="0" fontId="51" fillId="0" borderId="43" xfId="0" applyFont="1" applyBorder="1" applyAlignment="1">
      <alignment horizontal="center"/>
    </xf>
    <xf numFmtId="0" fontId="52" fillId="0" borderId="43" xfId="0" applyFont="1" applyBorder="1" applyAlignment="1">
      <alignment horizontal="center"/>
    </xf>
    <xf numFmtId="0" fontId="51" fillId="0" borderId="44" xfId="0" applyFont="1" applyBorder="1" applyAlignment="1">
      <alignment horizontal="center"/>
    </xf>
    <xf numFmtId="0" fontId="51" fillId="0" borderId="45" xfId="0" applyFont="1" applyBorder="1" applyAlignment="1">
      <alignment horizontal="center"/>
    </xf>
    <xf numFmtId="0" fontId="53" fillId="0" borderId="46" xfId="0" applyFont="1" applyBorder="1" applyAlignment="1">
      <alignment horizontal="left"/>
    </xf>
    <xf numFmtId="0" fontId="0" fillId="0" borderId="47" xfId="0" applyBorder="1"/>
    <xf numFmtId="0" fontId="0" fillId="0" borderId="46" xfId="0" applyBorder="1"/>
    <xf numFmtId="0" fontId="51" fillId="0" borderId="48" xfId="0" applyFont="1" applyBorder="1" applyAlignment="1">
      <alignment horizontal="left"/>
    </xf>
    <xf numFmtId="0" fontId="54" fillId="0" borderId="49" xfId="0" applyFont="1" applyBorder="1" applyAlignment="1">
      <alignment horizontal="center"/>
    </xf>
    <xf numFmtId="0" fontId="54" fillId="0" borderId="33" xfId="0" applyFont="1" applyBorder="1"/>
    <xf numFmtId="2" fontId="54" fillId="0" borderId="33" xfId="0" applyNumberFormat="1" applyFont="1" applyBorder="1" applyAlignment="1">
      <alignment horizontal="right"/>
    </xf>
    <xf numFmtId="0" fontId="54" fillId="0" borderId="33" xfId="0" applyFont="1" applyBorder="1" applyAlignment="1">
      <alignment horizontal="center"/>
    </xf>
    <xf numFmtId="0" fontId="54" fillId="0" borderId="50" xfId="0" applyFont="1" applyBorder="1"/>
    <xf numFmtId="0" fontId="54" fillId="0" borderId="51" xfId="0" applyFont="1" applyBorder="1"/>
    <xf numFmtId="0" fontId="54" fillId="0" borderId="52" xfId="0" applyFont="1" applyBorder="1" applyAlignment="1">
      <alignment horizontal="center"/>
    </xf>
    <xf numFmtId="0" fontId="54" fillId="0" borderId="35" xfId="0" applyFont="1" applyBorder="1"/>
    <xf numFmtId="2" fontId="54" fillId="0" borderId="35" xfId="0" applyNumberFormat="1" applyFont="1" applyBorder="1" applyAlignment="1">
      <alignment horizontal="right"/>
    </xf>
    <xf numFmtId="0" fontId="54" fillId="0" borderId="35" xfId="0" applyFont="1" applyBorder="1" applyAlignment="1">
      <alignment horizontal="center"/>
    </xf>
    <xf numFmtId="4" fontId="48" fillId="0" borderId="35" xfId="0" applyNumberFormat="1" applyFont="1" applyBorder="1"/>
    <xf numFmtId="0" fontId="54" fillId="0" borderId="53" xfId="0" applyFont="1" applyBorder="1"/>
    <xf numFmtId="4" fontId="54" fillId="0" borderId="54" xfId="0" applyNumberFormat="1" applyFont="1" applyBorder="1"/>
    <xf numFmtId="2" fontId="55" fillId="0" borderId="35" xfId="0" applyNumberFormat="1" applyFont="1" applyBorder="1" applyAlignment="1">
      <alignment horizontal="right"/>
    </xf>
    <xf numFmtId="0" fontId="48" fillId="0" borderId="35" xfId="0" applyFont="1" applyBorder="1"/>
    <xf numFmtId="0" fontId="55" fillId="0" borderId="35" xfId="0" applyFont="1" applyBorder="1"/>
    <xf numFmtId="43" fontId="54" fillId="0" borderId="35" xfId="67" applyFont="1" applyBorder="1" applyAlignment="1">
      <alignment horizontal="right"/>
    </xf>
    <xf numFmtId="2" fontId="48" fillId="0" borderId="35" xfId="0" applyNumberFormat="1" applyFont="1" applyBorder="1"/>
    <xf numFmtId="2" fontId="54" fillId="0" borderId="35" xfId="0" applyNumberFormat="1" applyFont="1" applyBorder="1"/>
    <xf numFmtId="0" fontId="54" fillId="0" borderId="35" xfId="0" applyFont="1" applyBorder="1" applyAlignment="1">
      <alignment horizontal="right"/>
    </xf>
    <xf numFmtId="2" fontId="48" fillId="0" borderId="35" xfId="0" applyNumberFormat="1" applyFont="1" applyBorder="1" applyAlignment="1">
      <alignment horizontal="right"/>
    </xf>
    <xf numFmtId="0" fontId="50" fillId="0" borderId="35" xfId="0" applyFont="1" applyBorder="1"/>
    <xf numFmtId="3" fontId="56" fillId="0" borderId="35" xfId="0" applyNumberFormat="1" applyFont="1" applyBorder="1"/>
    <xf numFmtId="0" fontId="51" fillId="0" borderId="35" xfId="0" applyFont="1" applyBorder="1" applyAlignment="1">
      <alignment horizontal="center"/>
    </xf>
    <xf numFmtId="4" fontId="54" fillId="0" borderId="35" xfId="0" applyNumberFormat="1" applyFont="1" applyBorder="1"/>
    <xf numFmtId="0" fontId="54" fillId="0" borderId="55" xfId="0" applyFont="1" applyBorder="1" applyAlignment="1">
      <alignment horizontal="center"/>
    </xf>
    <xf numFmtId="4" fontId="54" fillId="0" borderId="56" xfId="0" applyNumberFormat="1" applyFont="1" applyBorder="1"/>
    <xf numFmtId="0" fontId="54" fillId="0" borderId="54" xfId="0" applyFont="1" applyBorder="1" applyAlignment="1">
      <alignment horizontal="center"/>
    </xf>
    <xf numFmtId="0" fontId="54" fillId="0" borderId="36" xfId="0" applyFont="1" applyBorder="1"/>
    <xf numFmtId="0" fontId="54" fillId="0" borderId="0" xfId="0" applyFont="1"/>
    <xf numFmtId="0" fontId="49" fillId="0" borderId="0" xfId="0" applyFont="1"/>
    <xf numFmtId="4" fontId="54" fillId="0" borderId="51" xfId="0" applyNumberFormat="1" applyFont="1" applyBorder="1" applyAlignment="1">
      <alignment horizontal="center"/>
    </xf>
    <xf numFmtId="0" fontId="54" fillId="0" borderId="54" xfId="0" applyFont="1" applyBorder="1"/>
    <xf numFmtId="3" fontId="56" fillId="0" borderId="54" xfId="0" applyNumberFormat="1" applyFont="1" applyBorder="1" applyAlignment="1">
      <alignment horizontal="center"/>
    </xf>
    <xf numFmtId="0" fontId="54" fillId="0" borderId="57" xfId="0" applyFont="1" applyBorder="1" applyAlignment="1">
      <alignment horizontal="center"/>
    </xf>
    <xf numFmtId="0" fontId="49" fillId="0" borderId="58" xfId="0" applyFont="1" applyBorder="1"/>
    <xf numFmtId="0" fontId="54" fillId="0" borderId="59" xfId="0" applyFont="1" applyBorder="1" applyAlignment="1">
      <alignment horizontal="center"/>
    </xf>
    <xf numFmtId="0" fontId="54" fillId="0" borderId="59" xfId="0" applyFont="1" applyBorder="1"/>
    <xf numFmtId="0" fontId="54" fillId="0" borderId="60" xfId="0" applyFont="1" applyBorder="1"/>
    <xf numFmtId="4" fontId="54" fillId="0" borderId="61" xfId="0" applyNumberFormat="1" applyFont="1" applyBorder="1"/>
    <xf numFmtId="0" fontId="58" fillId="0" borderId="0" xfId="0" applyFont="1"/>
    <xf numFmtId="1" fontId="1" fillId="0" borderId="35" xfId="0" applyNumberFormat="1" applyFont="1" applyBorder="1" applyAlignment="1">
      <alignment horizontal="right"/>
    </xf>
    <xf numFmtId="0" fontId="1" fillId="0" borderId="35" xfId="0" applyFont="1" applyBorder="1" applyAlignment="1">
      <alignment horizontal="center"/>
    </xf>
    <xf numFmtId="0" fontId="1" fillId="0" borderId="35" xfId="0" applyFont="1" applyBorder="1"/>
    <xf numFmtId="3" fontId="56" fillId="0" borderId="51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2" fontId="54" fillId="0" borderId="53" xfId="0" applyNumberFormat="1" applyFont="1" applyBorder="1"/>
    <xf numFmtId="43" fontId="54" fillId="0" borderId="35" xfId="67" applyFont="1" applyFill="1" applyBorder="1" applyAlignment="1">
      <alignment horizontal="right"/>
    </xf>
    <xf numFmtId="4" fontId="54" fillId="0" borderId="35" xfId="0" applyNumberFormat="1" applyFont="1" applyBorder="1" applyAlignment="1">
      <alignment horizontal="right"/>
    </xf>
    <xf numFmtId="1" fontId="54" fillId="0" borderId="35" xfId="0" applyNumberFormat="1" applyFont="1" applyBorder="1" applyAlignment="1">
      <alignment horizontal="right"/>
    </xf>
    <xf numFmtId="0" fontId="60" fillId="0" borderId="0" xfId="0" applyFont="1"/>
    <xf numFmtId="3" fontId="54" fillId="0" borderId="35" xfId="0" applyNumberFormat="1" applyFont="1" applyBorder="1"/>
    <xf numFmtId="0" fontId="54" fillId="0" borderId="58" xfId="0" applyFont="1" applyBorder="1" applyAlignment="1">
      <alignment horizontal="center"/>
    </xf>
    <xf numFmtId="3" fontId="56" fillId="0" borderId="61" xfId="0" applyNumberFormat="1" applyFont="1" applyBorder="1" applyAlignment="1">
      <alignment horizontal="center"/>
    </xf>
    <xf numFmtId="3" fontId="56" fillId="0" borderId="0" xfId="0" applyNumberFormat="1" applyFont="1" applyAlignment="1">
      <alignment horizontal="center"/>
    </xf>
    <xf numFmtId="0" fontId="47" fillId="0" borderId="0" xfId="0" applyFont="1"/>
    <xf numFmtId="0" fontId="47" fillId="0" borderId="0" xfId="0" applyFont="1" applyAlignment="1">
      <alignment horizontal="center"/>
    </xf>
    <xf numFmtId="0" fontId="47" fillId="0" borderId="37" xfId="0" applyFont="1" applyBorder="1" applyAlignment="1">
      <alignment horizontal="center"/>
    </xf>
    <xf numFmtId="0" fontId="47" fillId="0" borderId="38" xfId="0" applyFont="1" applyBorder="1" applyAlignment="1">
      <alignment horizontal="center"/>
    </xf>
    <xf numFmtId="0" fontId="47" fillId="0" borderId="41" xfId="0" applyFont="1" applyBorder="1" applyAlignment="1">
      <alignment horizontal="center"/>
    </xf>
    <xf numFmtId="0" fontId="47" fillId="0" borderId="42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0" fontId="47" fillId="0" borderId="44" xfId="0" applyFont="1" applyBorder="1" applyAlignment="1">
      <alignment horizontal="center"/>
    </xf>
    <xf numFmtId="0" fontId="47" fillId="0" borderId="45" xfId="0" applyFont="1" applyBorder="1" applyAlignment="1">
      <alignment horizontal="center"/>
    </xf>
    <xf numFmtId="0" fontId="61" fillId="0" borderId="46" xfId="0" applyFont="1" applyBorder="1" applyAlignment="1">
      <alignment horizontal="center"/>
    </xf>
    <xf numFmtId="0" fontId="47" fillId="0" borderId="47" xfId="0" applyFont="1" applyBorder="1"/>
    <xf numFmtId="0" fontId="47" fillId="0" borderId="46" xfId="0" applyFont="1" applyBorder="1"/>
    <xf numFmtId="0" fontId="47" fillId="0" borderId="48" xfId="0" applyFont="1" applyBorder="1" applyAlignment="1">
      <alignment horizontal="left"/>
    </xf>
    <xf numFmtId="0" fontId="47" fillId="0" borderId="52" xfId="0" applyFont="1" applyBorder="1" applyAlignment="1">
      <alignment horizontal="center"/>
    </xf>
    <xf numFmtId="0" fontId="47" fillId="0" borderId="35" xfId="0" applyFont="1" applyBorder="1"/>
    <xf numFmtId="2" fontId="47" fillId="0" borderId="35" xfId="0" applyNumberFormat="1" applyFont="1" applyBorder="1" applyAlignment="1">
      <alignment horizontal="right"/>
    </xf>
    <xf numFmtId="0" fontId="47" fillId="0" borderId="35" xfId="0" applyFont="1" applyBorder="1" applyAlignment="1">
      <alignment horizontal="center"/>
    </xf>
    <xf numFmtId="4" fontId="63" fillId="0" borderId="35" xfId="0" applyNumberFormat="1" applyFont="1" applyBorder="1"/>
    <xf numFmtId="0" fontId="47" fillId="0" borderId="53" xfId="0" applyFont="1" applyBorder="1"/>
    <xf numFmtId="4" fontId="47" fillId="0" borderId="54" xfId="0" applyNumberFormat="1" applyFont="1" applyBorder="1"/>
    <xf numFmtId="2" fontId="63" fillId="0" borderId="35" xfId="0" applyNumberFormat="1" applyFont="1" applyBorder="1" applyAlignment="1">
      <alignment horizontal="right"/>
    </xf>
    <xf numFmtId="0" fontId="63" fillId="0" borderId="35" xfId="0" applyFont="1" applyBorder="1"/>
    <xf numFmtId="43" fontId="47" fillId="0" borderId="35" xfId="67" applyFont="1" applyFill="1" applyBorder="1" applyAlignment="1">
      <alignment horizontal="right"/>
    </xf>
    <xf numFmtId="2" fontId="63" fillId="0" borderId="35" xfId="0" applyNumberFormat="1" applyFont="1" applyBorder="1"/>
    <xf numFmtId="2" fontId="47" fillId="0" borderId="35" xfId="0" applyNumberFormat="1" applyFont="1" applyBorder="1"/>
    <xf numFmtId="4" fontId="47" fillId="0" borderId="35" xfId="0" applyNumberFormat="1" applyFont="1" applyBorder="1" applyAlignment="1">
      <alignment horizontal="right"/>
    </xf>
    <xf numFmtId="0" fontId="47" fillId="0" borderId="33" xfId="0" applyFont="1" applyBorder="1" applyAlignment="1">
      <alignment horizontal="center"/>
    </xf>
    <xf numFmtId="0" fontId="47" fillId="0" borderId="35" xfId="0" applyFont="1" applyBorder="1" applyAlignment="1">
      <alignment horizontal="right"/>
    </xf>
    <xf numFmtId="0" fontId="47" fillId="0" borderId="33" xfId="0" applyFont="1" applyBorder="1"/>
    <xf numFmtId="1" fontId="63" fillId="0" borderId="35" xfId="0" applyNumberFormat="1" applyFont="1" applyBorder="1"/>
    <xf numFmtId="3" fontId="47" fillId="0" borderId="35" xfId="0" applyNumberFormat="1" applyFont="1" applyBorder="1"/>
    <xf numFmtId="0" fontId="63" fillId="0" borderId="0" xfId="0" applyFont="1"/>
    <xf numFmtId="0" fontId="47" fillId="0" borderId="54" xfId="0" applyFont="1" applyBorder="1"/>
    <xf numFmtId="4" fontId="47" fillId="0" borderId="35" xfId="0" applyNumberFormat="1" applyFont="1" applyBorder="1"/>
    <xf numFmtId="0" fontId="47" fillId="0" borderId="55" xfId="0" applyFont="1" applyBorder="1" applyAlignment="1">
      <alignment horizontal="center"/>
    </xf>
    <xf numFmtId="4" fontId="47" fillId="0" borderId="56" xfId="0" applyNumberFormat="1" applyFont="1" applyBorder="1" applyAlignment="1">
      <alignment horizontal="center"/>
    </xf>
    <xf numFmtId="0" fontId="47" fillId="0" borderId="57" xfId="0" applyFont="1" applyBorder="1" applyAlignment="1">
      <alignment horizontal="center"/>
    </xf>
    <xf numFmtId="0" fontId="47" fillId="0" borderId="59" xfId="0" applyFont="1" applyBorder="1"/>
    <xf numFmtId="0" fontId="47" fillId="0" borderId="59" xfId="0" applyFont="1" applyBorder="1" applyAlignment="1">
      <alignment horizontal="center"/>
    </xf>
    <xf numFmtId="0" fontId="47" fillId="0" borderId="58" xfId="0" applyFont="1" applyBorder="1" applyAlignment="1">
      <alignment horizontal="center"/>
    </xf>
    <xf numFmtId="0" fontId="47" fillId="0" borderId="58" xfId="0" applyFont="1" applyBorder="1"/>
    <xf numFmtId="3" fontId="64" fillId="0" borderId="61" xfId="0" applyNumberFormat="1" applyFont="1" applyBorder="1" applyAlignment="1">
      <alignment horizontal="center"/>
    </xf>
    <xf numFmtId="0" fontId="47" fillId="0" borderId="64" xfId="0" applyFont="1" applyBorder="1"/>
    <xf numFmtId="0" fontId="61" fillId="0" borderId="48" xfId="0" applyFont="1" applyBorder="1" applyAlignment="1">
      <alignment horizontal="left"/>
    </xf>
    <xf numFmtId="0" fontId="47" fillId="0" borderId="49" xfId="0" applyFont="1" applyBorder="1" applyAlignment="1">
      <alignment horizontal="center"/>
    </xf>
    <xf numFmtId="2" fontId="47" fillId="0" borderId="33" xfId="0" applyNumberFormat="1" applyFont="1" applyBorder="1" applyAlignment="1">
      <alignment horizontal="right"/>
    </xf>
    <xf numFmtId="0" fontId="47" fillId="0" borderId="50" xfId="0" applyFont="1" applyBorder="1"/>
    <xf numFmtId="0" fontId="47" fillId="0" borderId="51" xfId="0" applyFont="1" applyBorder="1"/>
    <xf numFmtId="4" fontId="47" fillId="0" borderId="53" xfId="0" applyNumberFormat="1" applyFont="1" applyBorder="1"/>
    <xf numFmtId="187" fontId="47" fillId="0" borderId="0" xfId="0" applyNumberFormat="1" applyFont="1"/>
    <xf numFmtId="1" fontId="47" fillId="0" borderId="35" xfId="0" applyNumberFormat="1" applyFont="1" applyBorder="1" applyAlignment="1">
      <alignment horizontal="right"/>
    </xf>
    <xf numFmtId="3" fontId="47" fillId="0" borderId="53" xfId="0" applyNumberFormat="1" applyFont="1" applyBorder="1"/>
    <xf numFmtId="3" fontId="47" fillId="0" borderId="0" xfId="0" applyNumberFormat="1" applyFont="1"/>
    <xf numFmtId="0" fontId="47" fillId="0" borderId="65" xfId="0" applyFont="1" applyBorder="1"/>
    <xf numFmtId="3" fontId="64" fillId="0" borderId="0" xfId="0" applyNumberFormat="1" applyFont="1" applyAlignment="1">
      <alignment horizontal="center"/>
    </xf>
    <xf numFmtId="4" fontId="47" fillId="0" borderId="50" xfId="0" applyNumberFormat="1" applyFont="1" applyBorder="1"/>
    <xf numFmtId="0" fontId="47" fillId="0" borderId="0" xfId="0" applyFont="1" applyAlignment="1">
      <alignment horizontal="left"/>
    </xf>
    <xf numFmtId="4" fontId="47" fillId="0" borderId="35" xfId="0" applyNumberFormat="1" applyFont="1" applyBorder="1" applyAlignment="1">
      <alignment horizontal="center"/>
    </xf>
    <xf numFmtId="4" fontId="47" fillId="0" borderId="55" xfId="0" applyNumberFormat="1" applyFont="1" applyBorder="1" applyAlignment="1">
      <alignment horizontal="center"/>
    </xf>
    <xf numFmtId="4" fontId="47" fillId="0" borderId="59" xfId="0" applyNumberFormat="1" applyFont="1" applyBorder="1" applyAlignment="1">
      <alignment horizontal="center"/>
    </xf>
    <xf numFmtId="4" fontId="47" fillId="0" borderId="58" xfId="0" applyNumberFormat="1" applyFont="1" applyBorder="1" applyAlignment="1">
      <alignment horizontal="center"/>
    </xf>
    <xf numFmtId="4" fontId="47" fillId="0" borderId="58" xfId="0" applyNumberFormat="1" applyFont="1" applyBorder="1"/>
    <xf numFmtId="4" fontId="64" fillId="0" borderId="61" xfId="0" applyNumberFormat="1" applyFont="1" applyBorder="1" applyAlignment="1">
      <alignment horizontal="center"/>
    </xf>
    <xf numFmtId="4" fontId="63" fillId="0" borderId="35" xfId="0" applyNumberFormat="1" applyFont="1" applyBorder="1" applyAlignment="1">
      <alignment horizontal="right"/>
    </xf>
    <xf numFmtId="4" fontId="47" fillId="0" borderId="33" xfId="0" applyNumberFormat="1" applyFont="1" applyBorder="1" applyAlignment="1">
      <alignment horizontal="center"/>
    </xf>
    <xf numFmtId="4" fontId="55" fillId="0" borderId="35" xfId="0" applyNumberFormat="1" applyFont="1" applyBorder="1" applyAlignment="1">
      <alignment horizontal="right"/>
    </xf>
    <xf numFmtId="4" fontId="47" fillId="0" borderId="65" xfId="0" applyNumberFormat="1" applyFont="1" applyBorder="1"/>
    <xf numFmtId="4" fontId="47" fillId="0" borderId="66" xfId="0" applyNumberFormat="1" applyFont="1" applyBorder="1"/>
    <xf numFmtId="4" fontId="47" fillId="0" borderId="67" xfId="0" applyNumberFormat="1" applyFont="1" applyBorder="1"/>
    <xf numFmtId="3" fontId="48" fillId="0" borderId="35" xfId="0" applyNumberFormat="1" applyFont="1" applyBorder="1"/>
    <xf numFmtId="188" fontId="36" fillId="6" borderId="0" xfId="84" applyNumberFormat="1" applyFont="1" applyFill="1" applyBorder="1"/>
    <xf numFmtId="188" fontId="36" fillId="0" borderId="9" xfId="84" applyNumberFormat="1" applyFont="1" applyBorder="1"/>
    <xf numFmtId="43" fontId="44" fillId="13" borderId="68" xfId="67" applyFont="1" applyFill="1" applyBorder="1"/>
    <xf numFmtId="4" fontId="54" fillId="0" borderId="0" xfId="0" applyNumberFormat="1" applyFont="1" applyAlignment="1">
      <alignment horizontal="center"/>
    </xf>
    <xf numFmtId="2" fontId="49" fillId="0" borderId="0" xfId="0" applyNumberFormat="1" applyFont="1"/>
    <xf numFmtId="43" fontId="56" fillId="0" borderId="0" xfId="67" applyFont="1" applyFill="1" applyBorder="1" applyAlignment="1">
      <alignment horizontal="center"/>
    </xf>
    <xf numFmtId="43" fontId="65" fillId="0" borderId="0" xfId="67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43" fontId="0" fillId="0" borderId="4" xfId="0" applyNumberFormat="1" applyBorder="1"/>
    <xf numFmtId="0" fontId="1" fillId="0" borderId="0" xfId="0" applyFont="1" applyAlignment="1">
      <alignment horizontal="center"/>
    </xf>
    <xf numFmtId="43" fontId="0" fillId="0" borderId="69" xfId="0" applyNumberFormat="1" applyBorder="1"/>
    <xf numFmtId="2" fontId="1" fillId="0" borderId="0" xfId="0" applyNumberFormat="1" applyFont="1"/>
    <xf numFmtId="43" fontId="0" fillId="0" borderId="0" xfId="0" applyNumberFormat="1"/>
    <xf numFmtId="43" fontId="0" fillId="0" borderId="12" xfId="0" applyNumberFormat="1" applyBorder="1"/>
    <xf numFmtId="43" fontId="40" fillId="0" borderId="0" xfId="67" applyFont="1" applyAlignment="1">
      <alignment horizontal="center"/>
    </xf>
    <xf numFmtId="43" fontId="66" fillId="0" borderId="4" xfId="67" applyFont="1" applyFill="1" applyBorder="1" applyAlignment="1">
      <alignment horizontal="left"/>
    </xf>
    <xf numFmtId="43" fontId="40" fillId="0" borderId="0" xfId="67" applyFont="1" applyFill="1" applyAlignment="1">
      <alignment horizontal="left"/>
    </xf>
    <xf numFmtId="43" fontId="5" fillId="0" borderId="11" xfId="67" applyFont="1" applyFill="1" applyBorder="1" applyAlignment="1">
      <alignment horizontal="center"/>
    </xf>
    <xf numFmtId="43" fontId="5" fillId="0" borderId="9" xfId="67" applyFont="1" applyFill="1" applyBorder="1" applyAlignment="1">
      <alignment horizontal="center"/>
    </xf>
    <xf numFmtId="43" fontId="67" fillId="13" borderId="4" xfId="0" applyNumberFormat="1" applyFont="1" applyFill="1" applyBorder="1"/>
    <xf numFmtId="43" fontId="68" fillId="0" borderId="10" xfId="67" applyFont="1" applyFill="1" applyBorder="1" applyAlignment="1"/>
    <xf numFmtId="0" fontId="36" fillId="0" borderId="0" xfId="0" applyFont="1"/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43" fillId="0" borderId="11" xfId="0" applyFont="1" applyBorder="1"/>
    <xf numFmtId="0" fontId="43" fillId="0" borderId="11" xfId="0" applyFont="1" applyBorder="1" applyAlignment="1">
      <alignment horizontal="center"/>
    </xf>
    <xf numFmtId="0" fontId="43" fillId="0" borderId="11" xfId="0" applyFont="1" applyBorder="1" applyAlignment="1">
      <alignment horizontal="center" vertical="center"/>
    </xf>
    <xf numFmtId="0" fontId="43" fillId="0" borderId="12" xfId="0" applyFont="1" applyBorder="1"/>
    <xf numFmtId="0" fontId="43" fillId="0" borderId="12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top"/>
    </xf>
    <xf numFmtId="0" fontId="43" fillId="0" borderId="10" xfId="0" applyFont="1" applyBorder="1"/>
    <xf numFmtId="0" fontId="43" fillId="0" borderId="1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/>
    </xf>
    <xf numFmtId="0" fontId="36" fillId="0" borderId="10" xfId="0" applyFont="1" applyBorder="1"/>
    <xf numFmtId="0" fontId="69" fillId="0" borderId="4" xfId="0" applyFont="1" applyBorder="1" applyAlignment="1">
      <alignment horizontal="center"/>
    </xf>
    <xf numFmtId="0" fontId="43" fillId="0" borderId="4" xfId="0" applyFont="1" applyBorder="1"/>
    <xf numFmtId="0" fontId="43" fillId="0" borderId="4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/>
    </xf>
    <xf numFmtId="0" fontId="36" fillId="0" borderId="4" xfId="0" applyFont="1" applyBorder="1"/>
    <xf numFmtId="0" fontId="36" fillId="6" borderId="4" xfId="88" applyFont="1" applyFill="1" applyBorder="1" applyAlignment="1">
      <alignment horizontal="center" vertical="center" shrinkToFit="1"/>
    </xf>
    <xf numFmtId="0" fontId="36" fillId="6" borderId="4" xfId="88" applyFont="1" applyFill="1" applyBorder="1" applyAlignment="1">
      <alignment horizontal="left" vertical="center" shrinkToFit="1"/>
    </xf>
    <xf numFmtId="0" fontId="36" fillId="6" borderId="4" xfId="88" applyFont="1" applyFill="1" applyBorder="1" applyAlignment="1">
      <alignment horizontal="center"/>
    </xf>
    <xf numFmtId="4" fontId="40" fillId="6" borderId="4" xfId="88" applyNumberFormat="1" applyFont="1" applyFill="1" applyBorder="1" applyAlignment="1">
      <alignment horizontal="center"/>
    </xf>
    <xf numFmtId="208" fontId="40" fillId="6" borderId="4" xfId="88" applyNumberFormat="1" applyFont="1" applyFill="1" applyBorder="1" applyAlignment="1">
      <alignment horizontal="center"/>
    </xf>
    <xf numFmtId="208" fontId="36" fillId="6" borderId="4" xfId="88" applyNumberFormat="1" applyFont="1" applyFill="1" applyBorder="1" applyAlignment="1">
      <alignment horizontal="center"/>
    </xf>
    <xf numFmtId="208" fontId="36" fillId="6" borderId="4" xfId="88" applyNumberFormat="1" applyFont="1" applyFill="1" applyBorder="1" applyAlignment="1">
      <alignment horizontal="right"/>
    </xf>
    <xf numFmtId="208" fontId="36" fillId="6" borderId="4" xfId="88" applyNumberFormat="1" applyFont="1" applyFill="1" applyBorder="1" applyAlignment="1">
      <alignment horizontal="right" vertical="center" shrinkToFit="1"/>
    </xf>
    <xf numFmtId="0" fontId="40" fillId="6" borderId="4" xfId="88" applyFont="1" applyFill="1" applyBorder="1" applyAlignment="1">
      <alignment horizontal="center" vertical="center" shrinkToFit="1"/>
    </xf>
    <xf numFmtId="0" fontId="36" fillId="6" borderId="4" xfId="89" applyFont="1" applyFill="1" applyBorder="1"/>
    <xf numFmtId="43" fontId="36" fillId="6" borderId="4" xfId="67" applyFont="1" applyFill="1" applyBorder="1" applyAlignment="1">
      <alignment horizontal="right"/>
    </xf>
    <xf numFmtId="43" fontId="6" fillId="0" borderId="4" xfId="67" applyFont="1" applyBorder="1" applyAlignment="1">
      <alignment horizontal="center"/>
    </xf>
    <xf numFmtId="43" fontId="36" fillId="6" borderId="4" xfId="67" applyFont="1" applyFill="1" applyBorder="1"/>
    <xf numFmtId="49" fontId="36" fillId="6" borderId="4" xfId="88" applyNumberFormat="1" applyFont="1" applyFill="1" applyBorder="1" applyAlignment="1">
      <alignment horizontal="center"/>
    </xf>
    <xf numFmtId="0" fontId="36" fillId="6" borderId="4" xfId="88" applyFont="1" applyFill="1" applyBorder="1"/>
    <xf numFmtId="0" fontId="66" fillId="6" borderId="4" xfId="88" applyFont="1" applyFill="1" applyBorder="1"/>
    <xf numFmtId="43" fontId="36" fillId="6" borderId="4" xfId="67" applyFont="1" applyFill="1" applyBorder="1" applyAlignment="1">
      <alignment horizontal="center"/>
    </xf>
    <xf numFmtId="0" fontId="36" fillId="17" borderId="4" xfId="88" applyFont="1" applyFill="1" applyBorder="1" applyAlignment="1">
      <alignment horizontal="center"/>
    </xf>
    <xf numFmtId="0" fontId="40" fillId="6" borderId="4" xfId="88" applyFont="1" applyFill="1" applyBorder="1" applyAlignment="1">
      <alignment horizontal="center"/>
    </xf>
    <xf numFmtId="43" fontId="40" fillId="17" borderId="4" xfId="67" applyFont="1" applyFill="1" applyBorder="1"/>
    <xf numFmtId="0" fontId="40" fillId="17" borderId="4" xfId="88" applyFont="1" applyFill="1" applyBorder="1" applyAlignment="1">
      <alignment horizontal="center" vertical="center"/>
    </xf>
    <xf numFmtId="1" fontId="36" fillId="17" borderId="4" xfId="88" applyNumberFormat="1" applyFont="1" applyFill="1" applyBorder="1" applyAlignment="1">
      <alignment horizontal="center"/>
    </xf>
    <xf numFmtId="4" fontId="36" fillId="17" borderId="4" xfId="88" applyNumberFormat="1" applyFont="1" applyFill="1" applyBorder="1" applyAlignment="1">
      <alignment horizontal="right"/>
    </xf>
    <xf numFmtId="208" fontId="36" fillId="17" borderId="4" xfId="88" applyNumberFormat="1" applyFont="1" applyFill="1" applyBorder="1" applyAlignment="1">
      <alignment horizontal="right"/>
    </xf>
    <xf numFmtId="208" fontId="36" fillId="17" borderId="4" xfId="88" applyNumberFormat="1" applyFont="1" applyFill="1" applyBorder="1"/>
    <xf numFmtId="0" fontId="40" fillId="6" borderId="4" xfId="88" applyFont="1" applyFill="1" applyBorder="1" applyAlignment="1">
      <alignment horizontal="left" vertical="center" shrinkToFit="1"/>
    </xf>
    <xf numFmtId="0" fontId="43" fillId="0" borderId="4" xfId="0" applyFont="1" applyBorder="1" applyAlignment="1">
      <alignment horizontal="left"/>
    </xf>
    <xf numFmtId="43" fontId="43" fillId="0" borderId="4" xfId="67" applyFont="1" applyBorder="1"/>
    <xf numFmtId="43" fontId="36" fillId="17" borderId="4" xfId="67" applyFont="1" applyFill="1" applyBorder="1"/>
    <xf numFmtId="49" fontId="36" fillId="6" borderId="0" xfId="88" applyNumberFormat="1" applyFont="1" applyFill="1" applyAlignment="1">
      <alignment horizontal="center"/>
    </xf>
    <xf numFmtId="0" fontId="36" fillId="17" borderId="0" xfId="88" applyFont="1" applyFill="1"/>
    <xf numFmtId="1" fontId="36" fillId="17" borderId="0" xfId="88" applyNumberFormat="1" applyFont="1" applyFill="1" applyAlignment="1">
      <alignment horizontal="center"/>
    </xf>
    <xf numFmtId="0" fontId="36" fillId="17" borderId="0" xfId="88" applyFont="1" applyFill="1" applyAlignment="1">
      <alignment horizontal="center"/>
    </xf>
    <xf numFmtId="4" fontId="36" fillId="17" borderId="0" xfId="88" applyNumberFormat="1" applyFont="1" applyFill="1" applyAlignment="1">
      <alignment horizontal="right"/>
    </xf>
    <xf numFmtId="208" fontId="36" fillId="17" borderId="0" xfId="88" applyNumberFormat="1" applyFont="1" applyFill="1" applyAlignment="1">
      <alignment horizontal="right"/>
    </xf>
    <xf numFmtId="208" fontId="36" fillId="17" borderId="0" xfId="88" applyNumberFormat="1" applyFont="1" applyFill="1"/>
    <xf numFmtId="43" fontId="43" fillId="0" borderId="4" xfId="67" applyFont="1" applyBorder="1" applyAlignment="1">
      <alignment horizontal="center"/>
    </xf>
    <xf numFmtId="0" fontId="36" fillId="17" borderId="4" xfId="88" applyFont="1" applyFill="1" applyBorder="1"/>
    <xf numFmtId="0" fontId="69" fillId="0" borderId="4" xfId="0" applyFont="1" applyBorder="1" applyAlignment="1">
      <alignment horizontal="left"/>
    </xf>
    <xf numFmtId="43" fontId="36" fillId="6" borderId="4" xfId="88" applyNumberFormat="1" applyFont="1" applyFill="1" applyBorder="1" applyAlignment="1">
      <alignment horizontal="center"/>
    </xf>
    <xf numFmtId="0" fontId="40" fillId="6" borderId="4" xfId="88" applyFont="1" applyFill="1" applyBorder="1"/>
    <xf numFmtId="43" fontId="36" fillId="17" borderId="4" xfId="67" applyFont="1" applyFill="1" applyBorder="1" applyAlignment="1">
      <alignment horizontal="center"/>
    </xf>
    <xf numFmtId="49" fontId="36" fillId="6" borderId="70" xfId="88" applyNumberFormat="1" applyFont="1" applyFill="1" applyBorder="1" applyAlignment="1">
      <alignment horizontal="center"/>
    </xf>
    <xf numFmtId="0" fontId="36" fillId="6" borderId="70" xfId="88" applyFont="1" applyFill="1" applyBorder="1"/>
    <xf numFmtId="43" fontId="36" fillId="6" borderId="70" xfId="67" applyFont="1" applyFill="1" applyBorder="1" applyAlignment="1">
      <alignment horizontal="center"/>
    </xf>
    <xf numFmtId="0" fontId="36" fillId="6" borderId="70" xfId="88" applyFont="1" applyFill="1" applyBorder="1" applyAlignment="1">
      <alignment horizontal="center"/>
    </xf>
    <xf numFmtId="43" fontId="36" fillId="6" borderId="70" xfId="67" applyFont="1" applyFill="1" applyBorder="1" applyAlignment="1">
      <alignment horizontal="right"/>
    </xf>
    <xf numFmtId="43" fontId="6" fillId="0" borderId="70" xfId="67" applyFont="1" applyBorder="1" applyAlignment="1">
      <alignment horizontal="center"/>
    </xf>
    <xf numFmtId="43" fontId="36" fillId="6" borderId="70" xfId="67" applyFont="1" applyFill="1" applyBorder="1"/>
    <xf numFmtId="0" fontId="36" fillId="17" borderId="4" xfId="88" applyFont="1" applyFill="1" applyBorder="1" applyAlignment="1">
      <alignment horizontal="left" vertical="center"/>
    </xf>
    <xf numFmtId="0" fontId="36" fillId="6" borderId="4" xfId="89" applyFont="1" applyFill="1" applyBorder="1" applyAlignment="1">
      <alignment horizontal="left" indent="1"/>
    </xf>
    <xf numFmtId="0" fontId="36" fillId="6" borderId="4" xfId="88" applyFont="1" applyFill="1" applyBorder="1" applyAlignment="1">
      <alignment horizontal="left" indent="1"/>
    </xf>
    <xf numFmtId="0" fontId="36" fillId="17" borderId="4" xfId="88" applyFont="1" applyFill="1" applyBorder="1" applyAlignment="1">
      <alignment horizontal="center" vertical="center"/>
    </xf>
    <xf numFmtId="43" fontId="43" fillId="0" borderId="4" xfId="0" applyNumberFormat="1" applyFont="1" applyBorder="1" applyAlignment="1">
      <alignment horizontal="center"/>
    </xf>
    <xf numFmtId="0" fontId="70" fillId="6" borderId="4" xfId="88" applyFont="1" applyFill="1" applyBorder="1"/>
    <xf numFmtId="0" fontId="36" fillId="17" borderId="4" xfId="88" applyFont="1" applyFill="1" applyBorder="1" applyAlignment="1">
      <alignment horizontal="left"/>
    </xf>
    <xf numFmtId="208" fontId="40" fillId="17" borderId="4" xfId="88" applyNumberFormat="1" applyFont="1" applyFill="1" applyBorder="1"/>
    <xf numFmtId="0" fontId="36" fillId="6" borderId="4" xfId="88" applyFont="1" applyFill="1" applyBorder="1" applyAlignment="1">
      <alignment vertical="center" shrinkToFit="1"/>
    </xf>
    <xf numFmtId="0" fontId="40" fillId="17" borderId="4" xfId="88" applyFont="1" applyFill="1" applyBorder="1" applyAlignment="1">
      <alignment horizontal="center"/>
    </xf>
    <xf numFmtId="0" fontId="36" fillId="13" borderId="4" xfId="88" applyFont="1" applyFill="1" applyBorder="1"/>
    <xf numFmtId="0" fontId="6" fillId="0" borderId="4" xfId="90" applyFont="1" applyBorder="1" applyAlignment="1">
      <alignment vertical="center"/>
    </xf>
    <xf numFmtId="0" fontId="6" fillId="0" borderId="71" xfId="90" applyFont="1" applyBorder="1" applyAlignment="1">
      <alignment vertical="center"/>
    </xf>
    <xf numFmtId="0" fontId="72" fillId="0" borderId="71" xfId="90" applyFont="1" applyBorder="1" applyAlignment="1">
      <alignment vertical="center"/>
    </xf>
    <xf numFmtId="0" fontId="72" fillId="0" borderId="72" xfId="90" applyFont="1" applyBorder="1" applyAlignment="1">
      <alignment vertical="center"/>
    </xf>
    <xf numFmtId="0" fontId="72" fillId="0" borderId="4" xfId="90" applyFont="1" applyBorder="1" applyAlignment="1">
      <alignment vertical="center"/>
    </xf>
    <xf numFmtId="0" fontId="72" fillId="0" borderId="71" xfId="90" applyFont="1" applyBorder="1" applyAlignment="1">
      <alignment horizontal="center" vertical="center"/>
    </xf>
    <xf numFmtId="187" fontId="72" fillId="0" borderId="71" xfId="91" applyFont="1" applyBorder="1" applyAlignment="1">
      <alignment vertical="center"/>
    </xf>
    <xf numFmtId="0" fontId="72" fillId="0" borderId="71" xfId="90" applyFont="1" applyBorder="1" applyAlignment="1">
      <alignment horizontal="right" vertical="center"/>
    </xf>
    <xf numFmtId="43" fontId="36" fillId="0" borderId="0" xfId="83" applyNumberFormat="1" applyFont="1"/>
    <xf numFmtId="0" fontId="36" fillId="0" borderId="73" xfId="83" applyFont="1" applyBorder="1" applyAlignment="1">
      <alignment horizontal="center" vertical="center"/>
    </xf>
    <xf numFmtId="0" fontId="36" fillId="0" borderId="73" xfId="83" applyFont="1" applyBorder="1" applyAlignment="1">
      <alignment horizontal="left" vertical="center"/>
    </xf>
    <xf numFmtId="43" fontId="36" fillId="0" borderId="73" xfId="67" applyFont="1" applyBorder="1" applyAlignment="1">
      <alignment vertical="center"/>
    </xf>
    <xf numFmtId="188" fontId="36" fillId="6" borderId="73" xfId="84" applyNumberFormat="1" applyFont="1" applyFill="1" applyBorder="1"/>
    <xf numFmtId="0" fontId="36" fillId="0" borderId="73" xfId="83" applyFont="1" applyBorder="1" applyAlignment="1">
      <alignment vertical="center"/>
    </xf>
    <xf numFmtId="0" fontId="36" fillId="0" borderId="35" xfId="83" applyFont="1" applyBorder="1" applyAlignment="1">
      <alignment horizontal="center"/>
    </xf>
    <xf numFmtId="188" fontId="36" fillId="6" borderId="35" xfId="84" applyNumberFormat="1" applyFont="1" applyFill="1" applyBorder="1"/>
    <xf numFmtId="43" fontId="36" fillId="6" borderId="35" xfId="84" applyNumberFormat="1" applyFont="1" applyFill="1" applyBorder="1"/>
    <xf numFmtId="206" fontId="36" fillId="6" borderId="35" xfId="84" applyNumberFormat="1" applyFont="1" applyFill="1" applyBorder="1"/>
    <xf numFmtId="188" fontId="36" fillId="6" borderId="75" xfId="84" applyNumberFormat="1" applyFont="1" applyFill="1" applyBorder="1" applyAlignment="1">
      <alignment horizontal="left"/>
    </xf>
    <xf numFmtId="188" fontId="36" fillId="6" borderId="75" xfId="84" applyNumberFormat="1" applyFont="1" applyFill="1" applyBorder="1"/>
    <xf numFmtId="188" fontId="36" fillId="6" borderId="11" xfId="84" applyNumberFormat="1" applyFont="1" applyFill="1" applyBorder="1" applyAlignment="1">
      <alignment horizontal="center"/>
    </xf>
    <xf numFmtId="188" fontId="36" fillId="6" borderId="10" xfId="84" applyNumberFormat="1" applyFont="1" applyFill="1" applyBorder="1" applyAlignment="1">
      <alignment horizontal="center"/>
    </xf>
    <xf numFmtId="188" fontId="36" fillId="6" borderId="73" xfId="84" applyNumberFormat="1" applyFont="1" applyFill="1" applyBorder="1" applyAlignment="1">
      <alignment horizontal="center"/>
    </xf>
    <xf numFmtId="188" fontId="36" fillId="6" borderId="35" xfId="84" applyNumberFormat="1" applyFont="1" applyFill="1" applyBorder="1" applyAlignment="1">
      <alignment horizontal="left"/>
    </xf>
    <xf numFmtId="193" fontId="36" fillId="6" borderId="73" xfId="84" applyNumberFormat="1" applyFont="1" applyFill="1" applyBorder="1"/>
    <xf numFmtId="188" fontId="36" fillId="0" borderId="0" xfId="84" applyNumberFormat="1" applyFont="1" applyAlignment="1">
      <alignment horizontal="center" vertical="center"/>
    </xf>
    <xf numFmtId="0" fontId="36" fillId="0" borderId="0" xfId="83" applyFont="1" applyAlignment="1">
      <alignment horizontal="center" vertical="center"/>
    </xf>
    <xf numFmtId="188" fontId="40" fillId="6" borderId="0" xfId="84" quotePrefix="1" applyNumberFormat="1" applyFont="1" applyFill="1" applyBorder="1" applyAlignment="1">
      <alignment horizontal="left"/>
    </xf>
    <xf numFmtId="188" fontId="36" fillId="0" borderId="73" xfId="84" applyNumberFormat="1" applyFont="1" applyBorder="1"/>
    <xf numFmtId="188" fontId="36" fillId="0" borderId="35" xfId="84" applyNumberFormat="1" applyFont="1" applyBorder="1"/>
    <xf numFmtId="0" fontId="36" fillId="0" borderId="35" xfId="83" applyFont="1" applyBorder="1" applyAlignment="1">
      <alignment horizontal="left" vertical="center"/>
    </xf>
    <xf numFmtId="188" fontId="36" fillId="0" borderId="35" xfId="84" applyNumberFormat="1" applyFont="1" applyBorder="1" applyAlignment="1">
      <alignment horizontal="center"/>
    </xf>
    <xf numFmtId="188" fontId="36" fillId="0" borderId="75" xfId="84" applyNumberFormat="1" applyFont="1" applyBorder="1"/>
    <xf numFmtId="188" fontId="36" fillId="0" borderId="75" xfId="84" applyNumberFormat="1" applyFont="1" applyBorder="1" applyAlignment="1">
      <alignment horizontal="center"/>
    </xf>
    <xf numFmtId="188" fontId="40" fillId="0" borderId="11" xfId="84" applyNumberFormat="1" applyFont="1" applyBorder="1" applyAlignment="1">
      <alignment horizontal="center"/>
    </xf>
    <xf numFmtId="188" fontId="40" fillId="0" borderId="13" xfId="84" applyNumberFormat="1" applyFont="1" applyBorder="1" applyAlignment="1">
      <alignment horizontal="center"/>
    </xf>
    <xf numFmtId="188" fontId="36" fillId="0" borderId="76" xfId="84" applyNumberFormat="1" applyFont="1" applyBorder="1"/>
    <xf numFmtId="188" fontId="36" fillId="0" borderId="7" xfId="84" applyNumberFormat="1" applyFont="1" applyBorder="1"/>
    <xf numFmtId="0" fontId="43" fillId="0" borderId="0" xfId="0" applyFont="1" applyAlignment="1" applyProtection="1">
      <alignment horizontal="center" vertical="center"/>
      <protection hidden="1"/>
    </xf>
    <xf numFmtId="0" fontId="36" fillId="6" borderId="0" xfId="85" applyFont="1" applyFill="1"/>
    <xf numFmtId="0" fontId="36" fillId="0" borderId="0" xfId="90" applyFont="1" applyAlignment="1">
      <alignment horizontal="center" vertical="center"/>
    </xf>
    <xf numFmtId="0" fontId="69" fillId="0" borderId="73" xfId="90" applyFont="1" applyBorder="1" applyAlignment="1">
      <alignment horizontal="center" vertical="center"/>
    </xf>
    <xf numFmtId="43" fontId="36" fillId="0" borderId="35" xfId="67" applyFont="1" applyFill="1" applyBorder="1" applyAlignment="1">
      <alignment horizontal="center" vertical="center"/>
    </xf>
    <xf numFmtId="0" fontId="36" fillId="0" borderId="35" xfId="90" applyFont="1" applyBorder="1" applyAlignment="1">
      <alignment horizontal="center" vertical="center"/>
    </xf>
    <xf numFmtId="207" fontId="36" fillId="0" borderId="35" xfId="67" applyNumberFormat="1" applyFont="1" applyFill="1" applyBorder="1" applyAlignment="1">
      <alignment horizontal="centerContinuous" vertical="center"/>
    </xf>
    <xf numFmtId="43" fontId="36" fillId="0" borderId="35" xfId="67" applyFont="1" applyFill="1" applyBorder="1" applyAlignment="1">
      <alignment vertical="center"/>
    </xf>
    <xf numFmtId="43" fontId="36" fillId="17" borderId="35" xfId="67" applyFont="1" applyFill="1" applyBorder="1" applyAlignment="1">
      <alignment vertical="center"/>
    </xf>
    <xf numFmtId="0" fontId="36" fillId="0" borderId="71" xfId="90" applyFont="1" applyBorder="1" applyAlignment="1">
      <alignment vertical="center"/>
    </xf>
    <xf numFmtId="43" fontId="36" fillId="0" borderId="4" xfId="67" applyFont="1" applyFill="1" applyBorder="1" applyAlignment="1">
      <alignment vertical="center"/>
    </xf>
    <xf numFmtId="43" fontId="36" fillId="0" borderId="4" xfId="67" applyFont="1" applyFill="1" applyBorder="1" applyAlignment="1">
      <alignment horizontal="center" vertical="center"/>
    </xf>
    <xf numFmtId="0" fontId="36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/>
      <protection hidden="1"/>
    </xf>
    <xf numFmtId="43" fontId="40" fillId="0" borderId="73" xfId="67" applyFont="1" applyBorder="1" applyAlignment="1">
      <alignment vertical="center"/>
    </xf>
    <xf numFmtId="43" fontId="36" fillId="0" borderId="73" xfId="67" applyFont="1" applyBorder="1" applyAlignment="1">
      <alignment horizontal="center" vertical="center"/>
    </xf>
    <xf numFmtId="43" fontId="36" fillId="0" borderId="73" xfId="67" applyFont="1" applyFill="1" applyBorder="1" applyAlignment="1">
      <alignment horizontal="center" vertical="center"/>
    </xf>
    <xf numFmtId="0" fontId="36" fillId="0" borderId="73" xfId="90" applyFont="1" applyBorder="1" applyAlignment="1">
      <alignment horizontal="center" vertical="center"/>
    </xf>
    <xf numFmtId="0" fontId="39" fillId="0" borderId="71" xfId="90" applyFont="1" applyBorder="1" applyAlignment="1">
      <alignment vertical="center"/>
    </xf>
    <xf numFmtId="0" fontId="44" fillId="0" borderId="71" xfId="90" applyFont="1" applyBorder="1" applyAlignment="1">
      <alignment vertical="center"/>
    </xf>
    <xf numFmtId="0" fontId="73" fillId="0" borderId="71" xfId="90" applyFont="1" applyBorder="1" applyAlignment="1">
      <alignment vertical="center"/>
    </xf>
    <xf numFmtId="2" fontId="36" fillId="0" borderId="0" xfId="90" applyNumberFormat="1" applyFont="1" applyAlignment="1">
      <alignment vertical="center"/>
    </xf>
    <xf numFmtId="207" fontId="36" fillId="0" borderId="36" xfId="67" applyNumberFormat="1" applyFont="1" applyFill="1" applyBorder="1" applyAlignment="1">
      <alignment horizontal="centerContinuous" vertical="center"/>
    </xf>
    <xf numFmtId="43" fontId="36" fillId="0" borderId="36" xfId="67" applyFont="1" applyFill="1" applyBorder="1" applyAlignment="1">
      <alignment vertical="center"/>
    </xf>
    <xf numFmtId="43" fontId="36" fillId="17" borderId="36" xfId="67" applyFont="1" applyFill="1" applyBorder="1" applyAlignment="1">
      <alignment vertical="center"/>
    </xf>
    <xf numFmtId="43" fontId="36" fillId="0" borderId="36" xfId="67" applyFont="1" applyFill="1" applyBorder="1" applyAlignment="1">
      <alignment horizontal="center" vertical="center"/>
    </xf>
    <xf numFmtId="0" fontId="36" fillId="0" borderId="36" xfId="90" applyFont="1" applyBorder="1" applyAlignment="1">
      <alignment horizontal="center" vertical="center"/>
    </xf>
    <xf numFmtId="207" fontId="36" fillId="0" borderId="4" xfId="67" applyNumberFormat="1" applyFont="1" applyFill="1" applyBorder="1" applyAlignment="1">
      <alignment horizontal="centerContinuous" vertical="center"/>
    </xf>
    <xf numFmtId="43" fontId="36" fillId="17" borderId="4" xfId="67" applyFont="1" applyFill="1" applyBorder="1" applyAlignment="1">
      <alignment vertical="center"/>
    </xf>
    <xf numFmtId="0" fontId="36" fillId="0" borderId="4" xfId="90" applyFont="1" applyBorder="1" applyAlignment="1">
      <alignment horizontal="center" vertical="center"/>
    </xf>
    <xf numFmtId="0" fontId="40" fillId="0" borderId="33" xfId="90" applyFont="1" applyBorder="1" applyAlignment="1">
      <alignment horizontal="center" vertical="center"/>
    </xf>
    <xf numFmtId="43" fontId="40" fillId="0" borderId="33" xfId="67" applyFont="1" applyFill="1" applyBorder="1" applyAlignment="1">
      <alignment vertical="center"/>
    </xf>
    <xf numFmtId="43" fontId="36" fillId="0" borderId="33" xfId="67" applyFont="1" applyFill="1" applyBorder="1" applyAlignment="1">
      <alignment vertical="center"/>
    </xf>
    <xf numFmtId="43" fontId="36" fillId="0" borderId="33" xfId="67" applyFont="1" applyFill="1" applyBorder="1" applyAlignment="1">
      <alignment horizontal="center" vertical="center"/>
    </xf>
    <xf numFmtId="189" fontId="36" fillId="0" borderId="71" xfId="67" applyNumberFormat="1" applyFont="1" applyBorder="1" applyAlignment="1">
      <alignment vertical="center"/>
    </xf>
    <xf numFmtId="0" fontId="69" fillId="0" borderId="33" xfId="90" applyFont="1" applyBorder="1" applyAlignment="1">
      <alignment horizontal="center" vertical="center"/>
    </xf>
    <xf numFmtId="43" fontId="36" fillId="0" borderId="33" xfId="67" applyFont="1" applyBorder="1" applyAlignment="1">
      <alignment vertical="center"/>
    </xf>
    <xf numFmtId="0" fontId="36" fillId="0" borderId="10" xfId="90" applyFont="1" applyBorder="1" applyAlignment="1">
      <alignment horizontal="center" vertical="center"/>
    </xf>
    <xf numFmtId="43" fontId="75" fillId="0" borderId="33" xfId="67" applyFont="1" applyBorder="1" applyAlignment="1">
      <alignment horizontal="center" vertical="center"/>
    </xf>
    <xf numFmtId="207" fontId="39" fillId="0" borderId="35" xfId="67" applyNumberFormat="1" applyFont="1" applyFill="1" applyBorder="1" applyAlignment="1">
      <alignment horizontal="centerContinuous" vertical="center"/>
    </xf>
    <xf numFmtId="43" fontId="39" fillId="0" borderId="35" xfId="67" applyFont="1" applyFill="1" applyBorder="1" applyAlignment="1">
      <alignment vertical="center"/>
    </xf>
    <xf numFmtId="43" fontId="39" fillId="17" borderId="35" xfId="67" applyFont="1" applyFill="1" applyBorder="1" applyAlignment="1">
      <alignment vertical="center"/>
    </xf>
    <xf numFmtId="43" fontId="39" fillId="0" borderId="35" xfId="67" applyFont="1" applyFill="1" applyBorder="1" applyAlignment="1">
      <alignment horizontal="center" vertical="center"/>
    </xf>
    <xf numFmtId="0" fontId="39" fillId="0" borderId="35" xfId="90" applyFont="1" applyBorder="1" applyAlignment="1">
      <alignment horizontal="center" vertical="center"/>
    </xf>
    <xf numFmtId="189" fontId="39" fillId="0" borderId="71" xfId="67" applyNumberFormat="1" applyFont="1" applyBorder="1" applyAlignment="1">
      <alignment vertical="center"/>
    </xf>
    <xf numFmtId="43" fontId="6" fillId="0" borderId="33" xfId="67" applyFont="1" applyBorder="1" applyAlignment="1">
      <alignment horizontal="center" vertical="center"/>
    </xf>
    <xf numFmtId="43" fontId="76" fillId="0" borderId="50" xfId="67" quotePrefix="1" applyFont="1" applyBorder="1" applyAlignment="1">
      <alignment horizontal="left" vertical="center"/>
    </xf>
    <xf numFmtId="189" fontId="36" fillId="0" borderId="0" xfId="67" applyNumberFormat="1" applyFont="1" applyAlignment="1">
      <alignment vertical="center"/>
    </xf>
    <xf numFmtId="189" fontId="39" fillId="0" borderId="0" xfId="67" applyNumberFormat="1" applyFont="1" applyAlignment="1">
      <alignment vertical="center"/>
    </xf>
    <xf numFmtId="189" fontId="6" fillId="0" borderId="71" xfId="67" applyNumberFormat="1" applyFont="1" applyBorder="1" applyAlignment="1">
      <alignment vertical="center"/>
    </xf>
    <xf numFmtId="0" fontId="36" fillId="0" borderId="11" xfId="90" applyFont="1" applyBorder="1" applyAlignment="1">
      <alignment horizontal="center" vertical="center"/>
    </xf>
    <xf numFmtId="187" fontId="43" fillId="0" borderId="4" xfId="91" applyFont="1" applyBorder="1" applyAlignment="1">
      <alignment horizontal="center" vertical="center"/>
    </xf>
    <xf numFmtId="0" fontId="43" fillId="0" borderId="4" xfId="9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9" fillId="0" borderId="0" xfId="0" applyFont="1" applyAlignment="1">
      <alignment vertical="center"/>
    </xf>
    <xf numFmtId="0" fontId="72" fillId="0" borderId="81" xfId="90" applyFont="1" applyBorder="1" applyAlignment="1">
      <alignment horizontal="center" vertical="center"/>
    </xf>
    <xf numFmtId="0" fontId="72" fillId="0" borderId="81" xfId="90" applyFont="1" applyBorder="1" applyAlignment="1">
      <alignment vertical="center"/>
    </xf>
    <xf numFmtId="187" fontId="72" fillId="0" borderId="81" xfId="91" applyFont="1" applyBorder="1" applyAlignment="1">
      <alignment vertical="center"/>
    </xf>
    <xf numFmtId="0" fontId="72" fillId="0" borderId="81" xfId="90" applyFont="1" applyBorder="1" applyAlignment="1">
      <alignment horizontal="right" vertical="center"/>
    </xf>
    <xf numFmtId="0" fontId="77" fillId="0" borderId="80" xfId="0" applyFont="1" applyBorder="1" applyAlignment="1">
      <alignment horizontal="center"/>
    </xf>
    <xf numFmtId="0" fontId="77" fillId="0" borderId="65" xfId="0" applyFont="1" applyBorder="1"/>
    <xf numFmtId="0" fontId="17" fillId="0" borderId="73" xfId="0" applyFont="1" applyBorder="1" applyAlignment="1">
      <alignment horizontal="center"/>
    </xf>
    <xf numFmtId="0" fontId="17" fillId="0" borderId="79" xfId="0" applyFont="1" applyBorder="1"/>
    <xf numFmtId="0" fontId="17" fillId="0" borderId="80" xfId="0" applyFont="1" applyBorder="1"/>
    <xf numFmtId="43" fontId="17" fillId="0" borderId="73" xfId="67" applyFont="1" applyBorder="1" applyAlignment="1">
      <alignment shrinkToFit="1"/>
    </xf>
    <xf numFmtId="0" fontId="17" fillId="0" borderId="73" xfId="0" applyFont="1" applyBorder="1"/>
    <xf numFmtId="0" fontId="80" fillId="0" borderId="73" xfId="0" applyFont="1" applyBorder="1"/>
    <xf numFmtId="0" fontId="17" fillId="0" borderId="80" xfId="0" applyFont="1" applyBorder="1" applyAlignment="1">
      <alignment horizontal="center"/>
    </xf>
    <xf numFmtId="0" fontId="75" fillId="0" borderId="74" xfId="90" applyFont="1" applyBorder="1" applyAlignment="1">
      <alignment vertical="center"/>
    </xf>
    <xf numFmtId="0" fontId="75" fillId="0" borderId="71" xfId="90" applyFont="1" applyBorder="1" applyAlignment="1">
      <alignment horizontal="center" vertical="center"/>
    </xf>
    <xf numFmtId="189" fontId="75" fillId="0" borderId="71" xfId="67" applyNumberFormat="1" applyFont="1" applyBorder="1" applyAlignment="1">
      <alignment vertical="center"/>
    </xf>
    <xf numFmtId="0" fontId="75" fillId="0" borderId="71" xfId="90" applyFont="1" applyBorder="1" applyAlignment="1">
      <alignment vertical="center"/>
    </xf>
    <xf numFmtId="0" fontId="17" fillId="0" borderId="35" xfId="0" applyFont="1" applyBorder="1"/>
    <xf numFmtId="0" fontId="17" fillId="0" borderId="53" xfId="0" applyFont="1" applyBorder="1"/>
    <xf numFmtId="0" fontId="17" fillId="0" borderId="65" xfId="0" applyFont="1" applyBorder="1"/>
    <xf numFmtId="43" fontId="17" fillId="0" borderId="35" xfId="67" applyFont="1" applyBorder="1" applyAlignment="1">
      <alignment shrinkToFit="1"/>
    </xf>
    <xf numFmtId="0" fontId="17" fillId="0" borderId="35" xfId="0" applyFont="1" applyBorder="1" applyAlignment="1">
      <alignment horizontal="center"/>
    </xf>
    <xf numFmtId="43" fontId="80" fillId="0" borderId="35" xfId="0" applyNumberFormat="1" applyFont="1" applyBorder="1"/>
    <xf numFmtId="43" fontId="17" fillId="0" borderId="65" xfId="67" applyFont="1" applyBorder="1" applyAlignment="1"/>
    <xf numFmtId="0" fontId="1" fillId="0" borderId="53" xfId="0" applyFont="1" applyBorder="1"/>
    <xf numFmtId="0" fontId="1" fillId="0" borderId="78" xfId="0" applyFont="1" applyBorder="1"/>
    <xf numFmtId="0" fontId="17" fillId="0" borderId="77" xfId="0" applyFont="1" applyBorder="1"/>
    <xf numFmtId="43" fontId="17" fillId="0" borderId="75" xfId="67" applyFont="1" applyBorder="1" applyAlignment="1">
      <alignment shrinkToFit="1"/>
    </xf>
    <xf numFmtId="0" fontId="17" fillId="0" borderId="75" xfId="0" applyFont="1" applyBorder="1" applyAlignment="1">
      <alignment horizontal="center"/>
    </xf>
    <xf numFmtId="190" fontId="80" fillId="0" borderId="75" xfId="67" applyNumberFormat="1" applyFont="1" applyBorder="1"/>
    <xf numFmtId="43" fontId="17" fillId="0" borderId="77" xfId="67" applyFont="1" applyBorder="1" applyAlignment="1"/>
    <xf numFmtId="0" fontId="17" fillId="0" borderId="75" xfId="0" applyFont="1" applyBorder="1"/>
    <xf numFmtId="43" fontId="17" fillId="0" borderId="10" xfId="67" applyFont="1" applyBorder="1" applyAlignment="1">
      <alignment shrinkToFit="1"/>
    </xf>
    <xf numFmtId="0" fontId="17" fillId="0" borderId="10" xfId="0" applyFont="1" applyBorder="1" applyAlignment="1">
      <alignment horizontal="center"/>
    </xf>
    <xf numFmtId="0" fontId="80" fillId="0" borderId="10" xfId="0" applyFont="1" applyBorder="1" applyAlignment="1">
      <alignment horizontal="center"/>
    </xf>
    <xf numFmtId="189" fontId="17" fillId="0" borderId="10" xfId="67" applyNumberFormat="1" applyFont="1" applyBorder="1" applyAlignment="1"/>
    <xf numFmtId="0" fontId="17" fillId="0" borderId="31" xfId="0" applyFont="1" applyBorder="1"/>
    <xf numFmtId="0" fontId="75" fillId="0" borderId="82" xfId="90" applyFont="1" applyBorder="1" applyAlignment="1">
      <alignment horizontal="center" vertical="center"/>
    </xf>
    <xf numFmtId="0" fontId="75" fillId="0" borderId="82" xfId="90" applyFont="1" applyBorder="1" applyAlignment="1">
      <alignment vertical="center"/>
    </xf>
    <xf numFmtId="187" fontId="75" fillId="0" borderId="82" xfId="91" applyFont="1" applyBorder="1" applyAlignment="1">
      <alignment vertical="center"/>
    </xf>
    <xf numFmtId="0" fontId="75" fillId="0" borderId="82" xfId="90" applyFont="1" applyBorder="1" applyAlignment="1">
      <alignment horizontal="right" vertical="center"/>
    </xf>
    <xf numFmtId="0" fontId="81" fillId="0" borderId="73" xfId="0" applyFont="1" applyBorder="1" applyAlignment="1">
      <alignment horizontal="center" vertical="center"/>
    </xf>
    <xf numFmtId="0" fontId="81" fillId="0" borderId="79" xfId="0" applyFont="1" applyBorder="1" applyAlignment="1">
      <alignment vertical="center"/>
    </xf>
    <xf numFmtId="0" fontId="81" fillId="0" borderId="80" xfId="0" applyFont="1" applyBorder="1" applyAlignment="1">
      <alignment vertical="center"/>
    </xf>
    <xf numFmtId="0" fontId="81" fillId="0" borderId="73" xfId="0" applyFont="1" applyBorder="1" applyAlignment="1">
      <alignment vertical="center"/>
    </xf>
    <xf numFmtId="0" fontId="81" fillId="0" borderId="0" xfId="0" applyFont="1" applyAlignment="1">
      <alignment vertical="center"/>
    </xf>
    <xf numFmtId="0" fontId="81" fillId="0" borderId="35" xfId="0" applyFont="1" applyBorder="1" applyAlignment="1">
      <alignment vertical="center"/>
    </xf>
    <xf numFmtId="0" fontId="81" fillId="0" borderId="53" xfId="0" applyFont="1" applyBorder="1" applyAlignment="1">
      <alignment vertical="center"/>
    </xf>
    <xf numFmtId="0" fontId="81" fillId="0" borderId="30" xfId="0" applyFont="1" applyBorder="1" applyAlignment="1">
      <alignment vertical="center"/>
    </xf>
    <xf numFmtId="43" fontId="81" fillId="0" borderId="35" xfId="67" applyFont="1" applyBorder="1" applyAlignment="1">
      <alignment vertical="center"/>
    </xf>
    <xf numFmtId="0" fontId="81" fillId="0" borderId="35" xfId="0" applyFont="1" applyBorder="1" applyAlignment="1">
      <alignment horizontal="center" vertical="center"/>
    </xf>
    <xf numFmtId="43" fontId="81" fillId="0" borderId="35" xfId="0" applyNumberFormat="1" applyFont="1" applyBorder="1" applyAlignment="1">
      <alignment vertical="center"/>
    </xf>
    <xf numFmtId="0" fontId="81" fillId="0" borderId="75" xfId="0" applyFont="1" applyBorder="1" applyAlignment="1">
      <alignment vertical="center"/>
    </xf>
    <xf numFmtId="189" fontId="81" fillId="0" borderId="75" xfId="67" applyNumberFormat="1" applyFont="1" applyBorder="1" applyAlignment="1">
      <alignment vertical="center"/>
    </xf>
    <xf numFmtId="0" fontId="81" fillId="0" borderId="75" xfId="0" applyFont="1" applyBorder="1" applyAlignment="1">
      <alignment horizontal="center" vertical="center"/>
    </xf>
    <xf numFmtId="0" fontId="78" fillId="0" borderId="73" xfId="0" applyFont="1" applyBorder="1" applyAlignment="1">
      <alignment horizontal="center"/>
    </xf>
    <xf numFmtId="0" fontId="78" fillId="0" borderId="80" xfId="0" applyFont="1" applyBorder="1"/>
    <xf numFmtId="43" fontId="78" fillId="0" borderId="73" xfId="67" applyFont="1" applyBorder="1" applyAlignment="1">
      <alignment shrinkToFit="1"/>
    </xf>
    <xf numFmtId="0" fontId="78" fillId="0" borderId="73" xfId="0" applyFont="1" applyBorder="1"/>
    <xf numFmtId="0" fontId="78" fillId="0" borderId="80" xfId="0" applyFont="1" applyBorder="1" applyAlignment="1">
      <alignment horizontal="center"/>
    </xf>
    <xf numFmtId="43" fontId="78" fillId="0" borderId="0" xfId="67" applyFont="1" applyAlignment="1">
      <alignment vertical="center"/>
    </xf>
    <xf numFmtId="0" fontId="78" fillId="0" borderId="35" xfId="0" applyFont="1" applyBorder="1"/>
    <xf numFmtId="0" fontId="78" fillId="0" borderId="65" xfId="0" applyFont="1" applyBorder="1"/>
    <xf numFmtId="43" fontId="78" fillId="0" borderId="35" xfId="67" applyFont="1" applyBorder="1" applyAlignment="1">
      <alignment shrinkToFit="1"/>
    </xf>
    <xf numFmtId="0" fontId="78" fillId="0" borderId="35" xfId="0" applyFont="1" applyBorder="1" applyAlignment="1">
      <alignment horizontal="center"/>
    </xf>
    <xf numFmtId="43" fontId="78" fillId="0" borderId="35" xfId="0" applyNumberFormat="1" applyFont="1" applyBorder="1"/>
    <xf numFmtId="43" fontId="78" fillId="0" borderId="65" xfId="67" applyFont="1" applyBorder="1" applyAlignment="1"/>
    <xf numFmtId="0" fontId="78" fillId="0" borderId="0" xfId="0" applyFont="1"/>
    <xf numFmtId="0" fontId="78" fillId="0" borderId="66" xfId="0" applyFont="1" applyBorder="1"/>
    <xf numFmtId="43" fontId="78" fillId="0" borderId="35" xfId="67" applyFont="1" applyBorder="1"/>
    <xf numFmtId="12" fontId="78" fillId="0" borderId="0" xfId="67" applyNumberFormat="1" applyFont="1" applyAlignment="1">
      <alignment vertical="center"/>
    </xf>
    <xf numFmtId="0" fontId="78" fillId="0" borderId="75" xfId="0" applyFont="1" applyBorder="1"/>
    <xf numFmtId="43" fontId="78" fillId="0" borderId="75" xfId="67" applyFont="1" applyBorder="1" applyAlignment="1">
      <alignment shrinkToFit="1"/>
    </xf>
    <xf numFmtId="0" fontId="78" fillId="0" borderId="75" xfId="0" applyFont="1" applyBorder="1" applyAlignment="1">
      <alignment horizontal="center"/>
    </xf>
    <xf numFmtId="189" fontId="78" fillId="0" borderId="77" xfId="67" applyNumberFormat="1" applyFont="1" applyBorder="1" applyAlignment="1"/>
    <xf numFmtId="0" fontId="78" fillId="0" borderId="77" xfId="0" applyFont="1" applyBorder="1"/>
    <xf numFmtId="0" fontId="78" fillId="0" borderId="83" xfId="0" applyFont="1" applyBorder="1"/>
    <xf numFmtId="0" fontId="78" fillId="0" borderId="79" xfId="0" applyFont="1" applyBorder="1"/>
    <xf numFmtId="43" fontId="78" fillId="0" borderId="73" xfId="0" applyNumberFormat="1" applyFont="1" applyBorder="1"/>
    <xf numFmtId="43" fontId="78" fillId="0" borderId="80" xfId="67" applyFont="1" applyBorder="1" applyAlignment="1"/>
    <xf numFmtId="43" fontId="75" fillId="0" borderId="0" xfId="67" applyFont="1" applyAlignment="1">
      <alignment vertical="center"/>
    </xf>
    <xf numFmtId="0" fontId="78" fillId="0" borderId="53" xfId="0" applyFont="1" applyBorder="1"/>
    <xf numFmtId="0" fontId="78" fillId="0" borderId="65" xfId="0" applyFont="1" applyBorder="1" applyAlignment="1">
      <alignment horizontal="center"/>
    </xf>
    <xf numFmtId="0" fontId="78" fillId="0" borderId="78" xfId="0" applyFont="1" applyBorder="1"/>
    <xf numFmtId="1" fontId="78" fillId="0" borderId="73" xfId="0" applyNumberFormat="1" applyFont="1" applyBorder="1" applyAlignment="1">
      <alignment horizontal="center"/>
    </xf>
    <xf numFmtId="43" fontId="76" fillId="0" borderId="53" xfId="67" applyFont="1" applyBorder="1" applyAlignment="1">
      <alignment horizontal="left" vertical="center"/>
    </xf>
    <xf numFmtId="43" fontId="36" fillId="0" borderId="53" xfId="67" applyFont="1" applyBorder="1" applyAlignment="1">
      <alignment horizontal="left" vertical="center"/>
    </xf>
    <xf numFmtId="189" fontId="36" fillId="0" borderId="84" xfId="67" applyNumberFormat="1" applyFont="1" applyBorder="1" applyAlignment="1">
      <alignment horizontal="center" vertical="center"/>
    </xf>
    <xf numFmtId="43" fontId="36" fillId="0" borderId="71" xfId="67" applyFont="1" applyBorder="1" applyAlignment="1">
      <alignment vertical="center"/>
    </xf>
    <xf numFmtId="209" fontId="36" fillId="0" borderId="71" xfId="90" applyNumberFormat="1" applyFont="1" applyBorder="1" applyAlignment="1">
      <alignment vertical="center"/>
    </xf>
    <xf numFmtId="43" fontId="36" fillId="0" borderId="71" xfId="90" applyNumberFormat="1" applyFont="1" applyBorder="1" applyAlignment="1">
      <alignment vertical="center"/>
    </xf>
    <xf numFmtId="43" fontId="36" fillId="0" borderId="0" xfId="67" applyFont="1" applyAlignment="1">
      <alignment horizontal="center" vertical="center"/>
    </xf>
    <xf numFmtId="43" fontId="36" fillId="0" borderId="0" xfId="67" applyFont="1" applyAlignment="1">
      <alignment vertical="center"/>
    </xf>
    <xf numFmtId="189" fontId="40" fillId="0" borderId="33" xfId="67" applyNumberFormat="1" applyFont="1" applyBorder="1" applyAlignment="1">
      <alignment horizontal="center" vertical="center"/>
    </xf>
    <xf numFmtId="43" fontId="36" fillId="0" borderId="50" xfId="67" quotePrefix="1" applyFont="1" applyBorder="1" applyAlignment="1">
      <alignment horizontal="left" vertical="center"/>
    </xf>
    <xf numFmtId="43" fontId="83" fillId="0" borderId="35" xfId="67" applyFont="1" applyFill="1" applyBorder="1" applyAlignment="1">
      <alignment horizontal="center" vertical="center"/>
    </xf>
    <xf numFmtId="189" fontId="36" fillId="0" borderId="71" xfId="90" applyNumberFormat="1" applyFont="1" applyBorder="1" applyAlignment="1">
      <alignment vertical="center"/>
    </xf>
    <xf numFmtId="1" fontId="36" fillId="0" borderId="71" xfId="90" applyNumberFormat="1" applyFont="1" applyBorder="1" applyAlignment="1">
      <alignment vertical="center"/>
    </xf>
    <xf numFmtId="189" fontId="36" fillId="0" borderId="71" xfId="67" applyNumberFormat="1" applyFont="1" applyFill="1" applyBorder="1" applyAlignment="1">
      <alignment vertical="center"/>
    </xf>
    <xf numFmtId="0" fontId="36" fillId="0" borderId="0" xfId="0" applyFont="1" applyAlignment="1" applyProtection="1">
      <alignment horizontal="center" vertical="center"/>
      <protection hidden="1"/>
    </xf>
    <xf numFmtId="187" fontId="36" fillId="0" borderId="73" xfId="84" applyNumberFormat="1" applyFont="1" applyBorder="1"/>
    <xf numFmtId="187" fontId="36" fillId="0" borderId="35" xfId="84" applyNumberFormat="1" applyFont="1" applyBorder="1"/>
    <xf numFmtId="187" fontId="36" fillId="0" borderId="75" xfId="84" applyNumberFormat="1" applyFont="1" applyBorder="1"/>
    <xf numFmtId="187" fontId="40" fillId="0" borderId="9" xfId="84" applyNumberFormat="1" applyFont="1" applyBorder="1"/>
    <xf numFmtId="187" fontId="36" fillId="6" borderId="73" xfId="84" applyNumberFormat="1" applyFont="1" applyFill="1" applyBorder="1"/>
    <xf numFmtId="187" fontId="36" fillId="6" borderId="35" xfId="84" applyNumberFormat="1" applyFont="1" applyFill="1" applyBorder="1"/>
    <xf numFmtId="187" fontId="36" fillId="6" borderId="75" xfId="84" applyNumberFormat="1" applyFont="1" applyFill="1" applyBorder="1"/>
    <xf numFmtId="187" fontId="36" fillId="6" borderId="33" xfId="84" applyNumberFormat="1" applyFont="1" applyFill="1" applyBorder="1"/>
    <xf numFmtId="0" fontId="36" fillId="0" borderId="34" xfId="90" applyFont="1" applyBorder="1" applyAlignment="1">
      <alignment vertical="center"/>
    </xf>
    <xf numFmtId="43" fontId="36" fillId="0" borderId="34" xfId="67" applyFont="1" applyBorder="1" applyAlignment="1">
      <alignment vertical="center"/>
    </xf>
    <xf numFmtId="0" fontId="36" fillId="0" borderId="34" xfId="90" applyFont="1" applyBorder="1" applyAlignment="1">
      <alignment horizontal="center" vertical="center"/>
    </xf>
    <xf numFmtId="0" fontId="36" fillId="0" borderId="34" xfId="90" applyFont="1" applyBorder="1" applyAlignment="1">
      <alignment horizontal="right" vertical="center"/>
    </xf>
    <xf numFmtId="0" fontId="36" fillId="0" borderId="66" xfId="90" applyFont="1" applyBorder="1" applyAlignment="1">
      <alignment vertical="center"/>
    </xf>
    <xf numFmtId="43" fontId="36" fillId="0" borderId="66" xfId="67" applyFont="1" applyBorder="1" applyAlignment="1">
      <alignment vertical="center"/>
    </xf>
    <xf numFmtId="43" fontId="36" fillId="0" borderId="66" xfId="67" applyFont="1" applyBorder="1" applyAlignment="1">
      <alignment horizontal="center" vertical="center"/>
    </xf>
    <xf numFmtId="0" fontId="36" fillId="0" borderId="66" xfId="90" applyFont="1" applyBorder="1" applyAlignment="1">
      <alignment horizontal="center" vertical="center"/>
    </xf>
    <xf numFmtId="0" fontId="36" fillId="0" borderId="66" xfId="90" applyFont="1" applyBorder="1" applyAlignment="1">
      <alignment horizontal="right" vertical="center"/>
    </xf>
    <xf numFmtId="15" fontId="36" fillId="0" borderId="66" xfId="67" applyNumberFormat="1" applyFont="1" applyBorder="1" applyAlignment="1">
      <alignment horizontal="left" vertical="center"/>
    </xf>
    <xf numFmtId="0" fontId="36" fillId="0" borderId="66" xfId="90" applyFont="1" applyBorder="1" applyAlignment="1">
      <alignment horizontal="left" vertical="center"/>
    </xf>
    <xf numFmtId="15" fontId="36" fillId="0" borderId="66" xfId="67" applyNumberFormat="1" applyFont="1" applyBorder="1" applyAlignment="1">
      <alignment vertical="center"/>
    </xf>
    <xf numFmtId="188" fontId="36" fillId="6" borderId="66" xfId="84" applyNumberFormat="1" applyFont="1" applyFill="1" applyBorder="1" applyAlignment="1"/>
    <xf numFmtId="188" fontId="36" fillId="6" borderId="66" xfId="84" applyNumberFormat="1" applyFont="1" applyFill="1" applyBorder="1"/>
    <xf numFmtId="188" fontId="36" fillId="6" borderId="66" xfId="84" applyNumberFormat="1" applyFont="1" applyFill="1" applyBorder="1" applyAlignment="1">
      <alignment horizontal="left"/>
    </xf>
    <xf numFmtId="188" fontId="36" fillId="6" borderId="86" xfId="84" applyNumberFormat="1" applyFont="1" applyFill="1" applyBorder="1" applyAlignment="1">
      <alignment horizontal="left"/>
    </xf>
    <xf numFmtId="188" fontId="36" fillId="6" borderId="86" xfId="84" applyNumberFormat="1" applyFont="1" applyFill="1" applyBorder="1"/>
    <xf numFmtId="188" fontId="36" fillId="15" borderId="87" xfId="84" applyNumberFormat="1" applyFont="1" applyFill="1" applyBorder="1"/>
    <xf numFmtId="0" fontId="36" fillId="0" borderId="87" xfId="83" applyFont="1" applyBorder="1"/>
    <xf numFmtId="0" fontId="85" fillId="0" borderId="0" xfId="94" applyFont="1" applyAlignment="1">
      <alignment vertical="center"/>
    </xf>
    <xf numFmtId="1" fontId="86" fillId="0" borderId="0" xfId="94" applyNumberFormat="1" applyFont="1" applyAlignment="1">
      <alignment vertical="center"/>
    </xf>
    <xf numFmtId="0" fontId="86" fillId="0" borderId="0" xfId="94" applyFont="1" applyAlignment="1">
      <alignment vertical="center"/>
    </xf>
    <xf numFmtId="0" fontId="36" fillId="0" borderId="0" xfId="94" applyFont="1" applyAlignment="1">
      <alignment vertical="center"/>
    </xf>
    <xf numFmtId="0" fontId="87" fillId="0" borderId="0" xfId="94" applyFont="1" applyAlignment="1">
      <alignment horizontal="center" vertical="center"/>
    </xf>
    <xf numFmtId="0" fontId="88" fillId="0" borderId="0" xfId="94" applyFont="1" applyAlignment="1">
      <alignment horizontal="center" vertical="center"/>
    </xf>
    <xf numFmtId="3" fontId="88" fillId="0" borderId="0" xfId="94" applyNumberFormat="1" applyFont="1" applyAlignment="1">
      <alignment horizontal="right" vertical="center"/>
    </xf>
    <xf numFmtId="0" fontId="36" fillId="0" borderId="0" xfId="0" applyFont="1" applyAlignment="1" applyProtection="1">
      <alignment vertical="center"/>
      <protection hidden="1"/>
    </xf>
    <xf numFmtId="0" fontId="36" fillId="0" borderId="0" xfId="85" applyFont="1" applyAlignment="1">
      <alignment vertical="center"/>
    </xf>
    <xf numFmtId="0" fontId="39" fillId="0" borderId="0" xfId="0" applyFont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39" fillId="0" borderId="0" xfId="85" applyFont="1" applyAlignment="1">
      <alignment vertical="center"/>
    </xf>
    <xf numFmtId="187" fontId="71" fillId="0" borderId="50" xfId="95" applyNumberFormat="1" applyFont="1" applyFill="1" applyBorder="1"/>
    <xf numFmtId="187" fontId="71" fillId="0" borderId="34" xfId="95" applyNumberFormat="1" applyFont="1" applyFill="1" applyBorder="1"/>
    <xf numFmtId="187" fontId="71" fillId="0" borderId="30" xfId="95" applyNumberFormat="1" applyFont="1" applyFill="1" applyBorder="1"/>
    <xf numFmtId="0" fontId="71" fillId="0" borderId="79" xfId="96" applyFont="1" applyBorder="1"/>
    <xf numFmtId="9" fontId="71" fillId="0" borderId="80" xfId="96" applyNumberFormat="1" applyFont="1" applyBorder="1" applyAlignment="1">
      <alignment horizontal="center"/>
    </xf>
    <xf numFmtId="187" fontId="71" fillId="0" borderId="88" xfId="95" applyNumberFormat="1" applyFont="1" applyFill="1" applyBorder="1"/>
    <xf numFmtId="0" fontId="71" fillId="0" borderId="53" xfId="96" applyFont="1" applyBorder="1"/>
    <xf numFmtId="9" fontId="71" fillId="0" borderId="65" xfId="96" applyNumberFormat="1" applyFont="1" applyBorder="1" applyAlignment="1">
      <alignment horizontal="center"/>
    </xf>
    <xf numFmtId="187" fontId="71" fillId="0" borderId="1" xfId="95" applyNumberFormat="1" applyFont="1" applyFill="1" applyBorder="1"/>
    <xf numFmtId="187" fontId="71" fillId="0" borderId="3" xfId="95" applyNumberFormat="1" applyFont="1" applyFill="1" applyBorder="1"/>
    <xf numFmtId="43" fontId="71" fillId="0" borderId="3" xfId="95" applyNumberFormat="1" applyFont="1" applyFill="1" applyBorder="1" applyAlignment="1">
      <alignment horizontal="center"/>
    </xf>
    <xf numFmtId="187" fontId="71" fillId="0" borderId="85" xfId="95" applyNumberFormat="1" applyFont="1" applyFill="1" applyBorder="1"/>
    <xf numFmtId="187" fontId="71" fillId="0" borderId="50" xfId="95" applyNumberFormat="1" applyFont="1" applyFill="1" applyBorder="1" applyAlignment="1">
      <alignment horizontal="right" vertical="center"/>
    </xf>
    <xf numFmtId="0" fontId="71" fillId="0" borderId="78" xfId="96" applyFont="1" applyBorder="1"/>
    <xf numFmtId="9" fontId="71" fillId="0" borderId="77" xfId="96" applyNumberFormat="1" applyFont="1" applyBorder="1" applyAlignment="1">
      <alignment horizontal="center"/>
    </xf>
    <xf numFmtId="187" fontId="71" fillId="0" borderId="53" xfId="95" applyNumberFormat="1" applyFont="1" applyFill="1" applyBorder="1" applyAlignment="1">
      <alignment horizontal="right"/>
    </xf>
    <xf numFmtId="189" fontId="71" fillId="0" borderId="66" xfId="95" applyNumberFormat="1" applyFont="1" applyFill="1" applyBorder="1" applyProtection="1">
      <protection hidden="1"/>
    </xf>
    <xf numFmtId="187" fontId="71" fillId="0" borderId="66" xfId="95" applyNumberFormat="1" applyFont="1" applyFill="1" applyBorder="1"/>
    <xf numFmtId="187" fontId="71" fillId="0" borderId="65" xfId="95" applyNumberFormat="1" applyFont="1" applyFill="1" applyBorder="1"/>
    <xf numFmtId="0" fontId="71" fillId="0" borderId="73" xfId="96" applyFont="1" applyBorder="1" applyAlignment="1">
      <alignment horizontal="center"/>
    </xf>
    <xf numFmtId="43" fontId="71" fillId="0" borderId="66" xfId="95" applyNumberFormat="1" applyFont="1" applyFill="1" applyBorder="1"/>
    <xf numFmtId="0" fontId="71" fillId="0" borderId="75" xfId="96" applyFont="1" applyBorder="1" applyAlignment="1">
      <alignment horizontal="center"/>
    </xf>
    <xf numFmtId="189" fontId="71" fillId="0" borderId="66" xfId="95" applyNumberFormat="1" applyFont="1" applyFill="1" applyBorder="1"/>
    <xf numFmtId="190" fontId="71" fillId="0" borderId="66" xfId="95" applyNumberFormat="1" applyFont="1" applyFill="1" applyBorder="1"/>
    <xf numFmtId="189" fontId="71" fillId="18" borderId="35" xfId="95" applyNumberFormat="1" applyFont="1" applyFill="1" applyBorder="1"/>
    <xf numFmtId="210" fontId="71" fillId="18" borderId="65" xfId="96" applyNumberFormat="1" applyFont="1" applyFill="1" applyBorder="1" applyAlignment="1">
      <alignment horizontal="center"/>
    </xf>
    <xf numFmtId="187" fontId="71" fillId="0" borderId="55" xfId="95" applyNumberFormat="1" applyFont="1" applyFill="1" applyBorder="1" applyAlignment="1">
      <alignment horizontal="right"/>
    </xf>
    <xf numFmtId="190" fontId="71" fillId="0" borderId="87" xfId="95" applyNumberFormat="1" applyFont="1" applyFill="1" applyBorder="1"/>
    <xf numFmtId="187" fontId="71" fillId="0" borderId="87" xfId="95" applyNumberFormat="1" applyFont="1" applyFill="1" applyBorder="1"/>
    <xf numFmtId="189" fontId="71" fillId="0" borderId="35" xfId="95" applyNumberFormat="1" applyFont="1" applyFill="1" applyBorder="1"/>
    <xf numFmtId="210" fontId="71" fillId="0" borderId="65" xfId="96" applyNumberFormat="1" applyFont="1" applyBorder="1" applyAlignment="1">
      <alignment horizontal="center"/>
    </xf>
    <xf numFmtId="187" fontId="71" fillId="0" borderId="89" xfId="95" applyNumberFormat="1" applyFont="1" applyFill="1" applyBorder="1" applyAlignment="1">
      <alignment horizontal="right"/>
    </xf>
    <xf numFmtId="211" fontId="90" fillId="0" borderId="70" xfId="95" applyNumberFormat="1" applyFont="1" applyFill="1" applyBorder="1"/>
    <xf numFmtId="187" fontId="71" fillId="0" borderId="79" xfId="95" applyNumberFormat="1" applyFont="1" applyFill="1" applyBorder="1"/>
    <xf numFmtId="187" fontId="71" fillId="0" borderId="83" xfId="95" applyNumberFormat="1" applyFont="1" applyFill="1" applyBorder="1"/>
    <xf numFmtId="191" fontId="71" fillId="0" borderId="83" xfId="95" applyNumberFormat="1" applyFont="1" applyFill="1" applyBorder="1"/>
    <xf numFmtId="187" fontId="71" fillId="0" borderId="80" xfId="95" applyNumberFormat="1" applyFont="1" applyFill="1" applyBorder="1"/>
    <xf numFmtId="189" fontId="71" fillId="0" borderId="33" xfId="95" applyNumberFormat="1" applyFont="1" applyFill="1" applyBorder="1"/>
    <xf numFmtId="210" fontId="71" fillId="0" borderId="30" xfId="96" applyNumberFormat="1" applyFont="1" applyBorder="1" applyAlignment="1">
      <alignment horizontal="center"/>
    </xf>
    <xf numFmtId="187" fontId="71" fillId="0" borderId="53" xfId="95" applyNumberFormat="1" applyFont="1" applyFill="1" applyBorder="1" applyAlignment="1"/>
    <xf numFmtId="187" fontId="71" fillId="0" borderId="66" xfId="95" applyNumberFormat="1" applyFont="1" applyFill="1" applyBorder="1" applyAlignment="1"/>
    <xf numFmtId="187" fontId="71" fillId="0" borderId="65" xfId="95" applyNumberFormat="1" applyFont="1" applyFill="1" applyBorder="1" applyAlignment="1"/>
    <xf numFmtId="187" fontId="71" fillId="0" borderId="53" xfId="95" applyNumberFormat="1" applyFont="1" applyFill="1" applyBorder="1"/>
    <xf numFmtId="210" fontId="91" fillId="0" borderId="65" xfId="96" applyNumberFormat="1" applyFont="1" applyBorder="1" applyAlignment="1">
      <alignment horizontal="center"/>
    </xf>
    <xf numFmtId="191" fontId="71" fillId="0" borderId="66" xfId="95" applyNumberFormat="1" applyFont="1" applyFill="1" applyBorder="1"/>
    <xf numFmtId="191" fontId="71" fillId="0" borderId="65" xfId="95" applyNumberFormat="1" applyFont="1" applyFill="1" applyBorder="1"/>
    <xf numFmtId="189" fontId="71" fillId="0" borderId="65" xfId="95" applyNumberFormat="1" applyFont="1" applyFill="1" applyBorder="1"/>
    <xf numFmtId="187" fontId="71" fillId="0" borderId="78" xfId="95" applyNumberFormat="1" applyFont="1" applyFill="1" applyBorder="1"/>
    <xf numFmtId="187" fontId="71" fillId="0" borderId="86" xfId="95" applyNumberFormat="1" applyFont="1" applyFill="1" applyBorder="1"/>
    <xf numFmtId="187" fontId="71" fillId="0" borderId="77" xfId="95" applyNumberFormat="1" applyFont="1" applyFill="1" applyBorder="1"/>
    <xf numFmtId="189" fontId="71" fillId="0" borderId="75" xfId="95" applyNumberFormat="1" applyFont="1" applyFill="1" applyBorder="1" applyAlignment="1">
      <alignment horizontal="right"/>
    </xf>
    <xf numFmtId="210" fontId="91" fillId="0" borderId="77" xfId="96" applyNumberFormat="1" applyFont="1" applyBorder="1" applyAlignment="1">
      <alignment horizontal="center"/>
    </xf>
    <xf numFmtId="0" fontId="73" fillId="0" borderId="71" xfId="90" quotePrefix="1" applyFont="1" applyBorder="1" applyAlignment="1">
      <alignment horizontal="center" vertical="center"/>
    </xf>
    <xf numFmtId="0" fontId="92" fillId="0" borderId="33" xfId="90" applyFont="1" applyBorder="1" applyAlignment="1">
      <alignment horizontal="center" vertical="center"/>
    </xf>
    <xf numFmtId="43" fontId="39" fillId="0" borderId="33" xfId="67" applyFont="1" applyBorder="1" applyAlignment="1">
      <alignment vertical="center"/>
    </xf>
    <xf numFmtId="43" fontId="39" fillId="0" borderId="50" xfId="67" quotePrefix="1" applyFont="1" applyBorder="1" applyAlignment="1">
      <alignment horizontal="left" vertical="center"/>
    </xf>
    <xf numFmtId="207" fontId="39" fillId="0" borderId="36" xfId="67" applyNumberFormat="1" applyFont="1" applyFill="1" applyBorder="1" applyAlignment="1">
      <alignment horizontal="centerContinuous" vertical="center"/>
    </xf>
    <xf numFmtId="43" fontId="39" fillId="17" borderId="36" xfId="67" applyFont="1" applyFill="1" applyBorder="1" applyAlignment="1">
      <alignment vertical="center"/>
    </xf>
    <xf numFmtId="43" fontId="39" fillId="0" borderId="36" xfId="67" applyFont="1" applyFill="1" applyBorder="1" applyAlignment="1">
      <alignment vertical="center"/>
    </xf>
    <xf numFmtId="43" fontId="39" fillId="0" borderId="36" xfId="67" applyFont="1" applyFill="1" applyBorder="1" applyAlignment="1">
      <alignment horizontal="center" vertical="center"/>
    </xf>
    <xf numFmtId="43" fontId="73" fillId="0" borderId="71" xfId="90" applyNumberFormat="1" applyFont="1" applyBorder="1" applyAlignment="1">
      <alignment vertical="center"/>
    </xf>
    <xf numFmtId="43" fontId="6" fillId="0" borderId="71" xfId="90" applyNumberFormat="1" applyFont="1" applyBorder="1" applyAlignment="1">
      <alignment vertical="center"/>
    </xf>
    <xf numFmtId="43" fontId="44" fillId="0" borderId="71" xfId="90" applyNumberFormat="1" applyFont="1" applyBorder="1" applyAlignment="1">
      <alignment vertical="center"/>
    </xf>
    <xf numFmtId="189" fontId="92" fillId="0" borderId="33" xfId="67" applyNumberFormat="1" applyFont="1" applyBorder="1" applyAlignment="1">
      <alignment horizontal="center" vertical="center"/>
    </xf>
    <xf numFmtId="43" fontId="39" fillId="0" borderId="0" xfId="67" applyFont="1" applyAlignment="1">
      <alignment vertical="center"/>
    </xf>
    <xf numFmtId="209" fontId="6" fillId="0" borderId="71" xfId="90" applyNumberFormat="1" applyFont="1" applyBorder="1" applyAlignment="1">
      <alignment vertical="center"/>
    </xf>
    <xf numFmtId="0" fontId="94" fillId="0" borderId="71" xfId="90" quotePrefix="1" applyFont="1" applyBorder="1" applyAlignment="1">
      <alignment horizontal="center" vertical="center"/>
    </xf>
    <xf numFmtId="43" fontId="95" fillId="0" borderId="35" xfId="67" applyFont="1" applyFill="1" applyBorder="1" applyAlignment="1">
      <alignment horizontal="center" vertical="center"/>
    </xf>
    <xf numFmtId="43" fontId="95" fillId="0" borderId="35" xfId="67" applyFont="1" applyFill="1" applyBorder="1" applyAlignment="1">
      <alignment vertical="center"/>
    </xf>
    <xf numFmtId="43" fontId="95" fillId="17" borderId="35" xfId="67" applyFont="1" applyFill="1" applyBorder="1" applyAlignment="1">
      <alignment vertical="center"/>
    </xf>
    <xf numFmtId="0" fontId="96" fillId="0" borderId="71" xfId="90" applyFont="1" applyBorder="1" applyAlignment="1">
      <alignment vertical="center"/>
    </xf>
    <xf numFmtId="0" fontId="94" fillId="0" borderId="71" xfId="90" applyFont="1" applyBorder="1" applyAlignment="1">
      <alignment vertical="center"/>
    </xf>
    <xf numFmtId="43" fontId="94" fillId="0" borderId="71" xfId="90" applyNumberFormat="1" applyFont="1" applyBorder="1" applyAlignment="1">
      <alignment vertical="center"/>
    </xf>
    <xf numFmtId="0" fontId="97" fillId="0" borderId="71" xfId="90" quotePrefix="1" applyFont="1" applyBorder="1" applyAlignment="1">
      <alignment horizontal="center" vertical="center"/>
    </xf>
    <xf numFmtId="43" fontId="97" fillId="0" borderId="71" xfId="90" applyNumberFormat="1" applyFont="1" applyBorder="1" applyAlignment="1">
      <alignment vertical="center"/>
    </xf>
    <xf numFmtId="43" fontId="98" fillId="0" borderId="35" xfId="67" applyFont="1" applyFill="1" applyBorder="1" applyAlignment="1">
      <alignment vertical="center"/>
    </xf>
    <xf numFmtId="43" fontId="98" fillId="0" borderId="53" xfId="67" applyFont="1" applyBorder="1" applyAlignment="1">
      <alignment horizontal="left" vertical="center"/>
    </xf>
    <xf numFmtId="43" fontId="98" fillId="0" borderId="35" xfId="67" applyFont="1" applyFill="1" applyBorder="1" applyAlignment="1">
      <alignment horizontal="center" vertical="center"/>
    </xf>
    <xf numFmtId="43" fontId="98" fillId="17" borderId="35" xfId="67" applyFont="1" applyFill="1" applyBorder="1" applyAlignment="1">
      <alignment vertical="center"/>
    </xf>
    <xf numFmtId="0" fontId="99" fillId="0" borderId="71" xfId="90" applyFont="1" applyBorder="1" applyAlignment="1">
      <alignment vertical="center"/>
    </xf>
    <xf numFmtId="0" fontId="97" fillId="0" borderId="71" xfId="90" applyFont="1" applyBorder="1" applyAlignment="1">
      <alignment vertical="center"/>
    </xf>
    <xf numFmtId="43" fontId="98" fillId="0" borderId="33" xfId="67" applyFont="1" applyFill="1" applyBorder="1" applyAlignment="1">
      <alignment vertical="center"/>
    </xf>
    <xf numFmtId="43" fontId="98" fillId="0" borderId="33" xfId="67" applyFont="1" applyFill="1" applyBorder="1" applyAlignment="1">
      <alignment horizontal="center" vertical="center"/>
    </xf>
    <xf numFmtId="43" fontId="100" fillId="0" borderId="71" xfId="90" applyNumberFormat="1" applyFont="1" applyBorder="1" applyAlignment="1">
      <alignment vertical="center"/>
    </xf>
    <xf numFmtId="0" fontId="100" fillId="0" borderId="71" xfId="90" quotePrefix="1" applyFont="1" applyBorder="1" applyAlignment="1">
      <alignment horizontal="center" vertical="center"/>
    </xf>
    <xf numFmtId="43" fontId="101" fillId="0" borderId="35" xfId="67" applyFont="1" applyFill="1" applyBorder="1" applyAlignment="1">
      <alignment vertical="center"/>
    </xf>
    <xf numFmtId="43" fontId="101" fillId="0" borderId="35" xfId="67" applyFont="1" applyFill="1" applyBorder="1" applyAlignment="1">
      <alignment horizontal="center" vertical="center"/>
    </xf>
    <xf numFmtId="0" fontId="102" fillId="0" borderId="71" xfId="90" applyFont="1" applyBorder="1" applyAlignment="1">
      <alignment vertical="center"/>
    </xf>
    <xf numFmtId="0" fontId="100" fillId="0" borderId="71" xfId="90" applyFont="1" applyBorder="1" applyAlignment="1">
      <alignment vertical="center"/>
    </xf>
    <xf numFmtId="43" fontId="101" fillId="0" borderId="36" xfId="67" applyFont="1" applyFill="1" applyBorder="1" applyAlignment="1">
      <alignment vertical="center"/>
    </xf>
    <xf numFmtId="43" fontId="72" fillId="0" borderId="71" xfId="90" applyNumberFormat="1" applyFont="1" applyBorder="1" applyAlignment="1">
      <alignment vertical="center"/>
    </xf>
    <xf numFmtId="189" fontId="71" fillId="18" borderId="33" xfId="95" applyNumberFormat="1" applyFont="1" applyFill="1" applyBorder="1" applyAlignment="1">
      <alignment horizontal="right"/>
    </xf>
    <xf numFmtId="210" fontId="71" fillId="18" borderId="33" xfId="96" applyNumberFormat="1" applyFont="1" applyFill="1" applyBorder="1" applyAlignment="1">
      <alignment horizontal="center"/>
    </xf>
    <xf numFmtId="0" fontId="11" fillId="8" borderId="16" xfId="78" applyFont="1" applyFill="1" applyBorder="1" applyAlignment="1">
      <alignment horizontal="center"/>
    </xf>
    <xf numFmtId="0" fontId="11" fillId="8" borderId="15" xfId="78" applyFont="1" applyFill="1" applyBorder="1" applyAlignment="1">
      <alignment horizontal="center"/>
    </xf>
    <xf numFmtId="193" fontId="9" fillId="2" borderId="0" xfId="71" applyNumberFormat="1" applyFont="1" applyFill="1" applyBorder="1"/>
    <xf numFmtId="187" fontId="12" fillId="9" borderId="4" xfId="71" applyFont="1" applyFill="1" applyBorder="1" applyProtection="1">
      <protection locked="0"/>
    </xf>
    <xf numFmtId="193" fontId="14" fillId="11" borderId="4" xfId="71" applyNumberFormat="1" applyFont="1" applyFill="1" applyBorder="1"/>
    <xf numFmtId="0" fontId="13" fillId="6" borderId="17" xfId="40" applyFill="1" applyBorder="1" applyAlignment="1" applyProtection="1">
      <alignment horizontal="center"/>
    </xf>
    <xf numFmtId="0" fontId="9" fillId="6" borderId="18" xfId="78" applyFont="1" applyFill="1" applyBorder="1" applyAlignment="1">
      <alignment horizontal="center"/>
    </xf>
    <xf numFmtId="187" fontId="15" fillId="12" borderId="4" xfId="71" applyFont="1" applyFill="1" applyBorder="1"/>
    <xf numFmtId="0" fontId="9" fillId="0" borderId="2" xfId="78" applyFont="1" applyBorder="1"/>
    <xf numFmtId="0" fontId="11" fillId="8" borderId="14" xfId="78" applyFont="1" applyFill="1" applyBorder="1" applyAlignment="1">
      <alignment horizontal="center"/>
    </xf>
    <xf numFmtId="0" fontId="11" fillId="10" borderId="23" xfId="78" applyFont="1" applyFill="1" applyBorder="1" applyAlignment="1">
      <alignment horizontal="center" vertical="center" wrapText="1"/>
    </xf>
    <xf numFmtId="0" fontId="11" fillId="10" borderId="28" xfId="78" applyFont="1" applyFill="1" applyBorder="1" applyAlignment="1">
      <alignment horizontal="center" vertical="center"/>
    </xf>
    <xf numFmtId="0" fontId="11" fillId="10" borderId="24" xfId="78" applyFont="1" applyFill="1" applyBorder="1" applyAlignment="1">
      <alignment horizontal="center" vertical="center" wrapText="1"/>
    </xf>
    <xf numFmtId="0" fontId="11" fillId="10" borderId="24" xfId="78" applyFont="1" applyFill="1" applyBorder="1" applyAlignment="1">
      <alignment horizontal="center" vertical="center"/>
    </xf>
    <xf numFmtId="0" fontId="11" fillId="10" borderId="22" xfId="78" applyFont="1" applyFill="1" applyBorder="1" applyAlignment="1">
      <alignment horizontal="center" vertical="center"/>
    </xf>
    <xf numFmtId="0" fontId="11" fillId="10" borderId="25" xfId="78" applyFont="1" applyFill="1" applyBorder="1" applyAlignment="1">
      <alignment horizontal="center" vertical="center"/>
    </xf>
    <xf numFmtId="0" fontId="11" fillId="10" borderId="29" xfId="78" applyFont="1" applyFill="1" applyBorder="1" applyAlignment="1">
      <alignment horizontal="center" vertical="center"/>
    </xf>
    <xf numFmtId="0" fontId="36" fillId="0" borderId="0" xfId="0" applyFont="1" applyAlignment="1" applyProtection="1">
      <alignment horizontal="center" vertical="center"/>
      <protection hidden="1"/>
    </xf>
    <xf numFmtId="188" fontId="40" fillId="0" borderId="34" xfId="84" applyNumberFormat="1" applyFont="1" applyBorder="1" applyAlignment="1">
      <alignment horizontal="center"/>
    </xf>
    <xf numFmtId="188" fontId="36" fillId="0" borderId="5" xfId="84" applyNumberFormat="1" applyFont="1" applyBorder="1" applyAlignment="1">
      <alignment horizontal="center" vertical="center"/>
    </xf>
    <xf numFmtId="0" fontId="36" fillId="0" borderId="12" xfId="83" applyFont="1" applyBorder="1" applyAlignment="1">
      <alignment horizontal="center" vertical="center"/>
    </xf>
    <xf numFmtId="188" fontId="36" fillId="0" borderId="11" xfId="84" applyNumberFormat="1" applyFont="1" applyBorder="1" applyAlignment="1">
      <alignment horizontal="center" vertical="center"/>
    </xf>
    <xf numFmtId="188" fontId="36" fillId="0" borderId="10" xfId="84" applyNumberFormat="1" applyFont="1" applyBorder="1" applyAlignment="1">
      <alignment horizontal="center" vertical="center"/>
    </xf>
    <xf numFmtId="43" fontId="40" fillId="0" borderId="0" xfId="67" applyFont="1" applyAlignment="1">
      <alignment horizontal="center"/>
    </xf>
    <xf numFmtId="43" fontId="5" fillId="0" borderId="5" xfId="67" applyFont="1" applyBorder="1" applyAlignment="1">
      <alignment horizontal="center" vertical="center"/>
    </xf>
    <xf numFmtId="43" fontId="5" fillId="0" borderId="8" xfId="67" applyFont="1" applyBorder="1" applyAlignment="1">
      <alignment horizontal="center" vertical="center"/>
    </xf>
    <xf numFmtId="43" fontId="5" fillId="0" borderId="6" xfId="67" applyFont="1" applyBorder="1" applyAlignment="1">
      <alignment horizontal="center"/>
    </xf>
    <xf numFmtId="43" fontId="5" fillId="0" borderId="7" xfId="67" applyFont="1" applyBorder="1" applyAlignment="1">
      <alignment horizontal="center"/>
    </xf>
    <xf numFmtId="43" fontId="5" fillId="0" borderId="6" xfId="67" applyFont="1" applyFill="1" applyBorder="1" applyAlignment="1">
      <alignment horizontal="center"/>
    </xf>
    <xf numFmtId="43" fontId="5" fillId="0" borderId="7" xfId="67" applyFont="1" applyFill="1" applyBorder="1" applyAlignment="1">
      <alignment horizontal="center"/>
    </xf>
    <xf numFmtId="43" fontId="5" fillId="0" borderId="12" xfId="67" applyFont="1" applyBorder="1" applyAlignment="1">
      <alignment horizontal="center" vertical="center"/>
    </xf>
    <xf numFmtId="188" fontId="40" fillId="6" borderId="34" xfId="84" applyNumberFormat="1" applyFont="1" applyFill="1" applyBorder="1" applyAlignment="1">
      <alignment horizontal="center"/>
    </xf>
    <xf numFmtId="188" fontId="36" fillId="6" borderId="11" xfId="84" applyNumberFormat="1" applyFont="1" applyFill="1" applyBorder="1" applyAlignment="1">
      <alignment horizontal="center" vertical="center"/>
    </xf>
    <xf numFmtId="0" fontId="36" fillId="0" borderId="10" xfId="83" applyFont="1" applyBorder="1" applyAlignment="1">
      <alignment vertical="center"/>
    </xf>
    <xf numFmtId="0" fontId="78" fillId="0" borderId="78" xfId="0" applyFont="1" applyBorder="1" applyAlignment="1">
      <alignment horizontal="center"/>
    </xf>
    <xf numFmtId="0" fontId="78" fillId="0" borderId="77" xfId="0" applyFont="1" applyBorder="1" applyAlignment="1">
      <alignment horizontal="center"/>
    </xf>
    <xf numFmtId="0" fontId="43" fillId="0" borderId="11" xfId="90" applyFont="1" applyBorder="1" applyAlignment="1">
      <alignment horizontal="center" vertical="center"/>
    </xf>
    <xf numFmtId="0" fontId="43" fillId="0" borderId="10" xfId="90" applyFont="1" applyBorder="1" applyAlignment="1">
      <alignment horizontal="center" vertical="center"/>
    </xf>
    <xf numFmtId="0" fontId="43" fillId="0" borderId="10" xfId="90" applyFont="1" applyBorder="1" applyAlignment="1">
      <alignment vertical="center"/>
    </xf>
    <xf numFmtId="0" fontId="43" fillId="0" borderId="73" xfId="90" applyFont="1" applyBorder="1" applyAlignment="1">
      <alignment horizontal="center" vertical="center"/>
    </xf>
    <xf numFmtId="43" fontId="36" fillId="0" borderId="81" xfId="90" applyNumberFormat="1" applyFont="1" applyBorder="1" applyAlignment="1">
      <alignment horizontal="center" vertical="center"/>
    </xf>
    <xf numFmtId="43" fontId="36" fillId="0" borderId="82" xfId="90" applyNumberFormat="1" applyFont="1" applyBorder="1" applyAlignment="1">
      <alignment horizontal="center" vertical="center"/>
    </xf>
    <xf numFmtId="0" fontId="36" fillId="0" borderId="11" xfId="90" applyFont="1" applyBorder="1" applyAlignment="1">
      <alignment horizontal="center" vertical="center"/>
    </xf>
    <xf numFmtId="0" fontId="36" fillId="0" borderId="10" xfId="90" applyFont="1" applyBorder="1" applyAlignment="1">
      <alignment horizontal="center" vertical="center"/>
    </xf>
    <xf numFmtId="0" fontId="36" fillId="0" borderId="4" xfId="90" applyFont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81" fillId="0" borderId="78" xfId="0" applyFont="1" applyBorder="1" applyAlignment="1">
      <alignment horizontal="center" vertical="center"/>
    </xf>
    <xf numFmtId="0" fontId="81" fillId="0" borderId="77" xfId="0" applyFont="1" applyBorder="1" applyAlignment="1">
      <alignment horizontal="center" vertical="center"/>
    </xf>
    <xf numFmtId="43" fontId="36" fillId="0" borderId="1" xfId="67" applyFont="1" applyFill="1" applyBorder="1" applyAlignment="1">
      <alignment horizontal="left" vertical="center"/>
    </xf>
    <xf numFmtId="43" fontId="36" fillId="0" borderId="3" xfId="67" applyFont="1" applyFill="1" applyBorder="1" applyAlignment="1">
      <alignment horizontal="left" vertical="center"/>
    </xf>
    <xf numFmtId="43" fontId="36" fillId="0" borderId="85" xfId="67" applyFont="1" applyFill="1" applyBorder="1" applyAlignment="1">
      <alignment horizontal="left" vertical="center"/>
    </xf>
    <xf numFmtId="191" fontId="71" fillId="0" borderId="3" xfId="95" applyNumberFormat="1" applyFont="1" applyFill="1" applyBorder="1" applyAlignment="1">
      <alignment horizontal="left"/>
    </xf>
    <xf numFmtId="191" fontId="71" fillId="0" borderId="85" xfId="95" applyNumberFormat="1" applyFont="1" applyFill="1" applyBorder="1" applyAlignment="1">
      <alignment horizontal="left"/>
    </xf>
    <xf numFmtId="187" fontId="74" fillId="0" borderId="0" xfId="95" applyNumberFormat="1" applyFont="1" applyFill="1" applyBorder="1" applyAlignment="1">
      <alignment horizontal="center"/>
    </xf>
    <xf numFmtId="187" fontId="71" fillId="0" borderId="1" xfId="95" applyNumberFormat="1" applyFont="1" applyFill="1" applyBorder="1" applyAlignment="1">
      <alignment horizontal="center"/>
    </xf>
    <xf numFmtId="187" fontId="71" fillId="0" borderId="3" xfId="95" applyNumberFormat="1" applyFont="1" applyFill="1" applyBorder="1" applyAlignment="1">
      <alignment horizontal="center"/>
    </xf>
    <xf numFmtId="187" fontId="71" fillId="0" borderId="85" xfId="95" applyNumberFormat="1" applyFont="1" applyFill="1" applyBorder="1" applyAlignment="1">
      <alignment horizontal="center"/>
    </xf>
    <xf numFmtId="0" fontId="71" fillId="0" borderId="3" xfId="96" applyFont="1" applyBorder="1" applyAlignment="1">
      <alignment horizontal="center"/>
    </xf>
    <xf numFmtId="0" fontId="71" fillId="0" borderId="85" xfId="96" applyFont="1" applyBorder="1" applyAlignment="1">
      <alignment horizontal="center"/>
    </xf>
    <xf numFmtId="187" fontId="71" fillId="0" borderId="55" xfId="95" applyNumberFormat="1" applyFont="1" applyFill="1" applyBorder="1" applyAlignment="1">
      <alignment horizontal="left"/>
    </xf>
    <xf numFmtId="187" fontId="71" fillId="0" borderId="87" xfId="95" applyNumberFormat="1" applyFont="1" applyFill="1" applyBorder="1" applyAlignment="1">
      <alignment horizontal="left"/>
    </xf>
    <xf numFmtId="187" fontId="71" fillId="0" borderId="34" xfId="95" applyNumberFormat="1" applyFont="1" applyFill="1" applyBorder="1" applyAlignment="1">
      <alignment vertical="center"/>
    </xf>
    <xf numFmtId="0" fontId="71" fillId="0" borderId="11" xfId="96" applyFont="1" applyBorder="1" applyAlignment="1">
      <alignment horizontal="center" vertical="center"/>
    </xf>
    <xf numFmtId="0" fontId="71" fillId="0" borderId="10" xfId="96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51" fillId="0" borderId="39" xfId="0" applyFont="1" applyBorder="1" applyAlignment="1">
      <alignment horizontal="center"/>
    </xf>
    <xf numFmtId="0" fontId="51" fillId="0" borderId="40" xfId="0" applyFont="1" applyBorder="1" applyAlignment="1">
      <alignment horizontal="center"/>
    </xf>
    <xf numFmtId="0" fontId="51" fillId="0" borderId="62" xfId="0" applyFont="1" applyBorder="1" applyAlignment="1">
      <alignment horizontal="center"/>
    </xf>
    <xf numFmtId="0" fontId="51" fillId="0" borderId="63" xfId="0" applyFont="1" applyBorder="1" applyAlignment="1">
      <alignment horizontal="center"/>
    </xf>
    <xf numFmtId="0" fontId="61" fillId="0" borderId="46" xfId="0" applyFont="1" applyBorder="1" applyAlignment="1">
      <alignment horizontal="center"/>
    </xf>
    <xf numFmtId="0" fontId="61" fillId="0" borderId="64" xfId="0" applyFont="1" applyBorder="1" applyAlignment="1">
      <alignment horizontal="center"/>
    </xf>
    <xf numFmtId="0" fontId="0" fillId="0" borderId="0" xfId="0" applyAlignment="1">
      <alignment horizontal="center"/>
    </xf>
    <xf numFmtId="0" fontId="43" fillId="0" borderId="4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40" fillId="0" borderId="0" xfId="0" applyFont="1" applyAlignment="1">
      <alignment horizontal="center"/>
    </xf>
  </cellXfs>
  <cellStyles count="97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0,0_x000d__x000a_NA_x000d__x000a_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 [00]" xfId="25" xr:uid="{00000000-0005-0000-0000-000019000000}"/>
    <cellStyle name="Comma 2" xfId="26" xr:uid="{00000000-0005-0000-0000-00001A000000}"/>
    <cellStyle name="Comma 2 2" xfId="86" xr:uid="{00000000-0005-0000-0000-00001B000000}"/>
    <cellStyle name="Comma 3" xfId="95" xr:uid="{08D34762-AC0B-49F3-8C89-5813C2AA3EF0}"/>
    <cellStyle name="Comma 3 2 3" xfId="93" xr:uid="{00000000-0005-0000-0000-00001C000000}"/>
    <cellStyle name="company_title" xfId="27" xr:uid="{00000000-0005-0000-0000-00001D000000}"/>
    <cellStyle name="Currency [00]" xfId="28" xr:uid="{00000000-0005-0000-0000-00001E000000}"/>
    <cellStyle name="Date" xfId="29" xr:uid="{00000000-0005-0000-0000-00001F000000}"/>
    <cellStyle name="Date Short" xfId="30" xr:uid="{00000000-0005-0000-0000-000020000000}"/>
    <cellStyle name="date_format" xfId="31" xr:uid="{00000000-0005-0000-0000-000021000000}"/>
    <cellStyle name="Enter Currency (0)" xfId="32" xr:uid="{00000000-0005-0000-0000-000022000000}"/>
    <cellStyle name="Enter Currency (2)" xfId="33" xr:uid="{00000000-0005-0000-0000-000023000000}"/>
    <cellStyle name="Enter Units (0)" xfId="34" xr:uid="{00000000-0005-0000-0000-000024000000}"/>
    <cellStyle name="Enter Units (1)" xfId="35" xr:uid="{00000000-0005-0000-0000-000025000000}"/>
    <cellStyle name="Enter Units (2)" xfId="36" xr:uid="{00000000-0005-0000-0000-000026000000}"/>
    <cellStyle name="Grey" xfId="37" xr:uid="{00000000-0005-0000-0000-000027000000}"/>
    <cellStyle name="Header1" xfId="38" xr:uid="{00000000-0005-0000-0000-000028000000}"/>
    <cellStyle name="Header2" xfId="39" xr:uid="{00000000-0005-0000-0000-000029000000}"/>
    <cellStyle name="Hyperlink 2" xfId="40" xr:uid="{00000000-0005-0000-0000-00002A000000}"/>
    <cellStyle name="Input [yellow]" xfId="41" xr:uid="{00000000-0005-0000-0000-00002B000000}"/>
    <cellStyle name="Link Currency (0)" xfId="42" xr:uid="{00000000-0005-0000-0000-00002C000000}"/>
    <cellStyle name="Link Currency (2)" xfId="43" xr:uid="{00000000-0005-0000-0000-00002D000000}"/>
    <cellStyle name="Link Units (0)" xfId="44" xr:uid="{00000000-0005-0000-0000-00002E000000}"/>
    <cellStyle name="Link Units (1)" xfId="45" xr:uid="{00000000-0005-0000-0000-00002F000000}"/>
    <cellStyle name="Link Units (2)" xfId="46" xr:uid="{00000000-0005-0000-0000-000030000000}"/>
    <cellStyle name="New Times Roman" xfId="47" xr:uid="{00000000-0005-0000-0000-000031000000}"/>
    <cellStyle name="Normal - Style1" xfId="48" xr:uid="{00000000-0005-0000-0000-000033000000}"/>
    <cellStyle name="Normal 2" xfId="49" xr:uid="{00000000-0005-0000-0000-000034000000}"/>
    <cellStyle name="Normal 2 2" xfId="85" xr:uid="{00000000-0005-0000-0000-000035000000}"/>
    <cellStyle name="Normal 3 2 2" xfId="92" xr:uid="{00000000-0005-0000-0000-000036000000}"/>
    <cellStyle name="ParaBirimi [0]_RESULTS" xfId="50" xr:uid="{00000000-0005-0000-0000-000037000000}"/>
    <cellStyle name="ParaBirimi_RESULTS" xfId="51" xr:uid="{00000000-0005-0000-0000-000038000000}"/>
    <cellStyle name="Percent [0]" xfId="52" xr:uid="{00000000-0005-0000-0000-000039000000}"/>
    <cellStyle name="Percent [00]" xfId="53" xr:uid="{00000000-0005-0000-0000-00003A000000}"/>
    <cellStyle name="Percent [2]" xfId="54" xr:uid="{00000000-0005-0000-0000-00003B000000}"/>
    <cellStyle name="PrePop Currency (0)" xfId="55" xr:uid="{00000000-0005-0000-0000-00003C000000}"/>
    <cellStyle name="PrePop Currency (2)" xfId="56" xr:uid="{00000000-0005-0000-0000-00003D000000}"/>
    <cellStyle name="PrePop Units (0)" xfId="57" xr:uid="{00000000-0005-0000-0000-00003E000000}"/>
    <cellStyle name="PrePop Units (1)" xfId="58" xr:uid="{00000000-0005-0000-0000-00003F000000}"/>
    <cellStyle name="PrePop Units (2)" xfId="59" xr:uid="{00000000-0005-0000-0000-000040000000}"/>
    <cellStyle name="report_title" xfId="60" xr:uid="{00000000-0005-0000-0000-000041000000}"/>
    <cellStyle name="Style 1" xfId="61" xr:uid="{00000000-0005-0000-0000-000042000000}"/>
    <cellStyle name="Text Indent A" xfId="62" xr:uid="{00000000-0005-0000-0000-000043000000}"/>
    <cellStyle name="Text Indent B" xfId="63" xr:uid="{00000000-0005-0000-0000-000044000000}"/>
    <cellStyle name="Text Indent C" xfId="64" xr:uid="{00000000-0005-0000-0000-000045000000}"/>
    <cellStyle name="Virg? [0]_RESULTS" xfId="65" xr:uid="{00000000-0005-0000-0000-000046000000}"/>
    <cellStyle name="Virg?_RESULTS" xfId="66" xr:uid="{00000000-0005-0000-0000-000047000000}"/>
    <cellStyle name="เครื่องหมายจุลภาค 2" xfId="68" xr:uid="{00000000-0005-0000-0000-000048000000}"/>
    <cellStyle name="เครื่องหมายจุลภาค 3" xfId="69" xr:uid="{00000000-0005-0000-0000-000049000000}"/>
    <cellStyle name="เครื่องหมายจุลภาค 4" xfId="70" xr:uid="{00000000-0005-0000-0000-00004A000000}"/>
    <cellStyle name="เครื่องหมายจุลภาค 4 2" xfId="71" xr:uid="{00000000-0005-0000-0000-00004B000000}"/>
    <cellStyle name="เครื่องหมายจุลภาค 5" xfId="87" xr:uid="{00000000-0005-0000-0000-00004C000000}"/>
    <cellStyle name="เครื่องหมายสกุลเงิน [0]_PERSONAL" xfId="84" xr:uid="{00000000-0005-0000-0000-00004D000000}"/>
    <cellStyle name="จุลภาค" xfId="67" builtinId="3"/>
    <cellStyle name="จุลภาค 2" xfId="91" xr:uid="{00000000-0005-0000-0000-00004E000000}"/>
    <cellStyle name="เชื่อมโยงหลายมิติ" xfId="72" xr:uid="{00000000-0005-0000-0000-00004F000000}"/>
    <cellStyle name="ตามการเชื่อมโยงหลายมิติ" xfId="73" xr:uid="{00000000-0005-0000-0000-000050000000}"/>
    <cellStyle name="ปกติ" xfId="0" builtinId="0"/>
    <cellStyle name="ปกติ 2" xfId="74" xr:uid="{00000000-0005-0000-0000-000051000000}"/>
    <cellStyle name="ปกติ 3" xfId="75" xr:uid="{00000000-0005-0000-0000-000052000000}"/>
    <cellStyle name="ปกติ 3 2" xfId="76" xr:uid="{00000000-0005-0000-0000-000053000000}"/>
    <cellStyle name="ปกติ 4" xfId="77" xr:uid="{00000000-0005-0000-0000-000054000000}"/>
    <cellStyle name="ปกติ 4 2" xfId="78" xr:uid="{00000000-0005-0000-0000-000055000000}"/>
    <cellStyle name="ปกติ 5" xfId="79" xr:uid="{00000000-0005-0000-0000-000056000000}"/>
    <cellStyle name="ปกติ 6" xfId="80" xr:uid="{00000000-0005-0000-0000-000057000000}"/>
    <cellStyle name="ปกติ 7" xfId="83" xr:uid="{00000000-0005-0000-0000-000058000000}"/>
    <cellStyle name="ปกติ_Sheet1" xfId="88" xr:uid="{00000000-0005-0000-0000-000059000000}"/>
    <cellStyle name="ปกติ_คำนวณค่าเฉลี่ย Factor-F_6%" xfId="96" xr:uid="{3343A283-94F1-4118-B803-BA5DCE74F14D}"/>
    <cellStyle name="ปกติ_บ้านพักเจ้าหน้าที่ 3 ครอบครัว (ด่าน 2 ) มี.ค 58" xfId="90" xr:uid="{00000000-0005-0000-0000-00005A000000}"/>
    <cellStyle name="ปกติ_ประมาณอาคาร ม.9" xfId="89" xr:uid="{00000000-0005-0000-0000-00005B000000}"/>
    <cellStyle name="ปกติ_ราคากลาง 55" xfId="94" xr:uid="{0E9F2CB4-5E88-4C08-8B74-B5D278B58C54}"/>
    <cellStyle name="เปอร์เซ็นต์ 2" xfId="81" xr:uid="{00000000-0005-0000-0000-00005C000000}"/>
    <cellStyle name="เปอร์เซ็นต์ 3" xfId="82" xr:uid="{00000000-0005-0000-0000-00005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1</xdr:row>
      <xdr:rowOff>200025</xdr:rowOff>
    </xdr:from>
    <xdr:to>
      <xdr:col>2</xdr:col>
      <xdr:colOff>438150</xdr:colOff>
      <xdr:row>4</xdr:row>
      <xdr:rowOff>142875</xdr:rowOff>
    </xdr:to>
    <xdr:pic>
      <xdr:nvPicPr>
        <xdr:cNvPr id="54367" name="Picture 4" descr="thaiflag">
          <a:extLst>
            <a:ext uri="{FF2B5EF4-FFF2-40B4-BE49-F238E27FC236}">
              <a16:creationId xmlns:a16="http://schemas.microsoft.com/office/drawing/2014/main" id="{00000000-0008-0000-0000-00005FD400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409575"/>
          <a:ext cx="7715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0</xdr:rowOff>
    </xdr:from>
    <xdr:to>
      <xdr:col>6</xdr:col>
      <xdr:colOff>9525</xdr:colOff>
      <xdr:row>1</xdr:row>
      <xdr:rowOff>0</xdr:rowOff>
    </xdr:to>
    <xdr:sp macro="" textlink="">
      <xdr:nvSpPr>
        <xdr:cNvPr id="3" name="TextBox 4">
          <a:extLst>
            <a:ext uri="{FF2B5EF4-FFF2-40B4-BE49-F238E27FC236}">
              <a16:creationId xmlns:a16="http://schemas.microsoft.com/office/drawing/2014/main" id="{20AAAEF8-443D-458F-B882-61C7B10D4B94}"/>
            </a:ext>
          </a:extLst>
        </xdr:cNvPr>
        <xdr:cNvSpPr txBox="1"/>
      </xdr:nvSpPr>
      <xdr:spPr>
        <a:xfrm>
          <a:off x="7058025" y="0"/>
          <a:ext cx="5905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ปร.5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27</xdr:row>
      <xdr:rowOff>0</xdr:rowOff>
    </xdr:from>
    <xdr:to>
      <xdr:col>1</xdr:col>
      <xdr:colOff>609600</xdr:colOff>
      <xdr:row>27</xdr:row>
      <xdr:rowOff>0</xdr:rowOff>
    </xdr:to>
    <xdr:sp macro="" textlink="">
      <xdr:nvSpPr>
        <xdr:cNvPr id="2" name="Oval 308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942975" y="72961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27</xdr:row>
      <xdr:rowOff>0</xdr:rowOff>
    </xdr:from>
    <xdr:to>
      <xdr:col>1</xdr:col>
      <xdr:colOff>609600</xdr:colOff>
      <xdr:row>27</xdr:row>
      <xdr:rowOff>0</xdr:rowOff>
    </xdr:to>
    <xdr:sp macro="" textlink="">
      <xdr:nvSpPr>
        <xdr:cNvPr id="3" name="Oval 309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942975" y="72961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6" name="Line 3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7" name="Line 4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8" name="Line 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476250" y="7562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54</xdr:row>
      <xdr:rowOff>0</xdr:rowOff>
    </xdr:from>
    <xdr:to>
      <xdr:col>1</xdr:col>
      <xdr:colOff>609600</xdr:colOff>
      <xdr:row>54</xdr:row>
      <xdr:rowOff>0</xdr:rowOff>
    </xdr:to>
    <xdr:sp macro="" textlink="">
      <xdr:nvSpPr>
        <xdr:cNvPr id="10" name="Oval 30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942975" y="1450657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54</xdr:row>
      <xdr:rowOff>0</xdr:rowOff>
    </xdr:from>
    <xdr:to>
      <xdr:col>1</xdr:col>
      <xdr:colOff>609600</xdr:colOff>
      <xdr:row>54</xdr:row>
      <xdr:rowOff>0</xdr:rowOff>
    </xdr:to>
    <xdr:sp macro="" textlink="">
      <xdr:nvSpPr>
        <xdr:cNvPr id="11" name="Oval 309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942975" y="1450657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3" name="Line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55</xdr:row>
      <xdr:rowOff>0</xdr:rowOff>
    </xdr:from>
    <xdr:to>
      <xdr:col>1</xdr:col>
      <xdr:colOff>142875</xdr:colOff>
      <xdr:row>55</xdr:row>
      <xdr:rowOff>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>
          <a:off x="476250" y="1477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88</xdr:row>
      <xdr:rowOff>0</xdr:rowOff>
    </xdr:from>
    <xdr:to>
      <xdr:col>1</xdr:col>
      <xdr:colOff>609600</xdr:colOff>
      <xdr:row>88</xdr:row>
      <xdr:rowOff>0</xdr:rowOff>
    </xdr:to>
    <xdr:sp macro="" textlink="">
      <xdr:nvSpPr>
        <xdr:cNvPr id="18" name="Oval 30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942975" y="236410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88</xdr:row>
      <xdr:rowOff>0</xdr:rowOff>
    </xdr:from>
    <xdr:to>
      <xdr:col>1</xdr:col>
      <xdr:colOff>609600</xdr:colOff>
      <xdr:row>88</xdr:row>
      <xdr:rowOff>0</xdr:rowOff>
    </xdr:to>
    <xdr:sp macro="" textlink="">
      <xdr:nvSpPr>
        <xdr:cNvPr id="19" name="Oval 30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942975" y="236410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89</xdr:row>
      <xdr:rowOff>0</xdr:rowOff>
    </xdr:from>
    <xdr:to>
      <xdr:col>1</xdr:col>
      <xdr:colOff>142875</xdr:colOff>
      <xdr:row>89</xdr:row>
      <xdr:rowOff>0</xdr:rowOff>
    </xdr:to>
    <xdr:sp macro="" textlink="">
      <xdr:nvSpPr>
        <xdr:cNvPr id="25" name="Line 6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 bwMode="auto">
        <a:xfrm>
          <a:off x="47625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609600</xdr:colOff>
      <xdr:row>88</xdr:row>
      <xdr:rowOff>0</xdr:rowOff>
    </xdr:from>
    <xdr:to>
      <xdr:col>14</xdr:col>
      <xdr:colOff>609600</xdr:colOff>
      <xdr:row>88</xdr:row>
      <xdr:rowOff>0</xdr:rowOff>
    </xdr:to>
    <xdr:sp macro="" textlink="">
      <xdr:nvSpPr>
        <xdr:cNvPr id="26" name="Oval 308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rrowheads="1"/>
        </xdr:cNvSpPr>
      </xdr:nvSpPr>
      <xdr:spPr bwMode="auto">
        <a:xfrm>
          <a:off x="14944725" y="236410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609600</xdr:colOff>
      <xdr:row>88</xdr:row>
      <xdr:rowOff>0</xdr:rowOff>
    </xdr:from>
    <xdr:to>
      <xdr:col>14</xdr:col>
      <xdr:colOff>609600</xdr:colOff>
      <xdr:row>88</xdr:row>
      <xdr:rowOff>0</xdr:rowOff>
    </xdr:to>
    <xdr:sp macro="" textlink="">
      <xdr:nvSpPr>
        <xdr:cNvPr id="27" name="Oval 309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rrowheads="1"/>
        </xdr:cNvSpPr>
      </xdr:nvSpPr>
      <xdr:spPr bwMode="auto">
        <a:xfrm>
          <a:off x="14944725" y="236410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89</xdr:row>
      <xdr:rowOff>0</xdr:rowOff>
    </xdr:from>
    <xdr:to>
      <xdr:col>14</xdr:col>
      <xdr:colOff>142875</xdr:colOff>
      <xdr:row>89</xdr:row>
      <xdr:rowOff>0</xdr:rowOff>
    </xdr:to>
    <xdr:sp macro="" textlink="">
      <xdr:nvSpPr>
        <xdr:cNvPr id="33" name="Line 6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>
          <a:off x="14478000" y="2390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119</xdr:row>
      <xdr:rowOff>0</xdr:rowOff>
    </xdr:from>
    <xdr:to>
      <xdr:col>1</xdr:col>
      <xdr:colOff>609600</xdr:colOff>
      <xdr:row>119</xdr:row>
      <xdr:rowOff>0</xdr:rowOff>
    </xdr:to>
    <xdr:sp macro="" textlink="">
      <xdr:nvSpPr>
        <xdr:cNvPr id="34" name="Oval 308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Arrowheads="1"/>
        </xdr:cNvSpPr>
      </xdr:nvSpPr>
      <xdr:spPr bwMode="auto">
        <a:xfrm>
          <a:off x="942975" y="316992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119</xdr:row>
      <xdr:rowOff>0</xdr:rowOff>
    </xdr:from>
    <xdr:to>
      <xdr:col>1</xdr:col>
      <xdr:colOff>609600</xdr:colOff>
      <xdr:row>119</xdr:row>
      <xdr:rowOff>0</xdr:rowOff>
    </xdr:to>
    <xdr:sp macro="" textlink="">
      <xdr:nvSpPr>
        <xdr:cNvPr id="35" name="Oval 309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rrowheads="1"/>
        </xdr:cNvSpPr>
      </xdr:nvSpPr>
      <xdr:spPr bwMode="auto">
        <a:xfrm>
          <a:off x="942975" y="316992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38" name="Line 3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39" name="Line 4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40" name="Line 5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120</xdr:row>
      <xdr:rowOff>0</xdr:rowOff>
    </xdr:from>
    <xdr:to>
      <xdr:col>1</xdr:col>
      <xdr:colOff>142875</xdr:colOff>
      <xdr:row>120</xdr:row>
      <xdr:rowOff>0</xdr:rowOff>
    </xdr:to>
    <xdr:sp macro="" textlink="">
      <xdr:nvSpPr>
        <xdr:cNvPr id="41" name="Line 6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ShapeType="1"/>
        </xdr:cNvSpPr>
      </xdr:nvSpPr>
      <xdr:spPr bwMode="auto">
        <a:xfrm>
          <a:off x="47625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609600</xdr:colOff>
      <xdr:row>119</xdr:row>
      <xdr:rowOff>0</xdr:rowOff>
    </xdr:from>
    <xdr:to>
      <xdr:col>14</xdr:col>
      <xdr:colOff>609600</xdr:colOff>
      <xdr:row>119</xdr:row>
      <xdr:rowOff>0</xdr:rowOff>
    </xdr:to>
    <xdr:sp macro="" textlink="">
      <xdr:nvSpPr>
        <xdr:cNvPr id="42" name="Oval 308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Arrowheads="1"/>
        </xdr:cNvSpPr>
      </xdr:nvSpPr>
      <xdr:spPr bwMode="auto">
        <a:xfrm>
          <a:off x="14944725" y="316992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609600</xdr:colOff>
      <xdr:row>119</xdr:row>
      <xdr:rowOff>0</xdr:rowOff>
    </xdr:from>
    <xdr:to>
      <xdr:col>14</xdr:col>
      <xdr:colOff>609600</xdr:colOff>
      <xdr:row>119</xdr:row>
      <xdr:rowOff>0</xdr:rowOff>
    </xdr:to>
    <xdr:sp macro="" textlink="">
      <xdr:nvSpPr>
        <xdr:cNvPr id="43" name="Oval 309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Arrowheads="1"/>
        </xdr:cNvSpPr>
      </xdr:nvSpPr>
      <xdr:spPr bwMode="auto">
        <a:xfrm>
          <a:off x="14944725" y="316992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6" name="Line 3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7" name="Line 4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8" name="Line 5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142875</xdr:colOff>
      <xdr:row>120</xdr:row>
      <xdr:rowOff>0</xdr:rowOff>
    </xdr:from>
    <xdr:to>
      <xdr:col>14</xdr:col>
      <xdr:colOff>142875</xdr:colOff>
      <xdr:row>120</xdr:row>
      <xdr:rowOff>0</xdr:rowOff>
    </xdr:to>
    <xdr:sp macro="" textlink="">
      <xdr:nvSpPr>
        <xdr:cNvPr id="49" name="Line 6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ShapeType="1"/>
        </xdr:cNvSpPr>
      </xdr:nvSpPr>
      <xdr:spPr bwMode="auto">
        <a:xfrm>
          <a:off x="14478000" y="31956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800100</xdr:colOff>
      <xdr:row>126</xdr:row>
      <xdr:rowOff>95250</xdr:rowOff>
    </xdr:from>
    <xdr:to>
      <xdr:col>1</xdr:col>
      <xdr:colOff>923925</xdr:colOff>
      <xdr:row>126</xdr:row>
      <xdr:rowOff>228600</xdr:rowOff>
    </xdr:to>
    <xdr:sp macro="" textlink="">
      <xdr:nvSpPr>
        <xdr:cNvPr id="50" name="สี่เหลี่ยมผืนผ้า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/>
      </xdr:nvSpPr>
      <xdr:spPr bwMode="auto">
        <a:xfrm>
          <a:off x="1133475" y="33594675"/>
          <a:ext cx="123825" cy="1333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  <xdr:twoCellAnchor>
    <xdr:from>
      <xdr:col>1</xdr:col>
      <xdr:colOff>552450</xdr:colOff>
      <xdr:row>127</xdr:row>
      <xdr:rowOff>66675</xdr:rowOff>
    </xdr:from>
    <xdr:to>
      <xdr:col>1</xdr:col>
      <xdr:colOff>619125</xdr:colOff>
      <xdr:row>127</xdr:row>
      <xdr:rowOff>228600</xdr:rowOff>
    </xdr:to>
    <xdr:sp macro="" textlink="">
      <xdr:nvSpPr>
        <xdr:cNvPr id="51" name="สี่เหลี่ยมผืนผ้า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/>
      </xdr:nvSpPr>
      <xdr:spPr bwMode="auto">
        <a:xfrm>
          <a:off x="885825" y="33823275"/>
          <a:ext cx="66675" cy="1619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th-TH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26</xdr:row>
      <xdr:rowOff>0</xdr:rowOff>
    </xdr:from>
    <xdr:to>
      <xdr:col>1</xdr:col>
      <xdr:colOff>609600</xdr:colOff>
      <xdr:row>26</xdr:row>
      <xdr:rowOff>0</xdr:rowOff>
    </xdr:to>
    <xdr:sp macro="" textlink="">
      <xdr:nvSpPr>
        <xdr:cNvPr id="2" name="Oval 30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133475" y="69532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26</xdr:row>
      <xdr:rowOff>0</xdr:rowOff>
    </xdr:from>
    <xdr:to>
      <xdr:col>1</xdr:col>
      <xdr:colOff>609600</xdr:colOff>
      <xdr:row>26</xdr:row>
      <xdr:rowOff>0</xdr:rowOff>
    </xdr:to>
    <xdr:sp macro="" textlink="">
      <xdr:nvSpPr>
        <xdr:cNvPr id="3" name="Oval 30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1133475" y="69532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6" name="Line 3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7" name="Line 4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8" name="Line 5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ShapeType="1"/>
        </xdr:cNvSpPr>
      </xdr:nvSpPr>
      <xdr:spPr bwMode="auto">
        <a:xfrm>
          <a:off x="666750" y="7219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609600</xdr:colOff>
      <xdr:row>80</xdr:row>
      <xdr:rowOff>0</xdr:rowOff>
    </xdr:from>
    <xdr:to>
      <xdr:col>1</xdr:col>
      <xdr:colOff>609600</xdr:colOff>
      <xdr:row>80</xdr:row>
      <xdr:rowOff>0</xdr:rowOff>
    </xdr:to>
    <xdr:sp macro="" textlink="">
      <xdr:nvSpPr>
        <xdr:cNvPr id="18" name="Oval 30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>
          <a:spLocks noChangeArrowheads="1"/>
        </xdr:cNvSpPr>
      </xdr:nvSpPr>
      <xdr:spPr bwMode="auto">
        <a:xfrm>
          <a:off x="942975" y="3083242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80</xdr:row>
      <xdr:rowOff>0</xdr:rowOff>
    </xdr:from>
    <xdr:to>
      <xdr:col>1</xdr:col>
      <xdr:colOff>609600</xdr:colOff>
      <xdr:row>80</xdr:row>
      <xdr:rowOff>0</xdr:rowOff>
    </xdr:to>
    <xdr:sp macro="" textlink="">
      <xdr:nvSpPr>
        <xdr:cNvPr id="19" name="Oval 309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Arrowheads="1"/>
        </xdr:cNvSpPr>
      </xdr:nvSpPr>
      <xdr:spPr bwMode="auto">
        <a:xfrm>
          <a:off x="942975" y="3083242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25" name="Line 6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>
          <a:spLocks noChangeShapeType="1"/>
        </xdr:cNvSpPr>
      </xdr:nvSpPr>
      <xdr:spPr bwMode="auto">
        <a:xfrm>
          <a:off x="476250" y="31099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26</xdr:row>
      <xdr:rowOff>0</xdr:rowOff>
    </xdr:from>
    <xdr:to>
      <xdr:col>1</xdr:col>
      <xdr:colOff>609600</xdr:colOff>
      <xdr:row>26</xdr:row>
      <xdr:rowOff>0</xdr:rowOff>
    </xdr:to>
    <xdr:sp macro="" textlink="">
      <xdr:nvSpPr>
        <xdr:cNvPr id="2" name="Oval 308">
          <a:extLst>
            <a:ext uri="{FF2B5EF4-FFF2-40B4-BE49-F238E27FC236}">
              <a16:creationId xmlns:a16="http://schemas.microsoft.com/office/drawing/2014/main" id="{682B239F-E93B-4459-B19E-B1BB3828DBDC}"/>
            </a:ext>
          </a:extLst>
        </xdr:cNvPr>
        <xdr:cNvSpPr>
          <a:spLocks noChangeArrowheads="1"/>
        </xdr:cNvSpPr>
      </xdr:nvSpPr>
      <xdr:spPr bwMode="auto">
        <a:xfrm>
          <a:off x="1051560" y="614172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26</xdr:row>
      <xdr:rowOff>0</xdr:rowOff>
    </xdr:from>
    <xdr:to>
      <xdr:col>1</xdr:col>
      <xdr:colOff>609600</xdr:colOff>
      <xdr:row>26</xdr:row>
      <xdr:rowOff>0</xdr:rowOff>
    </xdr:to>
    <xdr:sp macro="" textlink="">
      <xdr:nvSpPr>
        <xdr:cNvPr id="3" name="Oval 309">
          <a:extLst>
            <a:ext uri="{FF2B5EF4-FFF2-40B4-BE49-F238E27FC236}">
              <a16:creationId xmlns:a16="http://schemas.microsoft.com/office/drawing/2014/main" id="{16FC78A9-AD01-4523-AA35-E2A91B65B2FA}"/>
            </a:ext>
          </a:extLst>
        </xdr:cNvPr>
        <xdr:cNvSpPr>
          <a:spLocks noChangeArrowheads="1"/>
        </xdr:cNvSpPr>
      </xdr:nvSpPr>
      <xdr:spPr bwMode="auto">
        <a:xfrm>
          <a:off x="1051560" y="614172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E21BEC21-A06C-42B3-B9BB-9F911AD83B8A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C8A2B616-4B0B-4121-A8D6-D5DB5617D2AA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6" name="Line 3">
          <a:extLst>
            <a:ext uri="{FF2B5EF4-FFF2-40B4-BE49-F238E27FC236}">
              <a16:creationId xmlns:a16="http://schemas.microsoft.com/office/drawing/2014/main" id="{0E3090D6-1694-4E36-AAE2-5F328CCCDC66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7" name="Line 4">
          <a:extLst>
            <a:ext uri="{FF2B5EF4-FFF2-40B4-BE49-F238E27FC236}">
              <a16:creationId xmlns:a16="http://schemas.microsoft.com/office/drawing/2014/main" id="{EEE76A0A-7643-4E6A-941F-129E550F587D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8" name="Line 5">
          <a:extLst>
            <a:ext uri="{FF2B5EF4-FFF2-40B4-BE49-F238E27FC236}">
              <a16:creationId xmlns:a16="http://schemas.microsoft.com/office/drawing/2014/main" id="{FC8F23C7-8C5A-41C8-9165-8C6C50F0B791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142875</xdr:colOff>
      <xdr:row>28</xdr:row>
      <xdr:rowOff>0</xdr:rowOff>
    </xdr:from>
    <xdr:to>
      <xdr:col>1</xdr:col>
      <xdr:colOff>142875</xdr:colOff>
      <xdr:row>28</xdr:row>
      <xdr:rowOff>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F64C33FD-2188-4F80-8150-2F75D6D5A934}"/>
            </a:ext>
          </a:extLst>
        </xdr:cNvPr>
        <xdr:cNvSpPr>
          <a:spLocks noChangeShapeType="1"/>
        </xdr:cNvSpPr>
      </xdr:nvSpPr>
      <xdr:spPr bwMode="auto">
        <a:xfrm>
          <a:off x="584835" y="66141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609600</xdr:colOff>
      <xdr:row>80</xdr:row>
      <xdr:rowOff>0</xdr:rowOff>
    </xdr:from>
    <xdr:to>
      <xdr:col>1</xdr:col>
      <xdr:colOff>609600</xdr:colOff>
      <xdr:row>80</xdr:row>
      <xdr:rowOff>0</xdr:rowOff>
    </xdr:to>
    <xdr:sp macro="" textlink="">
      <xdr:nvSpPr>
        <xdr:cNvPr id="10" name="Oval 308">
          <a:extLst>
            <a:ext uri="{FF2B5EF4-FFF2-40B4-BE49-F238E27FC236}">
              <a16:creationId xmlns:a16="http://schemas.microsoft.com/office/drawing/2014/main" id="{12FE6382-E323-4548-A540-06E8D33B1CB7}"/>
            </a:ext>
          </a:extLst>
        </xdr:cNvPr>
        <xdr:cNvSpPr>
          <a:spLocks noChangeArrowheads="1"/>
        </xdr:cNvSpPr>
      </xdr:nvSpPr>
      <xdr:spPr bwMode="auto">
        <a:xfrm>
          <a:off x="1051560" y="1924812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609600</xdr:colOff>
      <xdr:row>80</xdr:row>
      <xdr:rowOff>0</xdr:rowOff>
    </xdr:from>
    <xdr:to>
      <xdr:col>1</xdr:col>
      <xdr:colOff>609600</xdr:colOff>
      <xdr:row>80</xdr:row>
      <xdr:rowOff>0</xdr:rowOff>
    </xdr:to>
    <xdr:sp macro="" textlink="">
      <xdr:nvSpPr>
        <xdr:cNvPr id="11" name="Oval 309">
          <a:extLst>
            <a:ext uri="{FF2B5EF4-FFF2-40B4-BE49-F238E27FC236}">
              <a16:creationId xmlns:a16="http://schemas.microsoft.com/office/drawing/2014/main" id="{EA3C6B95-F611-45C5-B076-4BB50BD5E37F}"/>
            </a:ext>
          </a:extLst>
        </xdr:cNvPr>
        <xdr:cNvSpPr>
          <a:spLocks noChangeArrowheads="1"/>
        </xdr:cNvSpPr>
      </xdr:nvSpPr>
      <xdr:spPr bwMode="auto">
        <a:xfrm>
          <a:off x="1051560" y="1924812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F3E22B9A-5C96-48AD-A31F-E27C8ACFA066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3" name="Line 2">
          <a:extLst>
            <a:ext uri="{FF2B5EF4-FFF2-40B4-BE49-F238E27FC236}">
              <a16:creationId xmlns:a16="http://schemas.microsoft.com/office/drawing/2014/main" id="{712131EB-811A-4043-A53B-6AAF5EC651F0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22FC6FD2-D96D-4B18-AB41-11DFBF74C842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FFBCFD44-8F49-4BB6-897C-32B72CD4D22D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64F87866-E89D-441B-8B0C-74D0CE5CE902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142875</xdr:colOff>
      <xdr:row>82</xdr:row>
      <xdr:rowOff>0</xdr:rowOff>
    </xdr:from>
    <xdr:to>
      <xdr:col>1</xdr:col>
      <xdr:colOff>142875</xdr:colOff>
      <xdr:row>82</xdr:row>
      <xdr:rowOff>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F24A66BB-CEDC-463A-AC76-03498A6799FE}"/>
            </a:ext>
          </a:extLst>
        </xdr:cNvPr>
        <xdr:cNvSpPr>
          <a:spLocks noChangeShapeType="1"/>
        </xdr:cNvSpPr>
      </xdr:nvSpPr>
      <xdr:spPr bwMode="auto">
        <a:xfrm>
          <a:off x="584835" y="197205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26</xdr:row>
      <xdr:rowOff>0</xdr:rowOff>
    </xdr:from>
    <xdr:to>
      <xdr:col>9</xdr:col>
      <xdr:colOff>952500</xdr:colOff>
      <xdr:row>27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9820275" y="7458075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314325</xdr:colOff>
      <xdr:row>53</xdr:row>
      <xdr:rowOff>0</xdr:rowOff>
    </xdr:from>
    <xdr:to>
      <xdr:col>9</xdr:col>
      <xdr:colOff>952500</xdr:colOff>
      <xdr:row>54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9820275" y="14916150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314325</xdr:colOff>
      <xdr:row>80</xdr:row>
      <xdr:rowOff>0</xdr:rowOff>
    </xdr:from>
    <xdr:to>
      <xdr:col>9</xdr:col>
      <xdr:colOff>952500</xdr:colOff>
      <xdr:row>81</xdr:row>
      <xdr:rowOff>9525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9820275" y="22374225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314325</xdr:colOff>
      <xdr:row>107</xdr:row>
      <xdr:rowOff>0</xdr:rowOff>
    </xdr:from>
    <xdr:to>
      <xdr:col>9</xdr:col>
      <xdr:colOff>952500</xdr:colOff>
      <xdr:row>108</xdr:row>
      <xdr:rowOff>9525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9820275" y="29832300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1</xdr:col>
      <xdr:colOff>2019300</xdr:colOff>
      <xdr:row>120</xdr:row>
      <xdr:rowOff>152400</xdr:rowOff>
    </xdr:from>
    <xdr:to>
      <xdr:col>1</xdr:col>
      <xdr:colOff>2095500</xdr:colOff>
      <xdr:row>120</xdr:row>
      <xdr:rowOff>219075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2324100" y="33575625"/>
          <a:ext cx="76200" cy="666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2019301</xdr:colOff>
      <xdr:row>120</xdr:row>
      <xdr:rowOff>114300</xdr:rowOff>
    </xdr:from>
    <xdr:to>
      <xdr:col>1</xdr:col>
      <xdr:colOff>2095501</xdr:colOff>
      <xdr:row>120</xdr:row>
      <xdr:rowOff>257175</xdr:rowOff>
    </xdr:to>
    <xdr:cxnSp macro="">
      <xdr:nvCxnSpPr>
        <xdr:cNvPr id="8" name="ตัวเชื่อมต่อตรง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 rot="5400000" flipH="1" flipV="1">
          <a:off x="2290763" y="33570863"/>
          <a:ext cx="142875" cy="762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2143125</xdr:colOff>
      <xdr:row>125</xdr:row>
      <xdr:rowOff>142875</xdr:rowOff>
    </xdr:from>
    <xdr:to>
      <xdr:col>1</xdr:col>
      <xdr:colOff>2228850</xdr:colOff>
      <xdr:row>125</xdr:row>
      <xdr:rowOff>228600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2447925" y="34947225"/>
          <a:ext cx="85725" cy="85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2138363</xdr:colOff>
      <xdr:row>125</xdr:row>
      <xdr:rowOff>95250</xdr:rowOff>
    </xdr:from>
    <xdr:to>
      <xdr:col>1</xdr:col>
      <xdr:colOff>2238375</xdr:colOff>
      <xdr:row>125</xdr:row>
      <xdr:rowOff>257175</xdr:rowOff>
    </xdr:to>
    <xdr:cxnSp macro="">
      <xdr:nvCxnSpPr>
        <xdr:cNvPr id="10" name="ตัวเชื่อมต่อตรง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CxnSpPr/>
      </xdr:nvCxnSpPr>
      <xdr:spPr>
        <a:xfrm rot="5400000" flipH="1" flipV="1">
          <a:off x="2412206" y="34930557"/>
          <a:ext cx="161925" cy="10001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1038225</xdr:colOff>
      <xdr:row>126</xdr:row>
      <xdr:rowOff>123825</xdr:rowOff>
    </xdr:from>
    <xdr:to>
      <xdr:col>1</xdr:col>
      <xdr:colOff>1114425</xdr:colOff>
      <xdr:row>126</xdr:row>
      <xdr:rowOff>209550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1343025" y="35204400"/>
          <a:ext cx="76200" cy="85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1009649</xdr:colOff>
      <xdr:row>126</xdr:row>
      <xdr:rowOff>85726</xdr:rowOff>
    </xdr:from>
    <xdr:to>
      <xdr:col>1</xdr:col>
      <xdr:colOff>1171574</xdr:colOff>
      <xdr:row>126</xdr:row>
      <xdr:rowOff>257176</xdr:rowOff>
    </xdr:to>
    <xdr:cxnSp macro="">
      <xdr:nvCxnSpPr>
        <xdr:cNvPr id="12" name="ตัวเชื่อมต่อตรง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CxnSpPr/>
      </xdr:nvCxnSpPr>
      <xdr:spPr>
        <a:xfrm rot="5400000" flipH="1" flipV="1">
          <a:off x="1309687" y="35171063"/>
          <a:ext cx="171450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314325</xdr:colOff>
      <xdr:row>134</xdr:row>
      <xdr:rowOff>38100</xdr:rowOff>
    </xdr:from>
    <xdr:to>
      <xdr:col>9</xdr:col>
      <xdr:colOff>952500</xdr:colOff>
      <xdr:row>135</xdr:row>
      <xdr:rowOff>47625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/>
      </xdr:nvSpPr>
      <xdr:spPr>
        <a:xfrm>
          <a:off x="9820275" y="37328475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305666</xdr:colOff>
      <xdr:row>188</xdr:row>
      <xdr:rowOff>0</xdr:rowOff>
    </xdr:from>
    <xdr:to>
      <xdr:col>9</xdr:col>
      <xdr:colOff>943841</xdr:colOff>
      <xdr:row>188</xdr:row>
      <xdr:rowOff>61479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 txBox="1"/>
      </xdr:nvSpPr>
      <xdr:spPr>
        <a:xfrm>
          <a:off x="9811616" y="52206525"/>
          <a:ext cx="561975" cy="61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262371</xdr:colOff>
      <xdr:row>215</xdr:row>
      <xdr:rowOff>17320</xdr:rowOff>
    </xdr:from>
    <xdr:to>
      <xdr:col>9</xdr:col>
      <xdr:colOff>900546</xdr:colOff>
      <xdr:row>216</xdr:row>
      <xdr:rowOff>26845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 txBox="1"/>
      </xdr:nvSpPr>
      <xdr:spPr>
        <a:xfrm>
          <a:off x="9768321" y="59681920"/>
          <a:ext cx="6000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297007</xdr:colOff>
      <xdr:row>242</xdr:row>
      <xdr:rowOff>25977</xdr:rowOff>
    </xdr:from>
    <xdr:to>
      <xdr:col>9</xdr:col>
      <xdr:colOff>935182</xdr:colOff>
      <xdr:row>243</xdr:row>
      <xdr:rowOff>35502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/>
      </xdr:nvSpPr>
      <xdr:spPr>
        <a:xfrm>
          <a:off x="9802957" y="67148652"/>
          <a:ext cx="5715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1</xdr:col>
      <xdr:colOff>2066925</xdr:colOff>
      <xdr:row>150</xdr:row>
      <xdr:rowOff>133350</xdr:rowOff>
    </xdr:from>
    <xdr:to>
      <xdr:col>1</xdr:col>
      <xdr:colOff>2162175</xdr:colOff>
      <xdr:row>150</xdr:row>
      <xdr:rowOff>228600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 txBox="1"/>
      </xdr:nvSpPr>
      <xdr:spPr>
        <a:xfrm>
          <a:off x="2371725" y="41843325"/>
          <a:ext cx="95250" cy="95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9</xdr:col>
      <xdr:colOff>314325</xdr:colOff>
      <xdr:row>269</xdr:row>
      <xdr:rowOff>25978</xdr:rowOff>
    </xdr:from>
    <xdr:to>
      <xdr:col>9</xdr:col>
      <xdr:colOff>952500</xdr:colOff>
      <xdr:row>270</xdr:row>
      <xdr:rowOff>35503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/>
      </xdr:nvSpPr>
      <xdr:spPr>
        <a:xfrm>
          <a:off x="9820275" y="74606728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9</xdr:col>
      <xdr:colOff>271029</xdr:colOff>
      <xdr:row>296</xdr:row>
      <xdr:rowOff>0</xdr:rowOff>
    </xdr:from>
    <xdr:to>
      <xdr:col>9</xdr:col>
      <xdr:colOff>909204</xdr:colOff>
      <xdr:row>297</xdr:row>
      <xdr:rowOff>9526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 txBox="1"/>
      </xdr:nvSpPr>
      <xdr:spPr>
        <a:xfrm>
          <a:off x="9776979" y="82038825"/>
          <a:ext cx="600075" cy="285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1</xdr:col>
      <xdr:colOff>2066925</xdr:colOff>
      <xdr:row>151</xdr:row>
      <xdr:rowOff>133350</xdr:rowOff>
    </xdr:from>
    <xdr:to>
      <xdr:col>1</xdr:col>
      <xdr:colOff>2152650</xdr:colOff>
      <xdr:row>151</xdr:row>
      <xdr:rowOff>228600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 txBox="1"/>
      </xdr:nvSpPr>
      <xdr:spPr>
        <a:xfrm>
          <a:off x="2371725" y="42119550"/>
          <a:ext cx="85725" cy="9525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1990725</xdr:colOff>
      <xdr:row>152</xdr:row>
      <xdr:rowOff>133350</xdr:rowOff>
    </xdr:from>
    <xdr:to>
      <xdr:col>1</xdr:col>
      <xdr:colOff>2105025</xdr:colOff>
      <xdr:row>152</xdr:row>
      <xdr:rowOff>228600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 txBox="1"/>
      </xdr:nvSpPr>
      <xdr:spPr>
        <a:xfrm>
          <a:off x="2295525" y="42395775"/>
          <a:ext cx="114300" cy="95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2181225</xdr:colOff>
      <xdr:row>153</xdr:row>
      <xdr:rowOff>133350</xdr:rowOff>
    </xdr:from>
    <xdr:to>
      <xdr:col>1</xdr:col>
      <xdr:colOff>2276475</xdr:colOff>
      <xdr:row>153</xdr:row>
      <xdr:rowOff>228600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 txBox="1"/>
      </xdr:nvSpPr>
      <xdr:spPr>
        <a:xfrm>
          <a:off x="2486025" y="42672000"/>
          <a:ext cx="95250" cy="95250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2085974</xdr:colOff>
      <xdr:row>150</xdr:row>
      <xdr:rowOff>114300</xdr:rowOff>
    </xdr:from>
    <xdr:to>
      <xdr:col>1</xdr:col>
      <xdr:colOff>2171699</xdr:colOff>
      <xdr:row>150</xdr:row>
      <xdr:rowOff>238125</xdr:rowOff>
    </xdr:to>
    <xdr:cxnSp macro="">
      <xdr:nvCxnSpPr>
        <xdr:cNvPr id="23" name="ตัวเชื่อมต่อตรง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CxnSpPr/>
      </xdr:nvCxnSpPr>
      <xdr:spPr>
        <a:xfrm rot="5400000" flipH="1" flipV="1">
          <a:off x="2371724" y="41843325"/>
          <a:ext cx="123825" cy="85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2009774</xdr:colOff>
      <xdr:row>152</xdr:row>
      <xdr:rowOff>123825</xdr:rowOff>
    </xdr:from>
    <xdr:to>
      <xdr:col>1</xdr:col>
      <xdr:colOff>2095499</xdr:colOff>
      <xdr:row>152</xdr:row>
      <xdr:rowOff>247650</xdr:rowOff>
    </xdr:to>
    <xdr:cxnSp macro="">
      <xdr:nvCxnSpPr>
        <xdr:cNvPr id="24" name="ตัวเชื่อมต่อตรง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CxnSpPr/>
      </xdr:nvCxnSpPr>
      <xdr:spPr>
        <a:xfrm rot="5400000" flipH="1" flipV="1">
          <a:off x="2295524" y="42405300"/>
          <a:ext cx="123825" cy="85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2171699</xdr:colOff>
      <xdr:row>153</xdr:row>
      <xdr:rowOff>114300</xdr:rowOff>
    </xdr:from>
    <xdr:to>
      <xdr:col>1</xdr:col>
      <xdr:colOff>2257424</xdr:colOff>
      <xdr:row>153</xdr:row>
      <xdr:rowOff>238125</xdr:rowOff>
    </xdr:to>
    <xdr:cxnSp macro="">
      <xdr:nvCxnSpPr>
        <xdr:cNvPr id="25" name="ตัวเชื่อมต่อตรง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CxnSpPr/>
      </xdr:nvCxnSpPr>
      <xdr:spPr>
        <a:xfrm rot="5400000" flipH="1" flipV="1">
          <a:off x="2457449" y="42672000"/>
          <a:ext cx="123825" cy="85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314325</xdr:colOff>
      <xdr:row>161</xdr:row>
      <xdr:rowOff>38100</xdr:rowOff>
    </xdr:from>
    <xdr:to>
      <xdr:col>9</xdr:col>
      <xdr:colOff>952500</xdr:colOff>
      <xdr:row>162</xdr:row>
      <xdr:rowOff>47625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 txBox="1"/>
      </xdr:nvSpPr>
      <xdr:spPr>
        <a:xfrm>
          <a:off x="9820275" y="44786550"/>
          <a:ext cx="5524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1100"/>
            <a:t>ปร.4</a:t>
          </a:r>
        </a:p>
      </xdr:txBody>
    </xdr:sp>
    <xdr:clientData/>
  </xdr:twoCellAnchor>
  <xdr:twoCellAnchor>
    <xdr:from>
      <xdr:col>1</xdr:col>
      <xdr:colOff>1016578</xdr:colOff>
      <xdr:row>230</xdr:row>
      <xdr:rowOff>129886</xdr:rowOff>
    </xdr:from>
    <xdr:to>
      <xdr:col>1</xdr:col>
      <xdr:colOff>1103169</xdr:colOff>
      <xdr:row>230</xdr:row>
      <xdr:rowOff>216477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 txBox="1"/>
      </xdr:nvSpPr>
      <xdr:spPr>
        <a:xfrm>
          <a:off x="1321378" y="63937861"/>
          <a:ext cx="86591" cy="865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1024373</xdr:colOff>
      <xdr:row>230</xdr:row>
      <xdr:rowOff>87456</xdr:rowOff>
    </xdr:from>
    <xdr:to>
      <xdr:col>1</xdr:col>
      <xdr:colOff>1102304</xdr:colOff>
      <xdr:row>230</xdr:row>
      <xdr:rowOff>260638</xdr:rowOff>
    </xdr:to>
    <xdr:cxnSp macro="">
      <xdr:nvCxnSpPr>
        <xdr:cNvPr id="28" name="ตัวเชื่อมต่อตรง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CxnSpPr/>
      </xdr:nvCxnSpPr>
      <xdr:spPr>
        <a:xfrm rot="5400000" flipH="1" flipV="1">
          <a:off x="1281548" y="63943056"/>
          <a:ext cx="173182" cy="779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450273</xdr:colOff>
      <xdr:row>314</xdr:row>
      <xdr:rowOff>138546</xdr:rowOff>
    </xdr:from>
    <xdr:to>
      <xdr:col>1</xdr:col>
      <xdr:colOff>545523</xdr:colOff>
      <xdr:row>314</xdr:row>
      <xdr:rowOff>216477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/>
      </xdr:nvSpPr>
      <xdr:spPr>
        <a:xfrm>
          <a:off x="755073" y="87149421"/>
          <a:ext cx="95250" cy="7793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457200</xdr:colOff>
      <xdr:row>315</xdr:row>
      <xdr:rowOff>129886</xdr:rowOff>
    </xdr:from>
    <xdr:to>
      <xdr:col>1</xdr:col>
      <xdr:colOff>552450</xdr:colOff>
      <xdr:row>315</xdr:row>
      <xdr:rowOff>216477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/>
      </xdr:nvSpPr>
      <xdr:spPr>
        <a:xfrm>
          <a:off x="762000" y="87416986"/>
          <a:ext cx="95250" cy="865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th-TH" sz="1100"/>
        </a:p>
      </xdr:txBody>
    </xdr:sp>
    <xdr:clientData/>
  </xdr:twoCellAnchor>
  <xdr:twoCellAnchor>
    <xdr:from>
      <xdr:col>1</xdr:col>
      <xdr:colOff>467591</xdr:colOff>
      <xdr:row>314</xdr:row>
      <xdr:rowOff>112570</xdr:rowOff>
    </xdr:from>
    <xdr:to>
      <xdr:col>1</xdr:col>
      <xdr:colOff>532534</xdr:colOff>
      <xdr:row>314</xdr:row>
      <xdr:rowOff>233797</xdr:rowOff>
    </xdr:to>
    <xdr:cxnSp macro="">
      <xdr:nvCxnSpPr>
        <xdr:cNvPr id="31" name="ตัวเชื่อมต่อตรง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CxnSpPr/>
      </xdr:nvCxnSpPr>
      <xdr:spPr>
        <a:xfrm rot="5400000" flipH="1" flipV="1">
          <a:off x="744249" y="87151587"/>
          <a:ext cx="121227" cy="649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467591</xdr:colOff>
      <xdr:row>315</xdr:row>
      <xdr:rowOff>122095</xdr:rowOff>
    </xdr:from>
    <xdr:to>
      <xdr:col>1</xdr:col>
      <xdr:colOff>532534</xdr:colOff>
      <xdr:row>315</xdr:row>
      <xdr:rowOff>243322</xdr:rowOff>
    </xdr:to>
    <xdr:cxnSp macro="">
      <xdr:nvCxnSpPr>
        <xdr:cNvPr id="32" name="ตัวเชื่อมต่อตรง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CxnSpPr/>
      </xdr:nvCxnSpPr>
      <xdr:spPr>
        <a:xfrm rot="5400000" flipH="1" flipV="1">
          <a:off x="744249" y="87437337"/>
          <a:ext cx="121227" cy="649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2057399</xdr:colOff>
      <xdr:row>151</xdr:row>
      <xdr:rowOff>123825</xdr:rowOff>
    </xdr:from>
    <xdr:to>
      <xdr:col>1</xdr:col>
      <xdr:colOff>2143124</xdr:colOff>
      <xdr:row>151</xdr:row>
      <xdr:rowOff>247650</xdr:rowOff>
    </xdr:to>
    <xdr:cxnSp macro="">
      <xdr:nvCxnSpPr>
        <xdr:cNvPr id="33" name="ตัวเชื่อมต่อตรง 3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CxnSpPr/>
      </xdr:nvCxnSpPr>
      <xdr:spPr>
        <a:xfrm rot="5400000" flipH="1" flipV="1">
          <a:off x="2343149" y="42129075"/>
          <a:ext cx="123825" cy="857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3;&#3636;&#3624;&#3623;&#3585;&#3619;&#3619;&#3617;/&#3607;&#3656;&#3634;&#3604;&#3656;&#3634;&#3609;/&#3619;&#3632;&#3610;&#3610;&#3626;&#3633;&#3597;&#3597;&#3634;3(final)/unitcost%20&#3626;&#3633;&#3597;&#3597;&#3634;3/BOQ&#3626;&#3633;&#3597;&#3597;&#3634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07;&#3633;&#3657;&#3591;&#3627;&#3617;&#3604;/&#3591;&#3634;&#3609;&#3611;&#3619;&#3632;&#3617;&#3634;&#3603;&#3619;&#3634;&#3588;&#3634;&#3650;&#3588;&#3619;&#3591;&#3585;&#3634;&#3619;&#3605;&#3656;&#3634;&#3591;&#3654;/&#3650;&#3588;&#3591;&#3585;&#3634;&#3619;&#3648;&#3586;&#3639;&#3656;&#3629;&#3609;&#3585;&#3636;&#3656;&#3623;&#3588;&#3629;&#3627;&#3617;&#3634;/&#3591;&#3634;&#3609;&#3648;&#3627;&#3617;&#3634;&#3619;&#3623;&#3617;&#3585;&#3636;&#3656;&#3623;&#3588;&#3629;&#3627;&#3617;&#3634;/MSOffice/Excel/project41/extimate41/grang/chol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;&#3634;&#3609;&#3607;&#3634;&#3591;\&#3605;&#3657;&#3609;&#3607;&#3640;&#3609;&#3591;&#3634;&#3609;&#3607;&#3634;&#3591;&#3626;&#3634;&#3618;&#3607;&#3634;&#3591;&#3648;&#3586;&#3657;&#3634;&#3629;&#3634;&#3588;&#3634;&#3619;34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&#3648;&#3626;&#3609;&#3629;&#3619;&#3634;&#3588;&#3634;-%20(&#3626;&#3641;&#3605;&#3619;)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R_ROAD2%20(Betong)\09DOR_ROAD2_Cost%20&amp;%20BOQ\Final_BOQ&#3648;&#3610;&#3605;&#3591;-&#3649;&#3585;&#3657;&#3652;&#3586;(&#3609;&#3635;&#3617;&#3633;&#3609;%2019.50%20&#3610;&#3634;&#3607;&#3605;&#3656;&#3629;&#3621;&#3636;&#3605;&#3619;-&#3651;&#3627;&#3617;&#3656;)updat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619;&#3634;&#3594;&#3585;&#3634;&#3619;/&#3619;&#3634;&#3594;&#3585;&#3634;&#3619;/&#3585;&#3619;&#3617;&#3605;&#3656;&#3634;&#3591;&#3654;/&#3626;&#3635;&#3609;&#3633;&#3585;&#3591;&#3634;&#3609;&#3611;&#3621;&#3633;&#3604;&#3631;/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;&#3634;&#3609;&#3585;&#3619;&#3617;&#3631;\&#3619;&#3634;&#3618;&#3585;&#3634;&#3619;&#3611;&#3619;&#3632;&#3617;&#3634;&#3603;&#3619;&#3634;&#3588;&#3634;%2048\&#3591;&#3634;&#3609;&#3612;&#3633;&#3591;&#3648;&#3617;&#3639;&#3629;&#3591;\&#3648;&#3621;&#3637;&#3656;&#3618;&#3591;&#3648;&#3617;&#3639;&#3629;&#3591;&#3648;&#3610;&#3605;&#3591;\05-06-20%20BOQ_Update-&#3649;&#3585;&#3657;&#3652;&#3586;\06%20-%20&#3591;&#3634;&#3609;&#3611;&#3657;&#3629;&#3591;&#3585;&#3633;&#3609;&#3648;&#3594;&#3636;&#3591;&#3621;&#3634;&#3604;&#3649;&#3621;&#3632;&#3619;&#3632;&#3610;&#3610;&#3619;&#3632;&#3610;&#3634;&#3618;&#3609;&#3657;&#3635;\Retaing%20wall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91;&#3634;&#3609;&#3585;&#3619;&#3617;&#3631;\&#3619;&#3634;&#3618;&#3585;&#3634;&#3619;&#3611;&#3619;&#3632;&#3617;&#3634;&#3603;&#3619;&#3634;&#3588;&#3634;%2048\&#3591;&#3634;&#3609;&#3612;&#3633;&#3591;&#3648;&#3617;&#3639;&#3629;&#3591;\&#3648;&#3621;&#3637;&#3656;&#3618;&#3591;&#3648;&#3617;&#3639;&#3629;&#3591;&#3648;&#3610;&#3605;&#3591;\05-06-20%20BOQ_Update-&#3649;&#3585;&#3657;&#3652;&#3586;\09%20-%20BOQ\BOQ-UPDATE&#3648;&#3610;&#3605;&#35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angrut\d\New%20%20Folder(2)\&#3591;&#3634;&#3609;&#3586;&#3629;&#3591;&#3626;&#3640;&#3619;&#3634;&#3591;&#3588;&#3660;&#3619;&#3633;&#3605;&#3609;&#3660;\&#3649;&#3610;&#3610;&#3615;&#3619;&#3629;&#3617;&#3660;%20BOQ\backup\lrm\load%20%20schedu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ัญญา3"/>
      <sheetName val="ปตร"/>
      <sheetName val="Fto"/>
      <sheetName val="Fto2"/>
      <sheetName val="Fto3"/>
      <sheetName val="Cal Fto"/>
      <sheetName val="output"/>
      <sheetName val="output2"/>
      <sheetName val="output3"/>
      <sheetName val="install"/>
      <sheetName val="fto สัญญา3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bq"/>
      <sheetName val="ชี้แจงราคา cape seal"/>
      <sheetName val="uc1"/>
      <sheetName val="select"/>
      <sheetName val="สรุปประเมิน"/>
      <sheetName val="งานที่เหลือ"/>
      <sheetName val="ปรับลดงาน"/>
      <sheetName val="ประเมิน"/>
      <sheetName val="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.5 ใส่ค่าเอง"/>
      <sheetName val="ปร.5"/>
      <sheetName val="ปร.4"/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</sheetNames>
    <sheetDataSet>
      <sheetData sheetId="0"/>
      <sheetData sheetId="1"/>
      <sheetData sheetId="2"/>
      <sheetData sheetId="3">
        <row r="2">
          <cell r="B2">
            <v>2</v>
          </cell>
        </row>
        <row r="4">
          <cell r="L4">
            <v>10</v>
          </cell>
          <cell r="N4">
            <v>41.43</v>
          </cell>
        </row>
        <row r="12">
          <cell r="T12">
            <v>10</v>
          </cell>
          <cell r="V12">
            <v>41.43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산근"/>
      <sheetName val="#REF"/>
      <sheetName val="封面 "/>
      <sheetName val="粉刷"/>
      <sheetName val="裝修"/>
      <sheetName val="風管工程"/>
      <sheetName val="合約價"/>
      <sheetName val="วัดใต้"/>
      <sheetName val="ราคาต่อหน่วย2-9"/>
      <sheetName val="รวมราคาทั้งสิ้น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5"/>
      <sheetName val="ปร4"/>
      <sheetName val="ปร4.1"/>
      <sheetName val="การหาค่า factor F"/>
      <sheetName val="BOQ"/>
      <sheetName val="งานทั่วไปฯ"/>
      <sheetName val="ราคาต้นทุนต่อหน่วย"/>
      <sheetName val="BOQ Arch"/>
      <sheetName val="ค่าดำเนินการ+ค่าเสื่อมราคา"/>
      <sheetName val="ค่าขนส่ง"/>
      <sheetName val="ค่าขนส่งที่ราคาน้ำมัน 19.99 บาท"/>
      <sheetName val="ราคาวัสดุ"/>
      <sheetName val="ราคาวัสดุที่จว.ยะลา"/>
      <sheetName val="ค่าขนส่ง-1"/>
      <sheetName val="F-งานสะพาน"/>
      <sheetName val="F-งานทาง"/>
      <sheetName val="F ฝนตกชุก"/>
      <sheetName val="F-งานอาคาร"/>
      <sheetName val="ราคาค่าก่อสร้า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1">
          <cell r="K61">
            <v>13</v>
          </cell>
          <cell r="M61">
            <v>18.71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FConclude"/>
      <sheetName val="FCalSH"/>
      <sheetName val="FCalSH (2)"/>
      <sheetName val="FBarList"/>
      <sheetName val="FInput"/>
      <sheetName val="FResult"/>
      <sheetName val="Sheet1"/>
    </sheetNames>
    <sheetDataSet>
      <sheetData sheetId="0" refreshError="1"/>
      <sheetData sheetId="1" refreshError="1"/>
      <sheetData sheetId="2" refreshError="1">
        <row r="18">
          <cell r="G18">
            <v>1.1549999999999998</v>
          </cell>
        </row>
        <row r="19">
          <cell r="G19">
            <v>6.91</v>
          </cell>
        </row>
        <row r="21">
          <cell r="G21">
            <v>0.185</v>
          </cell>
        </row>
        <row r="27">
          <cell r="G27">
            <v>3.7049999999999996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่าดำเนินการ+เสื่อมราคา"/>
      <sheetName val="ราคาคอนกรีตต่อหน่วย"/>
      <sheetName val="Sheet1"/>
      <sheetName val="ต้นทุนงานทาง"/>
      <sheetName val="งานถมดินใหม่"/>
      <sheetName val="ราคาวัสดุ"/>
      <sheetName val="ต้นทุนต่อหน่วย-ปร.1"/>
      <sheetName val="BOQ"/>
      <sheetName val="รายการสรุปผล"/>
      <sheetName val="สรุปผล"/>
      <sheetName val="F-งานสะพาน"/>
      <sheetName val="F-งานทาง"/>
      <sheetName val="F ฝนตกชุก"/>
    </sheetNames>
    <sheetDataSet>
      <sheetData sheetId="0"/>
      <sheetData sheetId="1" refreshError="1"/>
      <sheetData sheetId="2"/>
      <sheetData sheetId="3" refreshError="1">
        <row r="311">
          <cell r="J311">
            <v>9.0190000000000001</v>
          </cell>
        </row>
        <row r="319">
          <cell r="J319">
            <v>14.779</v>
          </cell>
        </row>
        <row r="542">
          <cell r="J542">
            <v>1330</v>
          </cell>
        </row>
        <row r="543">
          <cell r="J543">
            <v>410</v>
          </cell>
        </row>
        <row r="544">
          <cell r="J544">
            <v>375</v>
          </cell>
        </row>
        <row r="545">
          <cell r="J545">
            <v>1630</v>
          </cell>
        </row>
      </sheetData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LA"/>
      <sheetName val="LOAD-GEPA"/>
      <sheetName val="LOAD-GLA (2)"/>
      <sheetName val="FORM"/>
      <sheetName val="LOAD"/>
      <sheetName val="LOTUS-EE2"/>
      <sheetName val="LOTUS-EE1"/>
      <sheetName val="LOAD-GELA"/>
      <sheetName val="GLA"/>
      <sheetName val="LOAD-GLA"/>
      <sheetName val="GLD"/>
      <sheetName val="GELD"/>
      <sheetName val="LOAD-GELD"/>
      <sheetName val="2LA"/>
      <sheetName val="2LB"/>
      <sheetName val="LOAD-2LB"/>
      <sheetName val="2LC"/>
      <sheetName val="2PA"/>
      <sheetName val="LOAD-2PA"/>
      <sheetName val="2PB"/>
      <sheetName val="2PC"/>
      <sheetName val="LOAD-2PC"/>
      <sheetName val="PPB"/>
      <sheetName val="PPM"/>
      <sheetName val="LOAD-PPM"/>
      <sheetName val="PPS"/>
      <sheetName val="PPT"/>
      <sheetName val="LOAD-PPT"/>
      <sheetName val="2ELA"/>
      <sheetName val="2ELB"/>
      <sheetName val="LOAD-2ELB"/>
      <sheetName val="2ELC"/>
      <sheetName val="2EPP"/>
      <sheetName val="LOAD-2EPP"/>
      <sheetName val="2EPB"/>
      <sheetName val="2EPC1"/>
      <sheetName val="LOAD-2EPC1"/>
      <sheetName val="2EPA"/>
      <sheetName val="2EPC"/>
      <sheetName val="LOAD-2EPC2"/>
      <sheetName val="2UB"/>
      <sheetName val="2UC"/>
      <sheetName val="LOAD-2UC"/>
      <sheetName val="3LA"/>
      <sheetName val="3LC"/>
      <sheetName val="LOAD-3LC"/>
      <sheetName val="3PA"/>
      <sheetName val="3PB"/>
      <sheetName val="LOAD-3PB"/>
      <sheetName val="3PC"/>
      <sheetName val="PFC"/>
      <sheetName val="LOAD-PFC"/>
      <sheetName val="PHD"/>
      <sheetName val="PDW"/>
      <sheetName val="LOAD-PDW"/>
      <sheetName val="3EPA"/>
      <sheetName val="3EPC"/>
      <sheetName val="LOAD-3EPC"/>
      <sheetName val="3UA"/>
      <sheetName val="3UC"/>
      <sheetName val="LOAD-3UC)"/>
      <sheetName val="3ELA"/>
      <sheetName val="3ELB"/>
      <sheetName val="LOAD-3ELB"/>
      <sheetName val="3ELC"/>
      <sheetName val="HARDWARE"/>
      <sheetName val="LOAD-HARDWARE"/>
      <sheetName val="GS (4)"/>
      <sheetName val="VDO"/>
      <sheetName val="LOAD-VDO"/>
      <sheetName val="FC"/>
      <sheetName val="GS (1)"/>
      <sheetName val="LOAD-GS(1)"/>
      <sheetName val="GS 13"/>
      <sheetName val="2S1"/>
      <sheetName val="LOAD-GS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yotathai.net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B1:T39"/>
  <sheetViews>
    <sheetView showGridLines="0" showRowColHeaders="0" showOutlineSymbols="0" workbookViewId="0">
      <selection activeCell="M11" sqref="M11"/>
    </sheetView>
  </sheetViews>
  <sheetFormatPr defaultColWidth="9.125" defaultRowHeight="19.8"/>
  <cols>
    <col min="1" max="1" width="3.75" style="3" customWidth="1"/>
    <col min="2" max="2" width="11.375" style="3" customWidth="1"/>
    <col min="3" max="3" width="11.375" style="2" customWidth="1"/>
    <col min="4" max="8" width="10.875" style="3" hidden="1" customWidth="1"/>
    <col min="9" max="11" width="11.875" style="2" customWidth="1"/>
    <col min="12" max="12" width="11.875" style="3" customWidth="1"/>
    <col min="13" max="14" width="13.125" style="3" customWidth="1"/>
    <col min="15" max="15" width="4.25" style="3" customWidth="1"/>
    <col min="16" max="16" width="0" style="5" hidden="1" customWidth="1"/>
    <col min="17" max="17" width="13.625" style="5" hidden="1" customWidth="1"/>
    <col min="18" max="18" width="14.125" style="6" hidden="1" customWidth="1"/>
    <col min="19" max="19" width="11.375" style="5" hidden="1" customWidth="1"/>
    <col min="20" max="20" width="0" style="5" hidden="1" customWidth="1"/>
    <col min="21" max="16384" width="9.125" style="3"/>
  </cols>
  <sheetData>
    <row r="1" spans="2:20" ht="17.100000000000001" customHeight="1" thickBot="1">
      <c r="B1" s="1"/>
      <c r="N1" s="4" t="s">
        <v>26</v>
      </c>
    </row>
    <row r="2" spans="2:20" ht="20.399999999999999">
      <c r="B2" s="7"/>
      <c r="C2" s="8"/>
      <c r="D2" s="9"/>
      <c r="E2" s="9"/>
      <c r="F2" s="9"/>
      <c r="G2" s="9"/>
      <c r="H2" s="9"/>
      <c r="I2" s="724" t="s">
        <v>27</v>
      </c>
      <c r="J2" s="724"/>
      <c r="K2" s="724"/>
      <c r="L2" s="724"/>
      <c r="M2" s="724"/>
      <c r="N2" s="725"/>
    </row>
    <row r="3" spans="2:20" ht="8.25" customHeight="1"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20">
      <c r="B4" s="14"/>
      <c r="C4" s="15"/>
      <c r="D4" s="16"/>
      <c r="E4" s="16"/>
      <c r="F4" s="16"/>
      <c r="G4" s="16"/>
      <c r="H4" s="16"/>
      <c r="I4" s="17"/>
      <c r="J4" s="726" t="s">
        <v>28</v>
      </c>
      <c r="K4" s="726"/>
      <c r="L4" s="727" t="e">
        <f>ปร.5!#REF!</f>
        <v>#REF!</v>
      </c>
      <c r="M4" s="727"/>
      <c r="N4" s="18" t="s">
        <v>29</v>
      </c>
      <c r="Q4" s="19"/>
      <c r="R4" s="20"/>
      <c r="S4" s="19"/>
    </row>
    <row r="5" spans="2:20">
      <c r="B5" s="14"/>
      <c r="C5" s="21"/>
      <c r="D5" s="22"/>
      <c r="E5" s="22"/>
      <c r="F5" s="22"/>
      <c r="G5" s="22"/>
      <c r="H5" s="22"/>
      <c r="I5" s="22"/>
      <c r="J5" s="726" t="s">
        <v>30</v>
      </c>
      <c r="K5" s="726"/>
      <c r="L5" s="728" t="e">
        <f>IF(L4=0,0,IF(L4&lt;=1000000,N16,IF(L4=500000000,N38,IF(L4&gt;500000000,N39,S11))))</f>
        <v>#REF!</v>
      </c>
      <c r="M5" s="728"/>
      <c r="N5" s="23"/>
      <c r="Q5" s="19"/>
      <c r="R5" s="20"/>
      <c r="S5" s="19" t="s">
        <v>31</v>
      </c>
    </row>
    <row r="6" spans="2:20" ht="21" customHeight="1">
      <c r="B6" s="729" t="s">
        <v>32</v>
      </c>
      <c r="C6" s="730"/>
      <c r="D6" s="24"/>
      <c r="E6" s="24"/>
      <c r="F6" s="24"/>
      <c r="G6" s="24"/>
      <c r="H6" s="24"/>
      <c r="I6" s="24"/>
      <c r="J6" s="17" t="s">
        <v>33</v>
      </c>
      <c r="K6" s="17"/>
      <c r="L6" s="731" t="e">
        <f>ROUND((L5*L4),2)</f>
        <v>#REF!</v>
      </c>
      <c r="M6" s="731"/>
      <c r="N6" s="18" t="s">
        <v>29</v>
      </c>
      <c r="Q6" s="19" t="s">
        <v>34</v>
      </c>
      <c r="R6" s="25" t="e">
        <f>L4/1000000</f>
        <v>#REF!</v>
      </c>
      <c r="S6" s="19"/>
    </row>
    <row r="7" spans="2:20" ht="9" customHeight="1" thickBot="1">
      <c r="B7" s="26"/>
      <c r="C7" s="27"/>
      <c r="D7" s="28"/>
      <c r="E7" s="28"/>
      <c r="F7" s="28"/>
      <c r="G7" s="28"/>
      <c r="H7" s="28"/>
      <c r="I7" s="29"/>
      <c r="J7" s="29"/>
      <c r="K7" s="29"/>
      <c r="L7" s="30"/>
      <c r="M7" s="30"/>
      <c r="N7" s="31"/>
      <c r="Q7" s="19" t="s">
        <v>35</v>
      </c>
      <c r="R7" s="20" t="e">
        <f>VLOOKUP(R6,B17:B38,1)</f>
        <v>#REF!</v>
      </c>
      <c r="S7" s="19" t="e">
        <f>VLOOKUP(R7,$B$17:$N$38,13,FALSE)</f>
        <v>#REF!</v>
      </c>
    </row>
    <row r="8" spans="2:20" ht="9.75" customHeight="1" thickBot="1">
      <c r="B8" s="732"/>
      <c r="C8" s="732"/>
      <c r="D8" s="732"/>
      <c r="E8" s="732"/>
      <c r="F8" s="732"/>
      <c r="G8" s="732"/>
      <c r="H8" s="732"/>
      <c r="I8" s="732"/>
      <c r="J8" s="732"/>
      <c r="K8" s="732"/>
      <c r="L8" s="732"/>
      <c r="M8" s="732"/>
      <c r="N8" s="732"/>
      <c r="Q8" s="19" t="s">
        <v>36</v>
      </c>
      <c r="R8" s="32" t="e">
        <f>MATCH(R7,B17:B38)</f>
        <v>#REF!</v>
      </c>
      <c r="S8" s="19"/>
    </row>
    <row r="9" spans="2:20" s="33" customFormat="1" ht="22.5" customHeight="1">
      <c r="B9" s="733" t="s">
        <v>37</v>
      </c>
      <c r="C9" s="724"/>
      <c r="D9" s="724"/>
      <c r="E9" s="724"/>
      <c r="F9" s="724"/>
      <c r="G9" s="724"/>
      <c r="H9" s="724"/>
      <c r="I9" s="724"/>
      <c r="J9" s="724"/>
      <c r="K9" s="724"/>
      <c r="L9" s="724"/>
      <c r="M9" s="724"/>
      <c r="N9" s="725"/>
      <c r="P9" s="34"/>
      <c r="Q9" s="35" t="s">
        <v>38</v>
      </c>
      <c r="R9" s="32" t="e">
        <f>R8+1</f>
        <v>#REF!</v>
      </c>
      <c r="S9" s="35"/>
      <c r="T9" s="34"/>
    </row>
    <row r="10" spans="2:20" ht="22.5" customHeight="1">
      <c r="B10" s="10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1"/>
      <c r="O10" s="37"/>
      <c r="Q10" s="19" t="s">
        <v>39</v>
      </c>
      <c r="R10" s="32" t="e">
        <f>INDEX(B17:B38,R9)</f>
        <v>#REF!</v>
      </c>
      <c r="S10" s="19" t="e">
        <f>VLOOKUP(R10,$B$17:$N$38,13,FALSE)</f>
        <v>#REF!</v>
      </c>
    </row>
    <row r="11" spans="2:20">
      <c r="B11" s="14" t="s">
        <v>40</v>
      </c>
      <c r="C11" s="38"/>
      <c r="D11" s="39"/>
      <c r="E11" s="39"/>
      <c r="F11" s="39"/>
      <c r="G11" s="39"/>
      <c r="H11" s="39"/>
      <c r="I11" s="40">
        <v>0</v>
      </c>
      <c r="J11" s="38" t="s">
        <v>41</v>
      </c>
      <c r="K11" s="38" t="s">
        <v>42</v>
      </c>
      <c r="L11" s="39"/>
      <c r="M11" s="41">
        <v>7</v>
      </c>
      <c r="N11" s="42" t="s">
        <v>41</v>
      </c>
      <c r="Q11" s="19" t="s">
        <v>43</v>
      </c>
      <c r="R11" s="32"/>
      <c r="S11" s="19" t="e">
        <f>ROUND((S7-((S7-S10)*(R6-R7)/(R10-R7))),4)</f>
        <v>#REF!</v>
      </c>
    </row>
    <row r="12" spans="2:20">
      <c r="B12" s="14" t="s">
        <v>44</v>
      </c>
      <c r="C12" s="38"/>
      <c r="D12" s="39"/>
      <c r="E12" s="39"/>
      <c r="F12" s="39"/>
      <c r="G12" s="39"/>
      <c r="H12" s="39"/>
      <c r="I12" s="40">
        <v>0</v>
      </c>
      <c r="J12" s="38" t="s">
        <v>41</v>
      </c>
      <c r="K12" s="38" t="s">
        <v>45</v>
      </c>
      <c r="L12" s="39"/>
      <c r="M12" s="41">
        <v>7</v>
      </c>
      <c r="N12" s="42" t="s">
        <v>41</v>
      </c>
      <c r="Q12" s="19">
        <v>0</v>
      </c>
      <c r="R12" s="43">
        <v>5</v>
      </c>
      <c r="S12" s="19">
        <v>7</v>
      </c>
    </row>
    <row r="13" spans="2:20" ht="20.399999999999999" thickBot="1">
      <c r="B13" s="26"/>
      <c r="C13" s="44"/>
      <c r="D13" s="45"/>
      <c r="E13" s="45"/>
      <c r="F13" s="45"/>
      <c r="G13" s="45"/>
      <c r="H13" s="45"/>
      <c r="I13" s="44"/>
      <c r="J13" s="44"/>
      <c r="K13" s="44"/>
      <c r="L13" s="45"/>
      <c r="M13" s="44"/>
      <c r="N13" s="46"/>
      <c r="Q13" s="19">
        <v>5</v>
      </c>
      <c r="R13" s="43">
        <v>6</v>
      </c>
      <c r="S13" s="19">
        <v>10</v>
      </c>
    </row>
    <row r="14" spans="2:20" ht="28.5" customHeight="1">
      <c r="B14" s="734" t="s">
        <v>46</v>
      </c>
      <c r="C14" s="736" t="s">
        <v>47</v>
      </c>
      <c r="D14" s="737"/>
      <c r="E14" s="737"/>
      <c r="F14" s="737"/>
      <c r="G14" s="737"/>
      <c r="H14" s="737"/>
      <c r="I14" s="737"/>
      <c r="J14" s="737"/>
      <c r="K14" s="737"/>
      <c r="L14" s="736" t="s">
        <v>48</v>
      </c>
      <c r="M14" s="736" t="s">
        <v>49</v>
      </c>
      <c r="N14" s="739" t="s">
        <v>50</v>
      </c>
      <c r="Q14" s="19">
        <v>10</v>
      </c>
      <c r="R14" s="47">
        <v>7</v>
      </c>
      <c r="S14" s="19"/>
    </row>
    <row r="15" spans="2:20" ht="41.25" customHeight="1" thickBot="1">
      <c r="B15" s="735"/>
      <c r="C15" s="48" t="s">
        <v>51</v>
      </c>
      <c r="D15" s="49" t="s">
        <v>52</v>
      </c>
      <c r="E15" s="49" t="s">
        <v>53</v>
      </c>
      <c r="F15" s="49" t="s">
        <v>54</v>
      </c>
      <c r="G15" s="49" t="s">
        <v>55</v>
      </c>
      <c r="H15" s="49" t="s">
        <v>56</v>
      </c>
      <c r="I15" s="48" t="s">
        <v>57</v>
      </c>
      <c r="J15" s="48" t="s">
        <v>58</v>
      </c>
      <c r="K15" s="48" t="s">
        <v>59</v>
      </c>
      <c r="L15" s="738"/>
      <c r="M15" s="738"/>
      <c r="N15" s="740"/>
      <c r="Q15" s="19">
        <v>15</v>
      </c>
      <c r="R15" s="47">
        <v>8</v>
      </c>
      <c r="S15" s="19"/>
    </row>
    <row r="16" spans="2:20">
      <c r="B16" s="50" t="s">
        <v>60</v>
      </c>
      <c r="C16" s="51">
        <v>12.266</v>
      </c>
      <c r="D16" s="52">
        <v>6</v>
      </c>
      <c r="E16" s="52">
        <v>3</v>
      </c>
      <c r="F16" s="53">
        <f>$I$11</f>
        <v>0</v>
      </c>
      <c r="G16" s="53">
        <f>$I$12</f>
        <v>0</v>
      </c>
      <c r="H16" s="54">
        <f>$M$11</f>
        <v>7</v>
      </c>
      <c r="I16" s="51">
        <f>(-1)*(H16/12)*((G16/100)+((D16+E16-1)*(F16/100))-(((F16+G16)/100)*((D16+1)/2))-(E16-1))</f>
        <v>1.1666666666666667</v>
      </c>
      <c r="J16" s="51">
        <v>5.5</v>
      </c>
      <c r="K16" s="51">
        <f>C16+I16+J16</f>
        <v>18.932666666666666</v>
      </c>
      <c r="L16" s="55">
        <f>1+(K16/100)</f>
        <v>1.1893266666666666</v>
      </c>
      <c r="M16" s="51">
        <f>1+($M$12/100)</f>
        <v>1.07</v>
      </c>
      <c r="N16" s="56">
        <f>ROUND(L16*M16,4)</f>
        <v>1.2726</v>
      </c>
      <c r="Q16" s="19"/>
      <c r="R16" s="43">
        <v>9</v>
      </c>
      <c r="S16" s="19"/>
    </row>
    <row r="17" spans="2:19">
      <c r="B17" s="57">
        <v>1</v>
      </c>
      <c r="C17" s="58">
        <v>12.266</v>
      </c>
      <c r="D17" s="59">
        <v>6</v>
      </c>
      <c r="E17" s="59">
        <v>3</v>
      </c>
      <c r="F17" s="60">
        <f t="shared" ref="F17:F39" si="0">$I$11</f>
        <v>0</v>
      </c>
      <c r="G17" s="60">
        <f t="shared" ref="G17:G39" si="1">$I$12</f>
        <v>0</v>
      </c>
      <c r="H17" s="61">
        <f t="shared" ref="H17:H39" si="2">$M$11</f>
        <v>7</v>
      </c>
      <c r="I17" s="58">
        <f t="shared" ref="I17:I39" si="3">(-1)*(H17/12)*((G17/100)+((D17+E17-1)*(F17/100))-(((F17+G17)/100)*((D17+1)/2))-(E17-1))</f>
        <v>1.1666666666666667</v>
      </c>
      <c r="J17" s="58">
        <v>5.5</v>
      </c>
      <c r="K17" s="58">
        <f t="shared" ref="K17:K39" si="4">C17+I17+J17</f>
        <v>18.932666666666666</v>
      </c>
      <c r="L17" s="62">
        <f t="shared" ref="L17:L39" si="5">1+(K17/100)</f>
        <v>1.1893266666666666</v>
      </c>
      <c r="M17" s="58">
        <f t="shared" ref="M17:M39" si="6">1+($M$12/100)</f>
        <v>1.07</v>
      </c>
      <c r="N17" s="63">
        <f t="shared" ref="N17:N39" si="7">ROUND(L17*M17,4)</f>
        <v>1.2726</v>
      </c>
      <c r="Q17" s="19"/>
      <c r="R17" s="43">
        <v>10</v>
      </c>
      <c r="S17" s="19"/>
    </row>
    <row r="18" spans="2:19">
      <c r="B18" s="57">
        <v>2</v>
      </c>
      <c r="C18" s="58">
        <v>12.0383</v>
      </c>
      <c r="D18" s="59">
        <v>9</v>
      </c>
      <c r="E18" s="59">
        <v>3</v>
      </c>
      <c r="F18" s="60">
        <f t="shared" si="0"/>
        <v>0</v>
      </c>
      <c r="G18" s="60">
        <f t="shared" si="1"/>
        <v>0</v>
      </c>
      <c r="H18" s="61">
        <f t="shared" si="2"/>
        <v>7</v>
      </c>
      <c r="I18" s="58">
        <f t="shared" si="3"/>
        <v>1.1666666666666667</v>
      </c>
      <c r="J18" s="58">
        <v>5.5</v>
      </c>
      <c r="K18" s="58">
        <f t="shared" si="4"/>
        <v>18.704966666666664</v>
      </c>
      <c r="L18" s="62">
        <f t="shared" si="5"/>
        <v>1.1870496666666666</v>
      </c>
      <c r="M18" s="58">
        <f t="shared" si="6"/>
        <v>1.07</v>
      </c>
      <c r="N18" s="63">
        <f t="shared" si="7"/>
        <v>1.2701</v>
      </c>
    </row>
    <row r="19" spans="2:19">
      <c r="B19" s="57">
        <v>5</v>
      </c>
      <c r="C19" s="58">
        <v>11.94</v>
      </c>
      <c r="D19" s="59">
        <v>12</v>
      </c>
      <c r="E19" s="59">
        <v>3</v>
      </c>
      <c r="F19" s="60">
        <f t="shared" si="0"/>
        <v>0</v>
      </c>
      <c r="G19" s="60">
        <f t="shared" si="1"/>
        <v>0</v>
      </c>
      <c r="H19" s="61">
        <f t="shared" si="2"/>
        <v>7</v>
      </c>
      <c r="I19" s="58">
        <f t="shared" si="3"/>
        <v>1.1666666666666667</v>
      </c>
      <c r="J19" s="58">
        <v>5.5</v>
      </c>
      <c r="K19" s="58">
        <f t="shared" si="4"/>
        <v>18.606666666666666</v>
      </c>
      <c r="L19" s="62">
        <f t="shared" si="5"/>
        <v>1.1860666666666666</v>
      </c>
      <c r="M19" s="58">
        <f t="shared" si="6"/>
        <v>1.07</v>
      </c>
      <c r="N19" s="63">
        <f t="shared" si="7"/>
        <v>1.2690999999999999</v>
      </c>
    </row>
    <row r="20" spans="2:19">
      <c r="B20" s="57">
        <v>10</v>
      </c>
      <c r="C20" s="58">
        <v>11.7523</v>
      </c>
      <c r="D20" s="59">
        <v>15</v>
      </c>
      <c r="E20" s="59">
        <v>3</v>
      </c>
      <c r="F20" s="60">
        <f t="shared" si="0"/>
        <v>0</v>
      </c>
      <c r="G20" s="60">
        <f t="shared" si="1"/>
        <v>0</v>
      </c>
      <c r="H20" s="61">
        <f t="shared" si="2"/>
        <v>7</v>
      </c>
      <c r="I20" s="58">
        <f t="shared" si="3"/>
        <v>1.1666666666666667</v>
      </c>
      <c r="J20" s="58">
        <v>5</v>
      </c>
      <c r="K20" s="58">
        <f t="shared" si="4"/>
        <v>17.918966666666666</v>
      </c>
      <c r="L20" s="62">
        <f t="shared" si="5"/>
        <v>1.1791896666666666</v>
      </c>
      <c r="M20" s="58">
        <f t="shared" si="6"/>
        <v>1.07</v>
      </c>
      <c r="N20" s="63">
        <f t="shared" si="7"/>
        <v>1.2617</v>
      </c>
    </row>
    <row r="21" spans="2:19">
      <c r="B21" s="57">
        <v>15</v>
      </c>
      <c r="C21" s="58">
        <v>8.1312999999999995</v>
      </c>
      <c r="D21" s="59">
        <v>15</v>
      </c>
      <c r="E21" s="59">
        <v>3</v>
      </c>
      <c r="F21" s="60">
        <f t="shared" si="0"/>
        <v>0</v>
      </c>
      <c r="G21" s="60">
        <f t="shared" si="1"/>
        <v>0</v>
      </c>
      <c r="H21" s="61">
        <f t="shared" si="2"/>
        <v>7</v>
      </c>
      <c r="I21" s="58">
        <f t="shared" si="3"/>
        <v>1.1666666666666667</v>
      </c>
      <c r="J21" s="58">
        <v>5</v>
      </c>
      <c r="K21" s="58">
        <f t="shared" si="4"/>
        <v>14.297966666666666</v>
      </c>
      <c r="L21" s="62">
        <f t="shared" si="5"/>
        <v>1.1429796666666667</v>
      </c>
      <c r="M21" s="58">
        <f t="shared" si="6"/>
        <v>1.07</v>
      </c>
      <c r="N21" s="63">
        <f t="shared" si="7"/>
        <v>1.2230000000000001</v>
      </c>
    </row>
    <row r="22" spans="2:19">
      <c r="B22" s="57">
        <v>20</v>
      </c>
      <c r="C22" s="58">
        <v>8.1222999999999992</v>
      </c>
      <c r="D22" s="59">
        <v>16</v>
      </c>
      <c r="E22" s="59">
        <v>3</v>
      </c>
      <c r="F22" s="60">
        <f t="shared" si="0"/>
        <v>0</v>
      </c>
      <c r="G22" s="60">
        <f t="shared" si="1"/>
        <v>0</v>
      </c>
      <c r="H22" s="61">
        <f t="shared" si="2"/>
        <v>7</v>
      </c>
      <c r="I22" s="58">
        <f t="shared" si="3"/>
        <v>1.1666666666666667</v>
      </c>
      <c r="J22" s="58">
        <v>5</v>
      </c>
      <c r="K22" s="58">
        <f t="shared" si="4"/>
        <v>14.288966666666665</v>
      </c>
      <c r="L22" s="62">
        <f t="shared" si="5"/>
        <v>1.1428896666666666</v>
      </c>
      <c r="M22" s="58">
        <f t="shared" si="6"/>
        <v>1.07</v>
      </c>
      <c r="N22" s="63">
        <f t="shared" si="7"/>
        <v>1.2229000000000001</v>
      </c>
    </row>
    <row r="23" spans="2:19">
      <c r="B23" s="57">
        <v>25</v>
      </c>
      <c r="C23" s="58">
        <v>8.1006</v>
      </c>
      <c r="D23" s="59">
        <v>16</v>
      </c>
      <c r="E23" s="59">
        <v>3</v>
      </c>
      <c r="F23" s="60">
        <f t="shared" si="0"/>
        <v>0</v>
      </c>
      <c r="G23" s="60">
        <f t="shared" si="1"/>
        <v>0</v>
      </c>
      <c r="H23" s="61">
        <f t="shared" si="2"/>
        <v>7</v>
      </c>
      <c r="I23" s="58">
        <f t="shared" si="3"/>
        <v>1.1666666666666667</v>
      </c>
      <c r="J23" s="58">
        <v>4.5</v>
      </c>
      <c r="K23" s="58">
        <f t="shared" si="4"/>
        <v>13.767266666666666</v>
      </c>
      <c r="L23" s="62">
        <f t="shared" si="5"/>
        <v>1.1376726666666666</v>
      </c>
      <c r="M23" s="58">
        <f t="shared" si="6"/>
        <v>1.07</v>
      </c>
      <c r="N23" s="63">
        <f t="shared" si="7"/>
        <v>1.2173</v>
      </c>
    </row>
    <row r="24" spans="2:19">
      <c r="B24" s="57">
        <v>30</v>
      </c>
      <c r="C24" s="58">
        <v>7.4490999999999996</v>
      </c>
      <c r="D24" s="59">
        <v>17</v>
      </c>
      <c r="E24" s="59">
        <v>3</v>
      </c>
      <c r="F24" s="60">
        <f t="shared" si="0"/>
        <v>0</v>
      </c>
      <c r="G24" s="60">
        <f t="shared" si="1"/>
        <v>0</v>
      </c>
      <c r="H24" s="61">
        <f t="shared" si="2"/>
        <v>7</v>
      </c>
      <c r="I24" s="58">
        <f t="shared" si="3"/>
        <v>1.1666666666666667</v>
      </c>
      <c r="J24" s="58">
        <v>4.5</v>
      </c>
      <c r="K24" s="58">
        <f t="shared" si="4"/>
        <v>13.115766666666666</v>
      </c>
      <c r="L24" s="62">
        <f t="shared" si="5"/>
        <v>1.1311576666666667</v>
      </c>
      <c r="M24" s="58">
        <f t="shared" si="6"/>
        <v>1.07</v>
      </c>
      <c r="N24" s="63">
        <f t="shared" si="7"/>
        <v>1.2102999999999999</v>
      </c>
    </row>
    <row r="25" spans="2:19">
      <c r="B25" s="57">
        <v>40</v>
      </c>
      <c r="C25" s="58">
        <v>7.2249999999999996</v>
      </c>
      <c r="D25" s="59">
        <v>17</v>
      </c>
      <c r="E25" s="59">
        <v>3</v>
      </c>
      <c r="F25" s="60">
        <f t="shared" si="0"/>
        <v>0</v>
      </c>
      <c r="G25" s="60">
        <f t="shared" si="1"/>
        <v>0</v>
      </c>
      <c r="H25" s="61">
        <f t="shared" si="2"/>
        <v>7</v>
      </c>
      <c r="I25" s="58">
        <f t="shared" si="3"/>
        <v>1.1666666666666667</v>
      </c>
      <c r="J25" s="58">
        <v>4.5</v>
      </c>
      <c r="K25" s="58">
        <f t="shared" si="4"/>
        <v>12.891666666666666</v>
      </c>
      <c r="L25" s="62">
        <f t="shared" si="5"/>
        <v>1.1289166666666666</v>
      </c>
      <c r="M25" s="58">
        <f t="shared" si="6"/>
        <v>1.07</v>
      </c>
      <c r="N25" s="63">
        <f t="shared" si="7"/>
        <v>1.2079</v>
      </c>
    </row>
    <row r="26" spans="2:19">
      <c r="B26" s="57">
        <v>50</v>
      </c>
      <c r="C26" s="58">
        <v>7.2202000000000002</v>
      </c>
      <c r="D26" s="59">
        <v>18</v>
      </c>
      <c r="E26" s="59">
        <v>3</v>
      </c>
      <c r="F26" s="60">
        <f t="shared" si="0"/>
        <v>0</v>
      </c>
      <c r="G26" s="60">
        <f t="shared" si="1"/>
        <v>0</v>
      </c>
      <c r="H26" s="61">
        <f t="shared" si="2"/>
        <v>7</v>
      </c>
      <c r="I26" s="58">
        <f t="shared" si="3"/>
        <v>1.1666666666666667</v>
      </c>
      <c r="J26" s="58">
        <v>4.5</v>
      </c>
      <c r="K26" s="58">
        <f t="shared" si="4"/>
        <v>12.886866666666666</v>
      </c>
      <c r="L26" s="62">
        <f t="shared" si="5"/>
        <v>1.1288686666666667</v>
      </c>
      <c r="M26" s="58">
        <f t="shared" si="6"/>
        <v>1.07</v>
      </c>
      <c r="N26" s="63">
        <f t="shared" si="7"/>
        <v>1.2079</v>
      </c>
    </row>
    <row r="27" spans="2:19">
      <c r="B27" s="57">
        <v>60</v>
      </c>
      <c r="C27" s="58">
        <v>6.7961</v>
      </c>
      <c r="D27" s="59">
        <v>18</v>
      </c>
      <c r="E27" s="59">
        <v>3</v>
      </c>
      <c r="F27" s="60">
        <f t="shared" si="0"/>
        <v>0</v>
      </c>
      <c r="G27" s="60">
        <f t="shared" si="1"/>
        <v>0</v>
      </c>
      <c r="H27" s="61">
        <f t="shared" si="2"/>
        <v>7</v>
      </c>
      <c r="I27" s="58">
        <f t="shared" si="3"/>
        <v>1.1666666666666667</v>
      </c>
      <c r="J27" s="58">
        <v>4</v>
      </c>
      <c r="K27" s="58">
        <f t="shared" si="4"/>
        <v>11.962766666666667</v>
      </c>
      <c r="L27" s="62">
        <f t="shared" si="5"/>
        <v>1.1196276666666667</v>
      </c>
      <c r="M27" s="58">
        <f t="shared" si="6"/>
        <v>1.07</v>
      </c>
      <c r="N27" s="63">
        <f t="shared" si="7"/>
        <v>1.198</v>
      </c>
    </row>
    <row r="28" spans="2:19">
      <c r="B28" s="57">
        <v>70</v>
      </c>
      <c r="C28" s="58">
        <v>6.7758000000000003</v>
      </c>
      <c r="D28" s="59">
        <v>20</v>
      </c>
      <c r="E28" s="59">
        <v>3</v>
      </c>
      <c r="F28" s="60">
        <f t="shared" si="0"/>
        <v>0</v>
      </c>
      <c r="G28" s="60">
        <f t="shared" si="1"/>
        <v>0</v>
      </c>
      <c r="H28" s="61">
        <f t="shared" si="2"/>
        <v>7</v>
      </c>
      <c r="I28" s="58">
        <f t="shared" si="3"/>
        <v>1.1666666666666667</v>
      </c>
      <c r="J28" s="58">
        <v>4</v>
      </c>
      <c r="K28" s="58">
        <f t="shared" si="4"/>
        <v>11.942466666666668</v>
      </c>
      <c r="L28" s="62">
        <f t="shared" si="5"/>
        <v>1.1194246666666667</v>
      </c>
      <c r="M28" s="58">
        <f t="shared" si="6"/>
        <v>1.07</v>
      </c>
      <c r="N28" s="63">
        <f t="shared" si="7"/>
        <v>1.1978</v>
      </c>
    </row>
    <row r="29" spans="2:19">
      <c r="B29" s="57">
        <v>80</v>
      </c>
      <c r="C29" s="58">
        <v>6.7758000000000003</v>
      </c>
      <c r="D29" s="59">
        <v>20</v>
      </c>
      <c r="E29" s="59">
        <v>3</v>
      </c>
      <c r="F29" s="60">
        <f t="shared" si="0"/>
        <v>0</v>
      </c>
      <c r="G29" s="60">
        <f t="shared" si="1"/>
        <v>0</v>
      </c>
      <c r="H29" s="61">
        <f t="shared" si="2"/>
        <v>7</v>
      </c>
      <c r="I29" s="58">
        <f t="shared" si="3"/>
        <v>1.1666666666666667</v>
      </c>
      <c r="J29" s="58">
        <v>4</v>
      </c>
      <c r="K29" s="58">
        <f t="shared" si="4"/>
        <v>11.942466666666668</v>
      </c>
      <c r="L29" s="62">
        <f t="shared" si="5"/>
        <v>1.1194246666666667</v>
      </c>
      <c r="M29" s="58">
        <f t="shared" si="6"/>
        <v>1.07</v>
      </c>
      <c r="N29" s="63">
        <f t="shared" si="7"/>
        <v>1.1978</v>
      </c>
    </row>
    <row r="30" spans="2:19">
      <c r="B30" s="57">
        <v>90</v>
      </c>
      <c r="C30" s="58">
        <v>6.5411999999999999</v>
      </c>
      <c r="D30" s="59">
        <v>20</v>
      </c>
      <c r="E30" s="59">
        <v>3</v>
      </c>
      <c r="F30" s="60">
        <f t="shared" si="0"/>
        <v>0</v>
      </c>
      <c r="G30" s="60">
        <f t="shared" si="1"/>
        <v>0</v>
      </c>
      <c r="H30" s="61">
        <f t="shared" si="2"/>
        <v>7</v>
      </c>
      <c r="I30" s="58">
        <f t="shared" si="3"/>
        <v>1.1666666666666667</v>
      </c>
      <c r="J30" s="58">
        <v>4</v>
      </c>
      <c r="K30" s="58">
        <f t="shared" si="4"/>
        <v>11.707866666666668</v>
      </c>
      <c r="L30" s="62">
        <f t="shared" si="5"/>
        <v>1.1170786666666668</v>
      </c>
      <c r="M30" s="58">
        <f t="shared" si="6"/>
        <v>1.07</v>
      </c>
      <c r="N30" s="63">
        <f t="shared" si="7"/>
        <v>1.1953</v>
      </c>
    </row>
    <row r="31" spans="2:19">
      <c r="B31" s="57">
        <v>100</v>
      </c>
      <c r="C31" s="58">
        <v>6.5411999999999999</v>
      </c>
      <c r="D31" s="59">
        <v>20</v>
      </c>
      <c r="E31" s="59">
        <v>3</v>
      </c>
      <c r="F31" s="60">
        <f t="shared" si="0"/>
        <v>0</v>
      </c>
      <c r="G31" s="60">
        <f t="shared" si="1"/>
        <v>0</v>
      </c>
      <c r="H31" s="61">
        <f t="shared" si="2"/>
        <v>7</v>
      </c>
      <c r="I31" s="58">
        <f t="shared" si="3"/>
        <v>1.1666666666666667</v>
      </c>
      <c r="J31" s="58">
        <v>4</v>
      </c>
      <c r="K31" s="58">
        <f t="shared" si="4"/>
        <v>11.707866666666668</v>
      </c>
      <c r="L31" s="62">
        <f t="shared" si="5"/>
        <v>1.1170786666666668</v>
      </c>
      <c r="M31" s="58">
        <f t="shared" si="6"/>
        <v>1.07</v>
      </c>
      <c r="N31" s="63">
        <f t="shared" si="7"/>
        <v>1.1953</v>
      </c>
    </row>
    <row r="32" spans="2:19">
      <c r="B32" s="57">
        <v>150</v>
      </c>
      <c r="C32" s="58">
        <v>6.5330000000000004</v>
      </c>
      <c r="D32" s="59">
        <v>22</v>
      </c>
      <c r="E32" s="59">
        <v>3</v>
      </c>
      <c r="F32" s="60">
        <f t="shared" si="0"/>
        <v>0</v>
      </c>
      <c r="G32" s="60">
        <f t="shared" si="1"/>
        <v>0</v>
      </c>
      <c r="H32" s="61">
        <f t="shared" si="2"/>
        <v>7</v>
      </c>
      <c r="I32" s="58">
        <f t="shared" si="3"/>
        <v>1.1666666666666667</v>
      </c>
      <c r="J32" s="58">
        <v>4</v>
      </c>
      <c r="K32" s="58">
        <f t="shared" si="4"/>
        <v>11.699666666666667</v>
      </c>
      <c r="L32" s="62">
        <f t="shared" si="5"/>
        <v>1.1169966666666666</v>
      </c>
      <c r="M32" s="58">
        <f t="shared" si="6"/>
        <v>1.07</v>
      </c>
      <c r="N32" s="63">
        <f t="shared" si="7"/>
        <v>1.1952</v>
      </c>
    </row>
    <row r="33" spans="2:14">
      <c r="B33" s="57">
        <v>200</v>
      </c>
      <c r="C33" s="58">
        <v>6.5224000000000002</v>
      </c>
      <c r="D33" s="59">
        <v>24</v>
      </c>
      <c r="E33" s="59">
        <v>3</v>
      </c>
      <c r="F33" s="60">
        <f t="shared" si="0"/>
        <v>0</v>
      </c>
      <c r="G33" s="60">
        <f t="shared" si="1"/>
        <v>0</v>
      </c>
      <c r="H33" s="61">
        <f t="shared" si="2"/>
        <v>7</v>
      </c>
      <c r="I33" s="58">
        <f t="shared" si="3"/>
        <v>1.1666666666666667</v>
      </c>
      <c r="J33" s="58">
        <v>4</v>
      </c>
      <c r="K33" s="58">
        <f t="shared" si="4"/>
        <v>11.689066666666667</v>
      </c>
      <c r="L33" s="62">
        <f t="shared" si="5"/>
        <v>1.1168906666666667</v>
      </c>
      <c r="M33" s="58">
        <f t="shared" si="6"/>
        <v>1.07</v>
      </c>
      <c r="N33" s="63">
        <f t="shared" si="7"/>
        <v>1.1951000000000001</v>
      </c>
    </row>
    <row r="34" spans="2:14">
      <c r="B34" s="57">
        <v>250</v>
      </c>
      <c r="C34" s="58">
        <v>6.2710999999999997</v>
      </c>
      <c r="D34" s="59">
        <v>28</v>
      </c>
      <c r="E34" s="59">
        <v>3</v>
      </c>
      <c r="F34" s="60">
        <f t="shared" si="0"/>
        <v>0</v>
      </c>
      <c r="G34" s="60">
        <f t="shared" si="1"/>
        <v>0</v>
      </c>
      <c r="H34" s="61">
        <f t="shared" si="2"/>
        <v>7</v>
      </c>
      <c r="I34" s="58">
        <f t="shared" si="3"/>
        <v>1.1666666666666667</v>
      </c>
      <c r="J34" s="58">
        <v>4</v>
      </c>
      <c r="K34" s="58">
        <f t="shared" si="4"/>
        <v>11.437766666666667</v>
      </c>
      <c r="L34" s="62">
        <f t="shared" si="5"/>
        <v>1.1143776666666667</v>
      </c>
      <c r="M34" s="58">
        <f t="shared" si="6"/>
        <v>1.07</v>
      </c>
      <c r="N34" s="63">
        <f t="shared" si="7"/>
        <v>1.1923999999999999</v>
      </c>
    </row>
    <row r="35" spans="2:14">
      <c r="B35" s="57">
        <v>300</v>
      </c>
      <c r="C35" s="58">
        <v>6.2679</v>
      </c>
      <c r="D35" s="59">
        <v>30</v>
      </c>
      <c r="E35" s="59">
        <v>3</v>
      </c>
      <c r="F35" s="60">
        <f t="shared" si="0"/>
        <v>0</v>
      </c>
      <c r="G35" s="60">
        <f t="shared" si="1"/>
        <v>0</v>
      </c>
      <c r="H35" s="61">
        <f t="shared" si="2"/>
        <v>7</v>
      </c>
      <c r="I35" s="58">
        <f t="shared" si="3"/>
        <v>1.1666666666666667</v>
      </c>
      <c r="J35" s="58">
        <v>3.5</v>
      </c>
      <c r="K35" s="58">
        <f t="shared" si="4"/>
        <v>10.934566666666667</v>
      </c>
      <c r="L35" s="62">
        <f t="shared" si="5"/>
        <v>1.1093456666666666</v>
      </c>
      <c r="M35" s="58">
        <f t="shared" si="6"/>
        <v>1.07</v>
      </c>
      <c r="N35" s="63">
        <f t="shared" si="7"/>
        <v>1.1870000000000001</v>
      </c>
    </row>
    <row r="36" spans="2:14">
      <c r="B36" s="57">
        <v>350</v>
      </c>
      <c r="C36" s="58">
        <v>6.1909000000000001</v>
      </c>
      <c r="D36" s="59">
        <v>32</v>
      </c>
      <c r="E36" s="59">
        <v>3</v>
      </c>
      <c r="F36" s="60">
        <f t="shared" si="0"/>
        <v>0</v>
      </c>
      <c r="G36" s="60">
        <f t="shared" si="1"/>
        <v>0</v>
      </c>
      <c r="H36" s="61">
        <f t="shared" si="2"/>
        <v>7</v>
      </c>
      <c r="I36" s="58">
        <f t="shared" si="3"/>
        <v>1.1666666666666667</v>
      </c>
      <c r="J36" s="58">
        <v>3.5</v>
      </c>
      <c r="K36" s="58">
        <f t="shared" si="4"/>
        <v>10.857566666666667</v>
      </c>
      <c r="L36" s="62">
        <f t="shared" si="5"/>
        <v>1.1085756666666666</v>
      </c>
      <c r="M36" s="58">
        <f t="shared" si="6"/>
        <v>1.07</v>
      </c>
      <c r="N36" s="63">
        <f t="shared" si="7"/>
        <v>1.1861999999999999</v>
      </c>
    </row>
    <row r="37" spans="2:14">
      <c r="B37" s="57">
        <v>400</v>
      </c>
      <c r="C37" s="58">
        <v>6.1657999999999999</v>
      </c>
      <c r="D37" s="59">
        <v>36</v>
      </c>
      <c r="E37" s="59">
        <v>3</v>
      </c>
      <c r="F37" s="60">
        <f t="shared" si="0"/>
        <v>0</v>
      </c>
      <c r="G37" s="60">
        <f t="shared" si="1"/>
        <v>0</v>
      </c>
      <c r="H37" s="61">
        <f t="shared" si="2"/>
        <v>7</v>
      </c>
      <c r="I37" s="58">
        <f t="shared" si="3"/>
        <v>1.1666666666666667</v>
      </c>
      <c r="J37" s="58">
        <v>3.5</v>
      </c>
      <c r="K37" s="58">
        <f t="shared" si="4"/>
        <v>10.832466666666667</v>
      </c>
      <c r="L37" s="62">
        <f t="shared" si="5"/>
        <v>1.1083246666666666</v>
      </c>
      <c r="M37" s="58">
        <f t="shared" si="6"/>
        <v>1.07</v>
      </c>
      <c r="N37" s="63">
        <f t="shared" si="7"/>
        <v>1.1859</v>
      </c>
    </row>
    <row r="38" spans="2:14">
      <c r="B38" s="57">
        <v>500</v>
      </c>
      <c r="C38" s="58">
        <v>6.1657999999999999</v>
      </c>
      <c r="D38" s="59">
        <v>36</v>
      </c>
      <c r="E38" s="59">
        <v>3</v>
      </c>
      <c r="F38" s="60">
        <f t="shared" si="0"/>
        <v>0</v>
      </c>
      <c r="G38" s="60">
        <f t="shared" si="1"/>
        <v>0</v>
      </c>
      <c r="H38" s="61">
        <f t="shared" si="2"/>
        <v>7</v>
      </c>
      <c r="I38" s="58">
        <f t="shared" si="3"/>
        <v>1.1666666666666667</v>
      </c>
      <c r="J38" s="58">
        <v>3.5</v>
      </c>
      <c r="K38" s="58">
        <f t="shared" si="4"/>
        <v>10.832466666666667</v>
      </c>
      <c r="L38" s="62">
        <f t="shared" si="5"/>
        <v>1.1083246666666666</v>
      </c>
      <c r="M38" s="58">
        <f t="shared" si="6"/>
        <v>1.07</v>
      </c>
      <c r="N38" s="63">
        <f t="shared" si="7"/>
        <v>1.1859</v>
      </c>
    </row>
    <row r="39" spans="2:14" ht="20.399999999999999" thickBot="1">
      <c r="B39" s="64" t="s">
        <v>61</v>
      </c>
      <c r="C39" s="65">
        <v>5.5503</v>
      </c>
      <c r="D39" s="66">
        <v>40</v>
      </c>
      <c r="E39" s="66">
        <v>3</v>
      </c>
      <c r="F39" s="67">
        <f t="shared" si="0"/>
        <v>0</v>
      </c>
      <c r="G39" s="67">
        <f t="shared" si="1"/>
        <v>0</v>
      </c>
      <c r="H39" s="68">
        <f t="shared" si="2"/>
        <v>7</v>
      </c>
      <c r="I39" s="65">
        <f t="shared" si="3"/>
        <v>1.1666666666666667</v>
      </c>
      <c r="J39" s="65">
        <v>3.5</v>
      </c>
      <c r="K39" s="65">
        <f t="shared" si="4"/>
        <v>10.216966666666668</v>
      </c>
      <c r="L39" s="69">
        <f t="shared" si="5"/>
        <v>1.1021696666666667</v>
      </c>
      <c r="M39" s="65">
        <f t="shared" si="6"/>
        <v>1.07</v>
      </c>
      <c r="N39" s="70">
        <f t="shared" si="7"/>
        <v>1.1793</v>
      </c>
    </row>
  </sheetData>
  <sheetProtection password="87BD" sheet="1" objects="1" scenarios="1"/>
  <mergeCells count="14">
    <mergeCell ref="B6:C6"/>
    <mergeCell ref="L6:M6"/>
    <mergeCell ref="B8:N8"/>
    <mergeCell ref="B9:N9"/>
    <mergeCell ref="B14:B15"/>
    <mergeCell ref="C14:K14"/>
    <mergeCell ref="L14:L15"/>
    <mergeCell ref="M14:M15"/>
    <mergeCell ref="N14:N15"/>
    <mergeCell ref="I2:N2"/>
    <mergeCell ref="J4:K4"/>
    <mergeCell ref="L4:M4"/>
    <mergeCell ref="J5:K5"/>
    <mergeCell ref="L5:M5"/>
  </mergeCells>
  <dataValidations count="5">
    <dataValidation type="list" allowBlank="1" showInputMessage="1" showErrorMessage="1" sqref="M12" xr:uid="{00000000-0002-0000-0000-000000000000}">
      <formula1>$S$12:$S$13</formula1>
    </dataValidation>
    <dataValidation type="list" allowBlank="1" showInputMessage="1" showErrorMessage="1" sqref="I12" xr:uid="{00000000-0002-0000-0000-000001000000}">
      <formula1>$Q$12:$Q$14</formula1>
    </dataValidation>
    <dataValidation type="decimal" operator="greaterThanOrEqual" allowBlank="1" showInputMessage="1" showErrorMessage="1" errorTitle="ค่างานต้นทุน" error="ใส่ตัวเลขเท่านั้นครับ" promptTitle="ค่างานต้นทุน" prompt="ใส่ค่างานต้นทุน (ค่าวัสดุ+ค่าแรง)_x000a_ซึ่งยังไม่รวมค่า ภาษี กำไร ค่าดำเนินการ" sqref="L4:M4" xr:uid="{00000000-0002-0000-0000-000002000000}">
      <formula1>0</formula1>
    </dataValidation>
    <dataValidation type="list" allowBlank="1" showInputMessage="1" showErrorMessage="1" sqref="I11" xr:uid="{00000000-0002-0000-0000-000003000000}">
      <formula1>$Q$12:$Q$15</formula1>
    </dataValidation>
    <dataValidation type="list" allowBlank="1" showInputMessage="1" showErrorMessage="1" sqref="M11" xr:uid="{00000000-0002-0000-0000-000004000000}">
      <formula1>$R$13:$R$15</formula1>
    </dataValidation>
  </dataValidations>
  <hyperlinks>
    <hyperlink ref="B6" r:id="rId1" xr:uid="{00000000-0004-0000-0000-000000000000}"/>
  </hyperlink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20"/>
  <sheetViews>
    <sheetView topLeftCell="A91" workbookViewId="0">
      <selection activeCell="M13" sqref="M13"/>
    </sheetView>
  </sheetViews>
  <sheetFormatPr defaultColWidth="9.125" defaultRowHeight="21.75" customHeight="1"/>
  <cols>
    <col min="1" max="1" width="4.625" style="315" customWidth="1"/>
    <col min="2" max="2" width="50.125" style="315" customWidth="1"/>
    <col min="3" max="3" width="10.625" style="315" customWidth="1"/>
    <col min="4" max="4" width="7.25" style="315" customWidth="1"/>
    <col min="5" max="5" width="13.25" style="315" customWidth="1"/>
    <col min="6" max="6" width="12.625" style="315" customWidth="1"/>
    <col min="7" max="7" width="13.625" style="315" customWidth="1"/>
    <col min="8" max="8" width="12.875" style="315" customWidth="1"/>
    <col min="9" max="9" width="17.75" style="315" customWidth="1"/>
    <col min="10" max="10" width="13" style="315" customWidth="1"/>
    <col min="11" max="16384" width="9.125" style="315"/>
  </cols>
  <sheetData>
    <row r="1" spans="1:12" s="111" customFormat="1" ht="21.75" customHeight="1" thickBot="1">
      <c r="A1" s="133" t="s">
        <v>107</v>
      </c>
      <c r="B1" s="85"/>
      <c r="C1" s="85"/>
      <c r="D1" s="85"/>
      <c r="E1" s="85"/>
      <c r="F1" s="85"/>
      <c r="G1" s="101"/>
      <c r="H1" s="85"/>
      <c r="I1" s="85"/>
      <c r="J1" s="308" t="s">
        <v>251</v>
      </c>
      <c r="L1" s="112"/>
    </row>
    <row r="2" spans="1:12" s="111" customFormat="1" ht="21.75" customHeight="1" thickBot="1">
      <c r="A2" s="133" t="s">
        <v>255</v>
      </c>
      <c r="B2" s="85"/>
      <c r="C2" s="85"/>
      <c r="D2" s="85"/>
      <c r="E2" s="85"/>
      <c r="F2" s="85"/>
      <c r="G2" s="101"/>
      <c r="H2" s="85"/>
      <c r="I2" s="85"/>
      <c r="J2" s="85"/>
      <c r="K2" s="111" t="s">
        <v>5</v>
      </c>
      <c r="L2" s="295"/>
    </row>
    <row r="3" spans="1:12" s="111" customFormat="1" ht="21.75" customHeight="1">
      <c r="A3" s="133" t="s">
        <v>192</v>
      </c>
      <c r="B3" s="85"/>
      <c r="C3" s="85"/>
      <c r="D3" s="85"/>
      <c r="E3" s="85"/>
      <c r="F3" s="114" t="s">
        <v>108</v>
      </c>
      <c r="G3" s="310"/>
      <c r="H3" s="115"/>
      <c r="I3" s="85"/>
      <c r="J3" s="85"/>
      <c r="L3" s="112"/>
    </row>
    <row r="4" spans="1:12" s="111" customFormat="1" ht="21.75" customHeight="1">
      <c r="A4" s="133" t="s">
        <v>256</v>
      </c>
      <c r="B4" s="85"/>
      <c r="C4" s="85"/>
      <c r="D4" s="85"/>
      <c r="E4" s="85"/>
      <c r="F4" s="85"/>
      <c r="G4" s="101"/>
      <c r="H4" s="85"/>
      <c r="I4" s="85"/>
      <c r="J4" s="85"/>
      <c r="L4" s="112"/>
    </row>
    <row r="5" spans="1:12" s="111" customFormat="1" ht="21.75" customHeight="1">
      <c r="A5" s="133" t="s">
        <v>193</v>
      </c>
      <c r="B5" s="85"/>
      <c r="C5" s="85"/>
      <c r="D5" s="85"/>
      <c r="E5" s="85"/>
      <c r="F5" s="113" t="s">
        <v>257</v>
      </c>
      <c r="G5" s="101"/>
      <c r="H5" s="85"/>
      <c r="I5" s="85"/>
      <c r="J5" s="85"/>
      <c r="L5" s="112"/>
    </row>
    <row r="6" spans="1:12" ht="21.75" customHeight="1">
      <c r="A6" s="316"/>
      <c r="F6" s="320"/>
      <c r="G6" s="321"/>
      <c r="H6" s="322"/>
      <c r="I6" s="323"/>
      <c r="J6" s="323" t="s">
        <v>109</v>
      </c>
    </row>
    <row r="7" spans="1:12" ht="21.75" customHeight="1">
      <c r="A7" s="324" t="s">
        <v>6</v>
      </c>
      <c r="B7" s="325" t="s">
        <v>0</v>
      </c>
      <c r="C7" s="325" t="s">
        <v>1</v>
      </c>
      <c r="D7" s="325" t="s">
        <v>2</v>
      </c>
      <c r="E7" s="798" t="s">
        <v>265</v>
      </c>
      <c r="F7" s="798"/>
      <c r="G7" s="798" t="s">
        <v>3</v>
      </c>
      <c r="H7" s="798"/>
      <c r="I7" s="326" t="s">
        <v>266</v>
      </c>
      <c r="J7" s="799" t="s">
        <v>4</v>
      </c>
    </row>
    <row r="8" spans="1:12" ht="21.75" customHeight="1">
      <c r="A8" s="327"/>
      <c r="B8" s="327"/>
      <c r="C8" s="327"/>
      <c r="D8" s="327"/>
      <c r="E8" s="328" t="s">
        <v>267</v>
      </c>
      <c r="F8" s="328" t="s">
        <v>9</v>
      </c>
      <c r="G8" s="328" t="s">
        <v>267</v>
      </c>
      <c r="H8" s="329" t="s">
        <v>9</v>
      </c>
      <c r="I8" s="329" t="s">
        <v>268</v>
      </c>
      <c r="J8" s="800"/>
    </row>
    <row r="9" spans="1:12" ht="21.75" customHeight="1">
      <c r="A9" s="330"/>
      <c r="B9" s="330"/>
      <c r="C9" s="330"/>
      <c r="D9" s="330"/>
      <c r="E9" s="331" t="s">
        <v>113</v>
      </c>
      <c r="F9" s="331" t="s">
        <v>113</v>
      </c>
      <c r="G9" s="332" t="s">
        <v>113</v>
      </c>
      <c r="H9" s="332" t="s">
        <v>113</v>
      </c>
      <c r="I9" s="332" t="s">
        <v>113</v>
      </c>
      <c r="J9" s="333"/>
    </row>
    <row r="10" spans="1:12" ht="21.75" customHeight="1">
      <c r="A10" s="334"/>
      <c r="B10" s="334" t="s">
        <v>269</v>
      </c>
      <c r="C10" s="335"/>
      <c r="D10" s="335"/>
      <c r="E10" s="336"/>
      <c r="F10" s="336"/>
      <c r="G10" s="337"/>
      <c r="H10" s="337"/>
      <c r="I10" s="337"/>
      <c r="J10" s="338"/>
    </row>
    <row r="11" spans="1:12" ht="21.75" customHeight="1">
      <c r="A11" s="339">
        <v>1</v>
      </c>
      <c r="B11" s="340" t="s">
        <v>270</v>
      </c>
      <c r="C11" s="341" t="s">
        <v>5</v>
      </c>
      <c r="D11" s="341"/>
      <c r="E11" s="342"/>
      <c r="F11" s="343"/>
      <c r="G11" s="344"/>
      <c r="H11" s="345"/>
      <c r="I11" s="346">
        <f>I76</f>
        <v>814061.5</v>
      </c>
      <c r="J11" s="347"/>
    </row>
    <row r="12" spans="1:12" ht="21.75" customHeight="1">
      <c r="A12" s="339">
        <v>2</v>
      </c>
      <c r="B12" s="348" t="s">
        <v>271</v>
      </c>
      <c r="C12" s="341" t="s">
        <v>5</v>
      </c>
      <c r="D12" s="341"/>
      <c r="E12" s="349"/>
      <c r="F12" s="350"/>
      <c r="G12" s="349"/>
      <c r="H12" s="350"/>
      <c r="I12" s="351">
        <f>I105</f>
        <v>315685</v>
      </c>
      <c r="J12" s="347"/>
    </row>
    <row r="13" spans="1:12" ht="21.75" customHeight="1">
      <c r="A13" s="352" t="s">
        <v>272</v>
      </c>
      <c r="B13" s="353" t="s">
        <v>273</v>
      </c>
      <c r="C13" s="341" t="s">
        <v>5</v>
      </c>
      <c r="D13" s="341"/>
      <c r="E13" s="349"/>
      <c r="F13" s="350"/>
      <c r="G13" s="349"/>
      <c r="H13" s="350"/>
      <c r="I13" s="351">
        <f>I132</f>
        <v>745997.14</v>
      </c>
      <c r="J13" s="354"/>
    </row>
    <row r="14" spans="1:12" ht="21.75" customHeight="1">
      <c r="A14" s="352" t="s">
        <v>274</v>
      </c>
      <c r="B14" s="353" t="s">
        <v>275</v>
      </c>
      <c r="C14" s="341" t="s">
        <v>5</v>
      </c>
      <c r="D14" s="352"/>
      <c r="E14" s="349"/>
      <c r="F14" s="350"/>
      <c r="G14" s="349"/>
      <c r="H14" s="350"/>
      <c r="I14" s="351">
        <f>I157</f>
        <v>501899</v>
      </c>
      <c r="J14" s="354"/>
    </row>
    <row r="15" spans="1:12" ht="21.75" customHeight="1">
      <c r="A15" s="352" t="s">
        <v>276</v>
      </c>
      <c r="B15" s="353" t="s">
        <v>277</v>
      </c>
      <c r="C15" s="341" t="s">
        <v>5</v>
      </c>
      <c r="D15" s="341"/>
      <c r="E15" s="349"/>
      <c r="F15" s="350"/>
      <c r="G15" s="349"/>
      <c r="H15" s="350"/>
      <c r="I15" s="351">
        <f>I203</f>
        <v>752035</v>
      </c>
      <c r="J15" s="341"/>
    </row>
    <row r="16" spans="1:12" ht="21.75" customHeight="1">
      <c r="A16" s="352" t="s">
        <v>278</v>
      </c>
      <c r="B16" s="353" t="s">
        <v>279</v>
      </c>
      <c r="C16" s="341" t="s">
        <v>5</v>
      </c>
      <c r="D16" s="341"/>
      <c r="E16" s="349"/>
      <c r="F16" s="350"/>
      <c r="G16" s="349"/>
      <c r="H16" s="350"/>
      <c r="I16" s="351">
        <f>I234</f>
        <v>52993.1</v>
      </c>
      <c r="J16" s="341"/>
    </row>
    <row r="17" spans="1:10" ht="21.75" customHeight="1">
      <c r="A17" s="352" t="s">
        <v>280</v>
      </c>
      <c r="B17" s="353" t="s">
        <v>281</v>
      </c>
      <c r="C17" s="341" t="s">
        <v>5</v>
      </c>
      <c r="D17" s="341"/>
      <c r="E17" s="349"/>
      <c r="F17" s="350"/>
      <c r="G17" s="349"/>
      <c r="H17" s="350"/>
      <c r="I17" s="351">
        <f>I287</f>
        <v>231700.4</v>
      </c>
      <c r="J17" s="354"/>
    </row>
    <row r="18" spans="1:10" ht="21.75" customHeight="1">
      <c r="A18" s="352" t="s">
        <v>282</v>
      </c>
      <c r="B18" s="353" t="s">
        <v>283</v>
      </c>
      <c r="C18" s="341" t="s">
        <v>5</v>
      </c>
      <c r="D18" s="341"/>
      <c r="E18" s="349"/>
      <c r="F18" s="350"/>
      <c r="G18" s="349"/>
      <c r="H18" s="350"/>
      <c r="I18" s="351">
        <f>I296</f>
        <v>162419</v>
      </c>
      <c r="J18" s="341"/>
    </row>
    <row r="19" spans="1:10" ht="21.75" customHeight="1">
      <c r="A19" s="352" t="s">
        <v>284</v>
      </c>
      <c r="B19" s="353" t="s">
        <v>285</v>
      </c>
      <c r="C19" s="341" t="s">
        <v>5</v>
      </c>
      <c r="D19" s="341"/>
      <c r="E19" s="349"/>
      <c r="F19" s="350"/>
      <c r="G19" s="349"/>
      <c r="H19" s="350"/>
      <c r="I19" s="351">
        <f>I318</f>
        <v>57843.5</v>
      </c>
      <c r="J19" s="341"/>
    </row>
    <row r="20" spans="1:10" ht="21.75" customHeight="1">
      <c r="A20" s="352"/>
      <c r="B20" s="353"/>
      <c r="C20" s="355"/>
      <c r="D20" s="356"/>
      <c r="E20" s="349"/>
      <c r="F20" s="350"/>
      <c r="G20" s="349"/>
      <c r="H20" s="350"/>
      <c r="I20" s="351"/>
      <c r="J20" s="341"/>
    </row>
    <row r="21" spans="1:10" ht="21.75" customHeight="1">
      <c r="A21" s="352"/>
      <c r="B21" s="353"/>
      <c r="C21" s="355"/>
      <c r="D21" s="356"/>
      <c r="E21" s="349"/>
      <c r="F21" s="350"/>
      <c r="G21" s="349"/>
      <c r="H21" s="350"/>
      <c r="I21" s="351"/>
      <c r="J21" s="353"/>
    </row>
    <row r="22" spans="1:10" ht="21.75" customHeight="1">
      <c r="A22" s="352"/>
      <c r="B22" s="357" t="s">
        <v>286</v>
      </c>
      <c r="C22" s="355"/>
      <c r="D22" s="356"/>
      <c r="E22" s="349"/>
      <c r="F22" s="350"/>
      <c r="G22" s="349"/>
      <c r="H22" s="350"/>
      <c r="I22" s="358">
        <f>SUM(I10:I21)</f>
        <v>3634633.64</v>
      </c>
      <c r="J22" s="353"/>
    </row>
    <row r="23" spans="1:10" ht="21.75" customHeight="1">
      <c r="A23" s="352"/>
      <c r="B23" s="353"/>
      <c r="C23" s="355"/>
      <c r="D23" s="356"/>
      <c r="E23" s="349"/>
      <c r="F23" s="350"/>
      <c r="G23" s="349"/>
      <c r="H23" s="349"/>
      <c r="I23" s="351"/>
      <c r="J23" s="353"/>
    </row>
    <row r="24" spans="1:10" ht="21.75" customHeight="1">
      <c r="A24" s="352"/>
      <c r="B24" s="359"/>
      <c r="C24" s="355"/>
      <c r="D24" s="341"/>
      <c r="E24" s="349"/>
      <c r="F24" s="349"/>
      <c r="G24" s="349"/>
      <c r="H24" s="349"/>
      <c r="I24" s="358"/>
      <c r="J24" s="353"/>
    </row>
    <row r="25" spans="1:10" ht="21.75" customHeight="1">
      <c r="A25" s="352"/>
      <c r="B25" s="356"/>
      <c r="C25" s="360"/>
      <c r="D25" s="356"/>
      <c r="E25" s="361"/>
      <c r="F25" s="362"/>
      <c r="G25" s="363"/>
      <c r="H25" s="362"/>
      <c r="I25" s="363"/>
      <c r="J25" s="353"/>
    </row>
    <row r="27" spans="1:10" ht="21.75" customHeight="1">
      <c r="A27" s="801" t="s">
        <v>106</v>
      </c>
      <c r="B27" s="801"/>
      <c r="C27" s="801"/>
      <c r="D27" s="801"/>
      <c r="E27" s="801"/>
      <c r="F27" s="801"/>
      <c r="G27" s="801"/>
      <c r="H27" s="801"/>
      <c r="I27" s="801"/>
      <c r="J27" s="801"/>
    </row>
    <row r="28" spans="1:10" ht="21.75" customHeight="1">
      <c r="A28" s="316" t="s">
        <v>258</v>
      </c>
      <c r="J28" s="317" t="s">
        <v>287</v>
      </c>
    </row>
    <row r="29" spans="1:10" ht="21.75" customHeight="1">
      <c r="A29" s="316" t="s">
        <v>259</v>
      </c>
    </row>
    <row r="30" spans="1:10" ht="21.75" customHeight="1">
      <c r="A30" s="316" t="s">
        <v>260</v>
      </c>
      <c r="F30" s="318" t="s">
        <v>108</v>
      </c>
      <c r="G30" s="318" t="s">
        <v>261</v>
      </c>
      <c r="H30" s="319"/>
    </row>
    <row r="31" spans="1:10" ht="21.75" customHeight="1">
      <c r="A31" s="316" t="s">
        <v>262</v>
      </c>
    </row>
    <row r="32" spans="1:10" ht="21.75" customHeight="1">
      <c r="A32" s="316" t="s">
        <v>263</v>
      </c>
      <c r="F32" s="316" t="s">
        <v>264</v>
      </c>
    </row>
    <row r="33" spans="1:10" ht="21.75" customHeight="1">
      <c r="A33" s="316"/>
      <c r="F33" s="320"/>
      <c r="G33" s="321"/>
      <c r="H33" s="322"/>
      <c r="I33" s="323"/>
      <c r="J33" s="323" t="s">
        <v>109</v>
      </c>
    </row>
    <row r="34" spans="1:10" ht="21.75" customHeight="1">
      <c r="A34" s="324" t="s">
        <v>6</v>
      </c>
      <c r="B34" s="325" t="s">
        <v>0</v>
      </c>
      <c r="C34" s="325" t="s">
        <v>1</v>
      </c>
      <c r="D34" s="325" t="s">
        <v>2</v>
      </c>
      <c r="E34" s="798" t="s">
        <v>265</v>
      </c>
      <c r="F34" s="798"/>
      <c r="G34" s="798" t="s">
        <v>3</v>
      </c>
      <c r="H34" s="798"/>
      <c r="I34" s="326" t="s">
        <v>266</v>
      </c>
      <c r="J34" s="799" t="s">
        <v>4</v>
      </c>
    </row>
    <row r="35" spans="1:10" ht="21.75" customHeight="1">
      <c r="A35" s="327"/>
      <c r="B35" s="327"/>
      <c r="C35" s="327"/>
      <c r="D35" s="327"/>
      <c r="E35" s="328" t="s">
        <v>267</v>
      </c>
      <c r="F35" s="328" t="s">
        <v>9</v>
      </c>
      <c r="G35" s="328" t="s">
        <v>267</v>
      </c>
      <c r="H35" s="329" t="s">
        <v>9</v>
      </c>
      <c r="I35" s="329" t="s">
        <v>268</v>
      </c>
      <c r="J35" s="800"/>
    </row>
    <row r="36" spans="1:10" ht="21.75" customHeight="1">
      <c r="A36" s="330"/>
      <c r="B36" s="330"/>
      <c r="C36" s="330"/>
      <c r="D36" s="330"/>
      <c r="E36" s="331" t="s">
        <v>113</v>
      </c>
      <c r="F36" s="331" t="s">
        <v>113</v>
      </c>
      <c r="G36" s="332" t="s">
        <v>113</v>
      </c>
      <c r="H36" s="332" t="s">
        <v>113</v>
      </c>
      <c r="I36" s="332" t="s">
        <v>113</v>
      </c>
      <c r="J36" s="333"/>
    </row>
    <row r="37" spans="1:10" ht="21.75" customHeight="1">
      <c r="A37" s="334">
        <v>2</v>
      </c>
      <c r="B37" s="334" t="s">
        <v>288</v>
      </c>
      <c r="C37" s="335"/>
      <c r="D37" s="335"/>
      <c r="E37" s="336"/>
      <c r="F37" s="336"/>
      <c r="G37" s="337"/>
      <c r="H37" s="337"/>
      <c r="I37" s="337"/>
      <c r="J37" s="338"/>
    </row>
    <row r="38" spans="1:10" ht="21.75" customHeight="1">
      <c r="A38" s="347"/>
      <c r="B38" s="364" t="s">
        <v>289</v>
      </c>
      <c r="C38" s="341"/>
      <c r="D38" s="341"/>
      <c r="E38" s="342"/>
      <c r="F38" s="343"/>
      <c r="G38" s="344"/>
      <c r="H38" s="345"/>
      <c r="I38" s="346"/>
      <c r="J38" s="347"/>
    </row>
    <row r="39" spans="1:10" ht="21.75" customHeight="1">
      <c r="A39" s="347"/>
      <c r="B39" s="348" t="s">
        <v>424</v>
      </c>
      <c r="C39" s="355"/>
      <c r="D39" s="341"/>
      <c r="E39" s="349"/>
      <c r="F39" s="350"/>
      <c r="G39" s="349"/>
      <c r="H39" s="350"/>
      <c r="I39" s="351"/>
      <c r="J39" s="347"/>
    </row>
    <row r="40" spans="1:10" ht="21.75" customHeight="1">
      <c r="A40" s="352"/>
      <c r="B40" s="353" t="s">
        <v>429</v>
      </c>
      <c r="C40" s="355">
        <v>623.5</v>
      </c>
      <c r="D40" s="341" t="s">
        <v>21</v>
      </c>
      <c r="E40" s="349">
        <v>475</v>
      </c>
      <c r="F40" s="350">
        <f>ROUND(C40*E40,2)</f>
        <v>296162.5</v>
      </c>
      <c r="G40" s="349">
        <v>70</v>
      </c>
      <c r="H40" s="350">
        <f>ROUND(C40*G40,2)</f>
        <v>43645</v>
      </c>
      <c r="I40" s="351">
        <f>H40+F40</f>
        <v>339807.5</v>
      </c>
      <c r="J40" s="354"/>
    </row>
    <row r="41" spans="1:10" ht="21.75" customHeight="1">
      <c r="A41" s="352"/>
      <c r="B41" s="353" t="s">
        <v>425</v>
      </c>
      <c r="C41" s="355">
        <v>3550</v>
      </c>
      <c r="D41" s="352" t="s">
        <v>22</v>
      </c>
      <c r="E41" s="349">
        <v>0.65</v>
      </c>
      <c r="F41" s="350">
        <f t="shared" ref="F41:F51" si="0">ROUND(C41*E41,2)</f>
        <v>2307.5</v>
      </c>
      <c r="G41" s="349">
        <v>0</v>
      </c>
      <c r="H41" s="350">
        <f>ROUND(C41*G41,2)</f>
        <v>0</v>
      </c>
      <c r="I41" s="351">
        <f>H41+F41</f>
        <v>2307.5</v>
      </c>
      <c r="J41" s="354" t="s">
        <v>291</v>
      </c>
    </row>
    <row r="42" spans="1:10" ht="21.75" customHeight="1">
      <c r="A42" s="352"/>
      <c r="B42" s="353" t="s">
        <v>426</v>
      </c>
      <c r="C42" s="355">
        <v>0</v>
      </c>
      <c r="D42" s="341" t="s">
        <v>292</v>
      </c>
      <c r="E42" s="349">
        <v>0</v>
      </c>
      <c r="F42" s="350">
        <f t="shared" si="0"/>
        <v>0</v>
      </c>
      <c r="G42" s="349">
        <v>0</v>
      </c>
      <c r="H42" s="350">
        <f t="shared" ref="H42:H51" si="1">ROUND(C42*G42,2)</f>
        <v>0</v>
      </c>
      <c r="I42" s="351">
        <f t="shared" ref="I42:I50" si="2">H42+F42</f>
        <v>0</v>
      </c>
      <c r="J42" s="341"/>
    </row>
    <row r="43" spans="1:10" ht="21.75" customHeight="1">
      <c r="A43" s="352"/>
      <c r="B43" s="353"/>
      <c r="C43" s="355">
        <v>0</v>
      </c>
      <c r="D43" s="341" t="s">
        <v>292</v>
      </c>
      <c r="E43" s="349">
        <v>0</v>
      </c>
      <c r="F43" s="350">
        <f t="shared" si="0"/>
        <v>0</v>
      </c>
      <c r="G43" s="349">
        <v>0</v>
      </c>
      <c r="H43" s="350">
        <f t="shared" si="1"/>
        <v>0</v>
      </c>
      <c r="I43" s="351">
        <f t="shared" si="2"/>
        <v>0</v>
      </c>
      <c r="J43" s="341"/>
    </row>
    <row r="44" spans="1:10" ht="21.75" customHeight="1">
      <c r="A44" s="352"/>
      <c r="B44" s="353"/>
      <c r="C44" s="355">
        <v>200</v>
      </c>
      <c r="D44" s="341" t="s">
        <v>25</v>
      </c>
      <c r="E44" s="349">
        <v>4</v>
      </c>
      <c r="F44" s="350">
        <f t="shared" si="0"/>
        <v>800</v>
      </c>
      <c r="G44" s="349">
        <v>0</v>
      </c>
      <c r="H44" s="350">
        <f t="shared" si="1"/>
        <v>0</v>
      </c>
      <c r="I44" s="351">
        <f t="shared" si="2"/>
        <v>800</v>
      </c>
      <c r="J44" s="354"/>
    </row>
    <row r="45" spans="1:10" ht="21.75" customHeight="1">
      <c r="A45" s="352"/>
      <c r="B45" s="398" t="s">
        <v>293</v>
      </c>
      <c r="C45" s="355">
        <v>304.5</v>
      </c>
      <c r="D45" s="341" t="s">
        <v>21</v>
      </c>
      <c r="E45" s="349">
        <v>50</v>
      </c>
      <c r="F45" s="350">
        <f t="shared" si="0"/>
        <v>15225</v>
      </c>
      <c r="G45" s="349">
        <v>18</v>
      </c>
      <c r="H45" s="350">
        <f t="shared" si="1"/>
        <v>5481</v>
      </c>
      <c r="I45" s="351">
        <f t="shared" si="2"/>
        <v>20706</v>
      </c>
      <c r="J45" s="341"/>
    </row>
    <row r="46" spans="1:10" ht="21.75" customHeight="1">
      <c r="A46" s="352"/>
      <c r="B46" s="353" t="s">
        <v>294</v>
      </c>
      <c r="C46" s="355">
        <v>100</v>
      </c>
      <c r="D46" s="341" t="s">
        <v>295</v>
      </c>
      <c r="E46" s="349">
        <v>85</v>
      </c>
      <c r="F46" s="350">
        <f t="shared" si="0"/>
        <v>8500</v>
      </c>
      <c r="G46" s="349">
        <v>35</v>
      </c>
      <c r="H46" s="350">
        <f t="shared" si="1"/>
        <v>3500</v>
      </c>
      <c r="I46" s="351">
        <f t="shared" si="2"/>
        <v>12000</v>
      </c>
      <c r="J46" s="341"/>
    </row>
    <row r="47" spans="1:10" ht="21.75" customHeight="1">
      <c r="A47" s="352"/>
      <c r="B47" s="353" t="s">
        <v>296</v>
      </c>
      <c r="C47" s="355">
        <v>100</v>
      </c>
      <c r="D47" s="356" t="s">
        <v>295</v>
      </c>
      <c r="E47" s="349">
        <v>65</v>
      </c>
      <c r="F47" s="350">
        <f t="shared" si="0"/>
        <v>6500</v>
      </c>
      <c r="G47" s="349">
        <v>34</v>
      </c>
      <c r="H47" s="350">
        <f t="shared" si="1"/>
        <v>3400</v>
      </c>
      <c r="I47" s="351">
        <f t="shared" si="2"/>
        <v>9900</v>
      </c>
      <c r="J47" s="341"/>
    </row>
    <row r="48" spans="1:10" ht="21.75" customHeight="1">
      <c r="A48" s="352"/>
      <c r="B48" s="365" t="s">
        <v>427</v>
      </c>
      <c r="C48" s="366">
        <v>100</v>
      </c>
      <c r="D48" s="356" t="s">
        <v>290</v>
      </c>
      <c r="E48" s="349">
        <v>47</v>
      </c>
      <c r="F48" s="350">
        <f t="shared" si="0"/>
        <v>4700</v>
      </c>
      <c r="G48" s="349">
        <v>30</v>
      </c>
      <c r="H48" s="350">
        <f t="shared" si="1"/>
        <v>3000</v>
      </c>
      <c r="I48" s="351">
        <f t="shared" si="2"/>
        <v>7700</v>
      </c>
      <c r="J48" s="353"/>
    </row>
    <row r="49" spans="1:10" ht="21.75" customHeight="1">
      <c r="A49" s="352"/>
      <c r="B49" s="365" t="s">
        <v>428</v>
      </c>
      <c r="C49" s="366">
        <v>8</v>
      </c>
      <c r="D49" s="356" t="s">
        <v>290</v>
      </c>
      <c r="E49" s="349">
        <v>72</v>
      </c>
      <c r="F49" s="350">
        <f t="shared" si="0"/>
        <v>576</v>
      </c>
      <c r="G49" s="349">
        <v>30</v>
      </c>
      <c r="H49" s="350">
        <f t="shared" si="1"/>
        <v>240</v>
      </c>
      <c r="I49" s="351">
        <f t="shared" si="2"/>
        <v>816</v>
      </c>
      <c r="J49" s="353"/>
    </row>
    <row r="50" spans="1:10" ht="21.75" customHeight="1">
      <c r="A50" s="352"/>
      <c r="B50" s="365"/>
      <c r="C50" s="366">
        <v>1</v>
      </c>
      <c r="D50" s="356" t="s">
        <v>290</v>
      </c>
      <c r="E50" s="349">
        <v>72</v>
      </c>
      <c r="F50" s="350">
        <f t="shared" si="0"/>
        <v>72</v>
      </c>
      <c r="G50" s="349">
        <v>30</v>
      </c>
      <c r="H50" s="349">
        <f t="shared" si="1"/>
        <v>30</v>
      </c>
      <c r="I50" s="351">
        <f t="shared" si="2"/>
        <v>102</v>
      </c>
      <c r="J50" s="353"/>
    </row>
    <row r="51" spans="1:10" ht="21.75" customHeight="1">
      <c r="A51" s="352"/>
      <c r="B51" s="365"/>
      <c r="C51" s="366">
        <v>50</v>
      </c>
      <c r="D51" s="341" t="s">
        <v>295</v>
      </c>
      <c r="E51" s="349">
        <v>180</v>
      </c>
      <c r="F51" s="349">
        <f t="shared" si="0"/>
        <v>9000</v>
      </c>
      <c r="G51" s="349">
        <v>0</v>
      </c>
      <c r="H51" s="349">
        <f t="shared" si="1"/>
        <v>0</v>
      </c>
      <c r="I51" s="367">
        <f>H51+F51</f>
        <v>9000</v>
      </c>
      <c r="J51" s="353"/>
    </row>
    <row r="52" spans="1:10" ht="21.75" customHeight="1">
      <c r="A52" s="352"/>
      <c r="B52" s="356" t="s">
        <v>18</v>
      </c>
      <c r="C52" s="360"/>
      <c r="D52" s="356"/>
      <c r="E52" s="361"/>
      <c r="F52" s="362"/>
      <c r="G52" s="363"/>
      <c r="H52" s="362"/>
      <c r="I52" s="363">
        <f>SUM(I37:I51)</f>
        <v>403139</v>
      </c>
      <c r="J52" s="353"/>
    </row>
    <row r="53" spans="1:10" ht="21.75" customHeight="1">
      <c r="A53" s="368"/>
      <c r="B53" s="369"/>
      <c r="C53" s="370"/>
      <c r="D53" s="371"/>
      <c r="E53" s="372"/>
      <c r="F53" s="373"/>
      <c r="G53" s="374"/>
      <c r="H53" s="373"/>
      <c r="I53" s="374"/>
      <c r="J53" s="369"/>
    </row>
    <row r="54" spans="1:10" ht="21.75" customHeight="1">
      <c r="A54" s="801" t="s">
        <v>106</v>
      </c>
      <c r="B54" s="801"/>
      <c r="C54" s="801"/>
      <c r="D54" s="801"/>
      <c r="E54" s="801"/>
      <c r="F54" s="801"/>
      <c r="G54" s="801"/>
      <c r="H54" s="801"/>
      <c r="I54" s="801"/>
      <c r="J54" s="801"/>
    </row>
    <row r="55" spans="1:10" ht="21.75" customHeight="1">
      <c r="A55" s="316" t="s">
        <v>258</v>
      </c>
      <c r="J55" s="317" t="s">
        <v>297</v>
      </c>
    </row>
    <row r="56" spans="1:10" ht="21.75" customHeight="1">
      <c r="A56" s="316" t="s">
        <v>259</v>
      </c>
    </row>
    <row r="57" spans="1:10" ht="21.75" customHeight="1">
      <c r="A57" s="316" t="s">
        <v>260</v>
      </c>
      <c r="F57" s="318" t="s">
        <v>108</v>
      </c>
      <c r="G57" s="318" t="s">
        <v>261</v>
      </c>
      <c r="H57" s="319"/>
    </row>
    <row r="58" spans="1:10" ht="21.75" customHeight="1">
      <c r="A58" s="316" t="s">
        <v>262</v>
      </c>
    </row>
    <row r="59" spans="1:10" ht="21.75" customHeight="1">
      <c r="A59" s="316" t="s">
        <v>263</v>
      </c>
      <c r="F59" s="316" t="s">
        <v>264</v>
      </c>
    </row>
    <row r="60" spans="1:10" ht="21.75" customHeight="1">
      <c r="A60" s="316"/>
      <c r="F60" s="320"/>
      <c r="G60" s="321"/>
      <c r="H60" s="322"/>
      <c r="I60" s="323"/>
      <c r="J60" s="323" t="s">
        <v>109</v>
      </c>
    </row>
    <row r="61" spans="1:10" ht="21.75" customHeight="1">
      <c r="A61" s="324" t="s">
        <v>6</v>
      </c>
      <c r="B61" s="325" t="s">
        <v>0</v>
      </c>
      <c r="C61" s="325" t="s">
        <v>1</v>
      </c>
      <c r="D61" s="325" t="s">
        <v>2</v>
      </c>
      <c r="E61" s="798" t="s">
        <v>265</v>
      </c>
      <c r="F61" s="798"/>
      <c r="G61" s="798" t="s">
        <v>3</v>
      </c>
      <c r="H61" s="798"/>
      <c r="I61" s="326" t="s">
        <v>266</v>
      </c>
      <c r="J61" s="799" t="s">
        <v>4</v>
      </c>
    </row>
    <row r="62" spans="1:10" ht="21.75" customHeight="1">
      <c r="A62" s="327"/>
      <c r="B62" s="327"/>
      <c r="C62" s="327"/>
      <c r="D62" s="327"/>
      <c r="E62" s="328" t="s">
        <v>267</v>
      </c>
      <c r="F62" s="328" t="s">
        <v>9</v>
      </c>
      <c r="G62" s="328" t="s">
        <v>267</v>
      </c>
      <c r="H62" s="329" t="s">
        <v>9</v>
      </c>
      <c r="I62" s="329" t="s">
        <v>268</v>
      </c>
      <c r="J62" s="800"/>
    </row>
    <row r="63" spans="1:10" ht="21.75" customHeight="1">
      <c r="A63" s="330"/>
      <c r="B63" s="330"/>
      <c r="C63" s="330"/>
      <c r="D63" s="330"/>
      <c r="E63" s="331" t="s">
        <v>113</v>
      </c>
      <c r="F63" s="331" t="s">
        <v>113</v>
      </c>
      <c r="G63" s="332" t="s">
        <v>113</v>
      </c>
      <c r="H63" s="332" t="s">
        <v>113</v>
      </c>
      <c r="I63" s="332" t="s">
        <v>113</v>
      </c>
      <c r="J63" s="333"/>
    </row>
    <row r="64" spans="1:10" ht="21.75" customHeight="1">
      <c r="A64" s="335"/>
      <c r="B64" s="337" t="s">
        <v>19</v>
      </c>
      <c r="C64" s="335"/>
      <c r="D64" s="335"/>
      <c r="E64" s="336"/>
      <c r="F64" s="336"/>
      <c r="G64" s="337"/>
      <c r="H64" s="337"/>
      <c r="I64" s="375">
        <f>I52</f>
        <v>403139</v>
      </c>
      <c r="J64" s="338"/>
    </row>
    <row r="65" spans="1:10" ht="21.75" customHeight="1">
      <c r="A65" s="347"/>
      <c r="B65" s="340" t="s">
        <v>298</v>
      </c>
      <c r="C65" s="355"/>
      <c r="D65" s="341"/>
      <c r="E65" s="342"/>
      <c r="F65" s="343"/>
      <c r="G65" s="344"/>
      <c r="H65" s="345"/>
      <c r="I65" s="346"/>
      <c r="J65" s="347"/>
    </row>
    <row r="66" spans="1:10" ht="21.75" customHeight="1">
      <c r="A66" s="347"/>
      <c r="B66" s="348" t="s">
        <v>299</v>
      </c>
      <c r="C66" s="355">
        <v>623.5</v>
      </c>
      <c r="D66" s="341" t="s">
        <v>21</v>
      </c>
      <c r="E66" s="349">
        <v>475</v>
      </c>
      <c r="F66" s="350">
        <f>ROUND(C66*E66,2)</f>
        <v>296162.5</v>
      </c>
      <c r="G66" s="349">
        <v>70</v>
      </c>
      <c r="H66" s="350">
        <f>ROUND(C66*G66,2)</f>
        <v>43645</v>
      </c>
      <c r="I66" s="351">
        <f>H66+F66</f>
        <v>339807.5</v>
      </c>
      <c r="J66" s="347"/>
    </row>
    <row r="67" spans="1:10" ht="21.75" customHeight="1">
      <c r="A67" s="352"/>
      <c r="B67" s="353" t="s">
        <v>300</v>
      </c>
      <c r="C67" s="355">
        <v>66.5</v>
      </c>
      <c r="D67" s="341" t="s">
        <v>295</v>
      </c>
      <c r="E67" s="349">
        <v>300</v>
      </c>
      <c r="F67" s="350">
        <f>ROUND(C67*E67,2)</f>
        <v>19950</v>
      </c>
      <c r="G67" s="349">
        <v>50</v>
      </c>
      <c r="H67" s="350">
        <f>ROUND(C67*G67,2)</f>
        <v>3325</v>
      </c>
      <c r="I67" s="351">
        <f>H67+F67</f>
        <v>23275</v>
      </c>
      <c r="J67" s="353"/>
    </row>
    <row r="68" spans="1:10" ht="21.75" customHeight="1">
      <c r="A68" s="352"/>
      <c r="B68" s="353" t="s">
        <v>301</v>
      </c>
      <c r="C68" s="355">
        <v>52</v>
      </c>
      <c r="D68" s="352" t="s">
        <v>295</v>
      </c>
      <c r="E68" s="349">
        <v>450</v>
      </c>
      <c r="F68" s="350">
        <f>ROUND(C68*E68,2)</f>
        <v>23400</v>
      </c>
      <c r="G68" s="349">
        <v>20</v>
      </c>
      <c r="H68" s="350">
        <f>ROUND(C68*G68,2)</f>
        <v>1040</v>
      </c>
      <c r="I68" s="351">
        <f>H68+F68</f>
        <v>24440</v>
      </c>
      <c r="J68" s="353"/>
    </row>
    <row r="69" spans="1:10" ht="21.75" customHeight="1">
      <c r="A69" s="352"/>
      <c r="B69" s="353"/>
      <c r="C69" s="355"/>
      <c r="D69" s="341"/>
      <c r="E69" s="349"/>
      <c r="F69" s="350"/>
      <c r="G69" s="349"/>
      <c r="H69" s="350"/>
      <c r="I69" s="351"/>
      <c r="J69" s="341"/>
    </row>
    <row r="70" spans="1:10" ht="21.75" customHeight="1">
      <c r="A70" s="352"/>
      <c r="B70" s="353" t="s">
        <v>302</v>
      </c>
      <c r="C70" s="355"/>
      <c r="D70" s="341"/>
      <c r="E70" s="349"/>
      <c r="F70" s="350"/>
      <c r="G70" s="349"/>
      <c r="H70" s="350"/>
      <c r="I70" s="351"/>
      <c r="J70" s="341"/>
    </row>
    <row r="71" spans="1:10" ht="21.75" customHeight="1">
      <c r="A71" s="352"/>
      <c r="B71" s="353" t="s">
        <v>303</v>
      </c>
      <c r="C71" s="355">
        <v>72</v>
      </c>
      <c r="D71" s="341" t="s">
        <v>21</v>
      </c>
      <c r="E71" s="349">
        <v>225</v>
      </c>
      <c r="F71" s="350">
        <f>ROUND(C71*E71,2)</f>
        <v>16200</v>
      </c>
      <c r="G71" s="349">
        <v>100</v>
      </c>
      <c r="H71" s="350">
        <f>ROUND(C71*G71,2)</f>
        <v>7200</v>
      </c>
      <c r="I71" s="351">
        <f>H71+F71</f>
        <v>23400</v>
      </c>
      <c r="J71" s="341"/>
    </row>
    <row r="72" spans="1:10" ht="21.75" customHeight="1">
      <c r="A72" s="352"/>
      <c r="B72" s="353"/>
      <c r="C72" s="355"/>
      <c r="D72" s="341"/>
      <c r="E72" s="349"/>
      <c r="F72" s="350"/>
      <c r="G72" s="349"/>
      <c r="H72" s="350"/>
      <c r="I72" s="351"/>
      <c r="J72" s="341"/>
    </row>
    <row r="73" spans="1:10" ht="21.75" customHeight="1">
      <c r="A73" s="352"/>
      <c r="B73" s="353"/>
      <c r="C73" s="355"/>
      <c r="D73" s="341"/>
      <c r="E73" s="349"/>
      <c r="F73" s="350"/>
      <c r="G73" s="349"/>
      <c r="H73" s="350"/>
      <c r="I73" s="351"/>
      <c r="J73" s="341"/>
    </row>
    <row r="74" spans="1:10" ht="21.75" customHeight="1">
      <c r="A74" s="352"/>
      <c r="B74" s="353"/>
      <c r="C74" s="355"/>
      <c r="D74" s="356"/>
      <c r="E74" s="349"/>
      <c r="F74" s="350"/>
      <c r="G74" s="349"/>
      <c r="H74" s="350"/>
      <c r="I74" s="351"/>
      <c r="J74" s="341"/>
    </row>
    <row r="75" spans="1:10" ht="21.75" customHeight="1">
      <c r="A75" s="352"/>
      <c r="B75" s="353"/>
      <c r="C75" s="355"/>
      <c r="D75" s="356"/>
      <c r="E75" s="349"/>
      <c r="F75" s="350"/>
      <c r="G75" s="349"/>
      <c r="H75" s="350"/>
      <c r="I75" s="351"/>
      <c r="J75" s="353"/>
    </row>
    <row r="76" spans="1:10" ht="21.75" customHeight="1">
      <c r="A76" s="352"/>
      <c r="B76" s="347" t="s">
        <v>304</v>
      </c>
      <c r="C76" s="355"/>
      <c r="D76" s="356"/>
      <c r="E76" s="349"/>
      <c r="F76" s="350"/>
      <c r="G76" s="349"/>
      <c r="H76" s="350"/>
      <c r="I76" s="358">
        <f>SUM(I64:I75)</f>
        <v>814061.5</v>
      </c>
      <c r="J76" s="353"/>
    </row>
    <row r="77" spans="1:10" ht="21.75" customHeight="1">
      <c r="A77" s="352"/>
      <c r="B77" s="353"/>
      <c r="C77" s="355"/>
      <c r="D77" s="356"/>
      <c r="E77" s="349"/>
      <c r="F77" s="349"/>
      <c r="G77" s="349"/>
      <c r="H77" s="349"/>
      <c r="I77" s="351"/>
      <c r="J77" s="353"/>
    </row>
    <row r="78" spans="1:10" ht="21.75" customHeight="1">
      <c r="A78" s="352"/>
      <c r="B78" s="359"/>
      <c r="C78" s="355"/>
      <c r="D78" s="341"/>
      <c r="E78" s="349"/>
      <c r="F78" s="349"/>
      <c r="G78" s="349"/>
      <c r="H78" s="349"/>
      <c r="I78" s="358"/>
      <c r="J78" s="353"/>
    </row>
    <row r="79" spans="1:10" ht="21.75" customHeight="1">
      <c r="A79" s="352"/>
      <c r="B79" s="376"/>
      <c r="C79" s="360"/>
      <c r="D79" s="356"/>
      <c r="E79" s="361"/>
      <c r="F79" s="362"/>
      <c r="G79" s="363"/>
      <c r="H79" s="362"/>
      <c r="I79" s="363"/>
      <c r="J79" s="353"/>
    </row>
    <row r="80" spans="1:10" ht="21.75" customHeight="1">
      <c r="A80" s="368"/>
      <c r="B80" s="369"/>
      <c r="C80" s="370"/>
      <c r="D80" s="371"/>
      <c r="E80" s="372"/>
      <c r="F80" s="373"/>
      <c r="G80" s="374"/>
      <c r="H80" s="373"/>
      <c r="I80" s="374"/>
      <c r="J80" s="369"/>
    </row>
    <row r="81" spans="1:10" ht="21.75" customHeight="1">
      <c r="A81" s="801" t="s">
        <v>106</v>
      </c>
      <c r="B81" s="801"/>
      <c r="C81" s="801"/>
      <c r="D81" s="801"/>
      <c r="E81" s="801"/>
      <c r="F81" s="801"/>
      <c r="G81" s="801"/>
      <c r="H81" s="801"/>
      <c r="I81" s="801"/>
      <c r="J81" s="801"/>
    </row>
    <row r="82" spans="1:10" ht="21.75" customHeight="1">
      <c r="A82" s="316" t="s">
        <v>258</v>
      </c>
      <c r="J82" s="317" t="s">
        <v>305</v>
      </c>
    </row>
    <row r="83" spans="1:10" ht="21.75" customHeight="1">
      <c r="A83" s="316" t="s">
        <v>259</v>
      </c>
    </row>
    <row r="84" spans="1:10" ht="21.75" customHeight="1">
      <c r="A84" s="316" t="s">
        <v>260</v>
      </c>
      <c r="F84" s="318" t="s">
        <v>108</v>
      </c>
      <c r="G84" s="318" t="s">
        <v>261</v>
      </c>
      <c r="H84" s="319"/>
    </row>
    <row r="85" spans="1:10" ht="21.75" customHeight="1">
      <c r="A85" s="316" t="s">
        <v>262</v>
      </c>
    </row>
    <row r="86" spans="1:10" ht="21.75" customHeight="1">
      <c r="A86" s="316" t="s">
        <v>263</v>
      </c>
      <c r="F86" s="316" t="s">
        <v>264</v>
      </c>
    </row>
    <row r="87" spans="1:10" ht="21.75" customHeight="1">
      <c r="A87" s="316"/>
      <c r="F87" s="320"/>
      <c r="G87" s="321"/>
      <c r="H87" s="322"/>
      <c r="I87" s="323"/>
      <c r="J87" s="323" t="s">
        <v>109</v>
      </c>
    </row>
    <row r="88" spans="1:10" ht="21.75" customHeight="1">
      <c r="A88" s="324" t="s">
        <v>6</v>
      </c>
      <c r="B88" s="325" t="s">
        <v>0</v>
      </c>
      <c r="C88" s="325" t="s">
        <v>1</v>
      </c>
      <c r="D88" s="325" t="s">
        <v>2</v>
      </c>
      <c r="E88" s="798" t="s">
        <v>265</v>
      </c>
      <c r="F88" s="798"/>
      <c r="G88" s="798" t="s">
        <v>3</v>
      </c>
      <c r="H88" s="798"/>
      <c r="I88" s="326" t="s">
        <v>266</v>
      </c>
      <c r="J88" s="799" t="s">
        <v>4</v>
      </c>
    </row>
    <row r="89" spans="1:10" ht="21.75" customHeight="1">
      <c r="A89" s="327"/>
      <c r="B89" s="327"/>
      <c r="C89" s="327"/>
      <c r="D89" s="327"/>
      <c r="E89" s="328" t="s">
        <v>267</v>
      </c>
      <c r="F89" s="328" t="s">
        <v>9</v>
      </c>
      <c r="G89" s="328" t="s">
        <v>267</v>
      </c>
      <c r="H89" s="329" t="s">
        <v>9</v>
      </c>
      <c r="I89" s="329" t="s">
        <v>268</v>
      </c>
      <c r="J89" s="800"/>
    </row>
    <row r="90" spans="1:10" ht="21.75" customHeight="1">
      <c r="A90" s="330"/>
      <c r="B90" s="330"/>
      <c r="C90" s="330"/>
      <c r="D90" s="330"/>
      <c r="E90" s="331" t="s">
        <v>113</v>
      </c>
      <c r="F90" s="331" t="s">
        <v>113</v>
      </c>
      <c r="G90" s="332" t="s">
        <v>113</v>
      </c>
      <c r="H90" s="332" t="s">
        <v>113</v>
      </c>
      <c r="I90" s="332" t="s">
        <v>113</v>
      </c>
      <c r="J90" s="333"/>
    </row>
    <row r="91" spans="1:10" ht="21.75" customHeight="1">
      <c r="A91" s="335"/>
      <c r="B91" s="377" t="s">
        <v>306</v>
      </c>
      <c r="C91" s="335"/>
      <c r="D91" s="335"/>
      <c r="E91" s="336"/>
      <c r="F91" s="336"/>
      <c r="G91" s="337"/>
      <c r="H91" s="337"/>
      <c r="I91" s="337"/>
      <c r="J91" s="338"/>
    </row>
    <row r="92" spans="1:10" ht="21.75" customHeight="1">
      <c r="A92" s="347"/>
      <c r="B92" s="340" t="s">
        <v>307</v>
      </c>
      <c r="C92" s="355">
        <v>732</v>
      </c>
      <c r="D92" s="341" t="s">
        <v>21</v>
      </c>
      <c r="E92" s="355">
        <v>175</v>
      </c>
      <c r="F92" s="350">
        <f>ROUND(C92*E92,2)</f>
        <v>128100</v>
      </c>
      <c r="G92" s="349">
        <v>75</v>
      </c>
      <c r="H92" s="350">
        <f>ROUND(C92*G92,2)</f>
        <v>54900</v>
      </c>
      <c r="I92" s="351">
        <f>H92+F92</f>
        <v>183000</v>
      </c>
      <c r="J92" s="347"/>
    </row>
    <row r="93" spans="1:10" ht="21.75" customHeight="1">
      <c r="A93" s="347"/>
      <c r="B93" s="348" t="s">
        <v>308</v>
      </c>
      <c r="C93" s="355"/>
      <c r="D93" s="341"/>
      <c r="E93" s="349"/>
      <c r="F93" s="350"/>
      <c r="G93" s="349"/>
      <c r="H93" s="350"/>
      <c r="I93" s="351"/>
      <c r="J93" s="347"/>
    </row>
    <row r="94" spans="1:10" ht="21.75" customHeight="1">
      <c r="A94" s="352"/>
      <c r="B94" s="353" t="s">
        <v>309</v>
      </c>
      <c r="C94" s="355">
        <v>45</v>
      </c>
      <c r="D94" s="341" t="s">
        <v>21</v>
      </c>
      <c r="E94" s="349">
        <v>195</v>
      </c>
      <c r="F94" s="350">
        <f>ROUND(C94*E94,2)</f>
        <v>8775</v>
      </c>
      <c r="G94" s="349">
        <v>75</v>
      </c>
      <c r="H94" s="350">
        <f>ROUND(C94*G94,2)</f>
        <v>3375</v>
      </c>
      <c r="I94" s="351">
        <f>H94+F94</f>
        <v>12150</v>
      </c>
      <c r="J94" s="353"/>
    </row>
    <row r="95" spans="1:10" ht="21.75" customHeight="1">
      <c r="A95" s="352"/>
      <c r="B95" s="348" t="s">
        <v>308</v>
      </c>
      <c r="C95" s="355"/>
      <c r="D95" s="352"/>
      <c r="E95" s="349"/>
      <c r="F95" s="350"/>
      <c r="G95" s="349"/>
      <c r="H95" s="350"/>
      <c r="I95" s="351"/>
      <c r="J95" s="353"/>
    </row>
    <row r="96" spans="1:10" ht="21.75" customHeight="1">
      <c r="A96" s="352"/>
      <c r="B96" s="353" t="s">
        <v>310</v>
      </c>
      <c r="C96" s="355">
        <v>85</v>
      </c>
      <c r="D96" s="341" t="s">
        <v>21</v>
      </c>
      <c r="E96" s="349">
        <v>57</v>
      </c>
      <c r="F96" s="350">
        <f>ROUND(C96*E96,2)</f>
        <v>4845</v>
      </c>
      <c r="G96" s="349">
        <v>82</v>
      </c>
      <c r="H96" s="350">
        <f>ROUND(C96*G96,2)</f>
        <v>6970</v>
      </c>
      <c r="I96" s="351">
        <f>H96+F96</f>
        <v>11815</v>
      </c>
      <c r="J96" s="341"/>
    </row>
    <row r="97" spans="1:10" ht="21.75" customHeight="1">
      <c r="A97" s="352"/>
      <c r="B97" s="353" t="s">
        <v>311</v>
      </c>
      <c r="C97" s="355">
        <v>80</v>
      </c>
      <c r="D97" s="341" t="s">
        <v>21</v>
      </c>
      <c r="E97" s="349">
        <v>1000</v>
      </c>
      <c r="F97" s="350">
        <f>ROUND(C97*E97,2)</f>
        <v>80000</v>
      </c>
      <c r="G97" s="349">
        <v>185</v>
      </c>
      <c r="H97" s="350">
        <f>ROUND(C97*G97,2)</f>
        <v>14800</v>
      </c>
      <c r="I97" s="351">
        <f>H97+F97</f>
        <v>94800</v>
      </c>
      <c r="J97" s="341"/>
    </row>
    <row r="98" spans="1:10" ht="21.75" customHeight="1">
      <c r="A98" s="352"/>
      <c r="B98" s="353" t="s">
        <v>312</v>
      </c>
      <c r="C98" s="355">
        <v>32</v>
      </c>
      <c r="D98" s="341" t="s">
        <v>21</v>
      </c>
      <c r="E98" s="349">
        <v>350</v>
      </c>
      <c r="F98" s="350">
        <f>ROUND(C98*E98,2)</f>
        <v>11200</v>
      </c>
      <c r="G98" s="349">
        <v>85</v>
      </c>
      <c r="H98" s="350">
        <f>ROUND(C98*G98,2)</f>
        <v>2720</v>
      </c>
      <c r="I98" s="351">
        <f>H98+F98</f>
        <v>13920</v>
      </c>
      <c r="J98" s="341"/>
    </row>
    <row r="99" spans="1:10" ht="21.75" customHeight="1">
      <c r="A99" s="352"/>
      <c r="B99" s="353" t="s">
        <v>313</v>
      </c>
      <c r="C99" s="355"/>
      <c r="D99" s="341"/>
      <c r="E99" s="349"/>
      <c r="F99" s="350"/>
      <c r="G99" s="349"/>
      <c r="H99" s="350"/>
      <c r="I99" s="351"/>
      <c r="J99" s="341"/>
    </row>
    <row r="100" spans="1:10" ht="21.75" customHeight="1">
      <c r="A100" s="352"/>
      <c r="B100" s="353"/>
      <c r="C100" s="355"/>
      <c r="D100" s="341"/>
      <c r="E100" s="349"/>
      <c r="F100" s="350"/>
      <c r="G100" s="349"/>
      <c r="H100" s="350"/>
      <c r="I100" s="351"/>
      <c r="J100" s="341"/>
    </row>
    <row r="101" spans="1:10" ht="21.75" customHeight="1">
      <c r="A101" s="352"/>
      <c r="B101" s="353"/>
      <c r="C101" s="355"/>
      <c r="D101" s="356"/>
      <c r="E101" s="349"/>
      <c r="F101" s="350"/>
      <c r="G101" s="349"/>
      <c r="H101" s="350"/>
      <c r="I101" s="351"/>
      <c r="J101" s="341"/>
    </row>
    <row r="102" spans="1:10" ht="21.75" customHeight="1">
      <c r="A102" s="352"/>
      <c r="B102" s="353"/>
      <c r="C102" s="355"/>
      <c r="D102" s="356"/>
      <c r="E102" s="349"/>
      <c r="F102" s="350"/>
      <c r="G102" s="349"/>
      <c r="H102" s="350"/>
      <c r="I102" s="351"/>
      <c r="J102" s="353"/>
    </row>
    <row r="103" spans="1:10" ht="21.75" customHeight="1">
      <c r="A103" s="352"/>
      <c r="B103" s="353"/>
      <c r="C103" s="355"/>
      <c r="D103" s="356"/>
      <c r="E103" s="349"/>
      <c r="F103" s="350"/>
      <c r="G103" s="349"/>
      <c r="H103" s="350"/>
      <c r="I103" s="351"/>
      <c r="J103" s="353"/>
    </row>
    <row r="104" spans="1:10" ht="21.75" customHeight="1">
      <c r="A104" s="352"/>
      <c r="B104" s="353"/>
      <c r="C104" s="355"/>
      <c r="D104" s="356"/>
      <c r="E104" s="349"/>
      <c r="F104" s="349"/>
      <c r="G104" s="349"/>
      <c r="H104" s="349"/>
      <c r="I104" s="351"/>
      <c r="J104" s="353"/>
    </row>
    <row r="105" spans="1:10" ht="21.75" customHeight="1">
      <c r="A105" s="352"/>
      <c r="B105" s="359" t="s">
        <v>314</v>
      </c>
      <c r="C105" s="355"/>
      <c r="D105" s="341"/>
      <c r="E105" s="349"/>
      <c r="F105" s="349"/>
      <c r="G105" s="349"/>
      <c r="H105" s="349"/>
      <c r="I105" s="358">
        <f>SUM(I91:I104)</f>
        <v>315685</v>
      </c>
      <c r="J105" s="353"/>
    </row>
    <row r="106" spans="1:10" ht="21.75" customHeight="1">
      <c r="A106" s="352"/>
      <c r="B106" s="376"/>
      <c r="C106" s="360"/>
      <c r="D106" s="356"/>
      <c r="E106" s="361"/>
      <c r="F106" s="362"/>
      <c r="G106" s="363"/>
      <c r="H106" s="362"/>
      <c r="I106" s="363"/>
      <c r="J106" s="353"/>
    </row>
    <row r="107" spans="1:10" ht="21.75" customHeight="1">
      <c r="A107" s="368"/>
      <c r="B107" s="369"/>
      <c r="C107" s="370"/>
      <c r="D107" s="371"/>
      <c r="E107" s="372"/>
      <c r="F107" s="373"/>
      <c r="G107" s="374"/>
      <c r="H107" s="373"/>
      <c r="I107" s="374"/>
      <c r="J107" s="369"/>
    </row>
    <row r="108" spans="1:10" ht="21.75" customHeight="1">
      <c r="A108" s="801" t="s">
        <v>106</v>
      </c>
      <c r="B108" s="801"/>
      <c r="C108" s="801"/>
      <c r="D108" s="801"/>
      <c r="E108" s="801"/>
      <c r="F108" s="801"/>
      <c r="G108" s="801"/>
      <c r="H108" s="801"/>
      <c r="I108" s="801"/>
      <c r="J108" s="801"/>
    </row>
    <row r="109" spans="1:10" ht="21.75" customHeight="1">
      <c r="A109" s="316" t="s">
        <v>258</v>
      </c>
      <c r="J109" s="317" t="s">
        <v>315</v>
      </c>
    </row>
    <row r="110" spans="1:10" ht="21.75" customHeight="1">
      <c r="A110" s="316" t="s">
        <v>259</v>
      </c>
    </row>
    <row r="111" spans="1:10" ht="21.75" customHeight="1">
      <c r="A111" s="316" t="s">
        <v>260</v>
      </c>
      <c r="F111" s="318" t="s">
        <v>108</v>
      </c>
      <c r="G111" s="318" t="s">
        <v>261</v>
      </c>
      <c r="H111" s="319"/>
    </row>
    <row r="112" spans="1:10" ht="21.75" customHeight="1">
      <c r="A112" s="316" t="s">
        <v>262</v>
      </c>
    </row>
    <row r="113" spans="1:10" ht="21.75" customHeight="1">
      <c r="A113" s="316" t="s">
        <v>263</v>
      </c>
      <c r="F113" s="316" t="s">
        <v>264</v>
      </c>
    </row>
    <row r="114" spans="1:10" ht="21.75" customHeight="1">
      <c r="A114" s="316"/>
      <c r="F114" s="320"/>
      <c r="G114" s="321"/>
      <c r="H114" s="322"/>
      <c r="I114" s="323"/>
      <c r="J114" s="323" t="s">
        <v>109</v>
      </c>
    </row>
    <row r="115" spans="1:10" ht="21.75" customHeight="1">
      <c r="A115" s="324" t="s">
        <v>6</v>
      </c>
      <c r="B115" s="325" t="s">
        <v>0</v>
      </c>
      <c r="C115" s="325" t="s">
        <v>1</v>
      </c>
      <c r="D115" s="325" t="s">
        <v>2</v>
      </c>
      <c r="E115" s="798" t="s">
        <v>265</v>
      </c>
      <c r="F115" s="798"/>
      <c r="G115" s="798" t="s">
        <v>3</v>
      </c>
      <c r="H115" s="798"/>
      <c r="I115" s="326" t="s">
        <v>266</v>
      </c>
      <c r="J115" s="799" t="s">
        <v>4</v>
      </c>
    </row>
    <row r="116" spans="1:10" ht="21.75" customHeight="1">
      <c r="A116" s="327"/>
      <c r="B116" s="327"/>
      <c r="C116" s="327"/>
      <c r="D116" s="327"/>
      <c r="E116" s="328" t="s">
        <v>267</v>
      </c>
      <c r="F116" s="328" t="s">
        <v>9</v>
      </c>
      <c r="G116" s="328" t="s">
        <v>267</v>
      </c>
      <c r="H116" s="329" t="s">
        <v>9</v>
      </c>
      <c r="I116" s="329" t="s">
        <v>268</v>
      </c>
      <c r="J116" s="800"/>
    </row>
    <row r="117" spans="1:10" ht="21.75" customHeight="1">
      <c r="A117" s="330"/>
      <c r="B117" s="330"/>
      <c r="C117" s="330"/>
      <c r="D117" s="330"/>
      <c r="E117" s="331" t="s">
        <v>113</v>
      </c>
      <c r="F117" s="331" t="s">
        <v>113</v>
      </c>
      <c r="G117" s="332" t="s">
        <v>113</v>
      </c>
      <c r="H117" s="332" t="s">
        <v>113</v>
      </c>
      <c r="I117" s="332" t="s">
        <v>113</v>
      </c>
      <c r="J117" s="333"/>
    </row>
    <row r="118" spans="1:10" ht="21.75" customHeight="1">
      <c r="A118" s="335"/>
      <c r="B118" s="377" t="s">
        <v>316</v>
      </c>
      <c r="C118" s="335"/>
      <c r="D118" s="335"/>
      <c r="E118" s="336"/>
      <c r="F118" s="336"/>
      <c r="G118" s="337"/>
      <c r="H118" s="337"/>
      <c r="I118" s="337"/>
      <c r="J118" s="338"/>
    </row>
    <row r="119" spans="1:10" ht="21.75" customHeight="1">
      <c r="A119" s="347"/>
      <c r="B119" s="340" t="s">
        <v>317</v>
      </c>
      <c r="C119" s="341"/>
      <c r="D119" s="341"/>
      <c r="E119" s="342"/>
      <c r="F119" s="343"/>
      <c r="G119" s="344"/>
      <c r="H119" s="345"/>
      <c r="I119" s="346"/>
      <c r="J119" s="347"/>
    </row>
    <row r="120" spans="1:10" ht="21.75" customHeight="1">
      <c r="A120" s="347"/>
      <c r="B120" s="348" t="s">
        <v>318</v>
      </c>
      <c r="C120" s="355">
        <v>740.46</v>
      </c>
      <c r="D120" s="341" t="s">
        <v>21</v>
      </c>
      <c r="E120" s="349">
        <v>120</v>
      </c>
      <c r="F120" s="350">
        <f>ROUND(C120*E120,2)</f>
        <v>88855.2</v>
      </c>
      <c r="G120" s="349">
        <v>89</v>
      </c>
      <c r="H120" s="350">
        <f>ROUND(C120*G120,2)</f>
        <v>65900.94</v>
      </c>
      <c r="I120" s="351">
        <f>H120+F120</f>
        <v>154756.14000000001</v>
      </c>
      <c r="J120" s="347"/>
    </row>
    <row r="121" spans="1:10" ht="21.75" customHeight="1">
      <c r="A121" s="352"/>
      <c r="B121" s="353" t="s">
        <v>319</v>
      </c>
      <c r="C121" s="355">
        <v>385</v>
      </c>
      <c r="D121" s="341" t="s">
        <v>295</v>
      </c>
      <c r="E121" s="349">
        <v>80</v>
      </c>
      <c r="F121" s="350">
        <f t="shared" ref="F121:F127" si="3">ROUND(C121*E121,2)</f>
        <v>30800</v>
      </c>
      <c r="G121" s="349">
        <v>35</v>
      </c>
      <c r="H121" s="350">
        <f t="shared" ref="H121:H127" si="4">ROUND(C121*G121,2)</f>
        <v>13475</v>
      </c>
      <c r="I121" s="351">
        <f t="shared" ref="I121:I127" si="5">H121+F121</f>
        <v>44275</v>
      </c>
      <c r="J121" s="353"/>
    </row>
    <row r="122" spans="1:10" ht="21.75" customHeight="1">
      <c r="A122" s="352"/>
      <c r="B122" s="353" t="s">
        <v>320</v>
      </c>
      <c r="C122" s="355"/>
      <c r="D122" s="352"/>
      <c r="E122" s="349"/>
      <c r="F122" s="350"/>
      <c r="G122" s="349"/>
      <c r="H122" s="350"/>
      <c r="I122" s="351"/>
      <c r="J122" s="353"/>
    </row>
    <row r="123" spans="1:10" ht="21.75" customHeight="1">
      <c r="A123" s="352"/>
      <c r="B123" s="353" t="s">
        <v>321</v>
      </c>
      <c r="C123" s="355">
        <v>161</v>
      </c>
      <c r="D123" s="341" t="s">
        <v>21</v>
      </c>
      <c r="E123" s="349">
        <v>300</v>
      </c>
      <c r="F123" s="350">
        <f t="shared" si="3"/>
        <v>48300</v>
      </c>
      <c r="G123" s="349">
        <v>138</v>
      </c>
      <c r="H123" s="350">
        <f t="shared" si="4"/>
        <v>22218</v>
      </c>
      <c r="I123" s="351">
        <f t="shared" si="5"/>
        <v>70518</v>
      </c>
      <c r="J123" s="341"/>
    </row>
    <row r="124" spans="1:10" ht="21.75" customHeight="1">
      <c r="A124" s="352"/>
      <c r="B124" s="353" t="s">
        <v>322</v>
      </c>
      <c r="C124" s="355">
        <v>46</v>
      </c>
      <c r="D124" s="341" t="s">
        <v>21</v>
      </c>
      <c r="E124" s="349">
        <v>200</v>
      </c>
      <c r="F124" s="350">
        <f t="shared" si="3"/>
        <v>9200</v>
      </c>
      <c r="G124" s="349">
        <v>138</v>
      </c>
      <c r="H124" s="350">
        <f t="shared" si="4"/>
        <v>6348</v>
      </c>
      <c r="I124" s="351">
        <f t="shared" si="5"/>
        <v>15548</v>
      </c>
      <c r="J124" s="341"/>
    </row>
    <row r="125" spans="1:10" ht="21.75" customHeight="1">
      <c r="A125" s="352"/>
      <c r="B125" s="353" t="s">
        <v>323</v>
      </c>
      <c r="C125" s="355">
        <v>35</v>
      </c>
      <c r="D125" s="341" t="s">
        <v>21</v>
      </c>
      <c r="E125" s="349">
        <v>1200</v>
      </c>
      <c r="F125" s="350">
        <f t="shared" si="3"/>
        <v>42000</v>
      </c>
      <c r="G125" s="349">
        <v>180</v>
      </c>
      <c r="H125" s="350">
        <f t="shared" si="4"/>
        <v>6300</v>
      </c>
      <c r="I125" s="351">
        <f t="shared" si="5"/>
        <v>48300</v>
      </c>
      <c r="J125" s="341"/>
    </row>
    <row r="126" spans="1:10" ht="21.75" customHeight="1">
      <c r="A126" s="352"/>
      <c r="B126" s="353" t="s">
        <v>324</v>
      </c>
      <c r="C126" s="355">
        <v>122.5</v>
      </c>
      <c r="D126" s="341" t="s">
        <v>21</v>
      </c>
      <c r="E126" s="349">
        <v>1000</v>
      </c>
      <c r="F126" s="350">
        <f t="shared" si="3"/>
        <v>122500</v>
      </c>
      <c r="G126" s="349">
        <v>180</v>
      </c>
      <c r="H126" s="350">
        <f t="shared" si="4"/>
        <v>22050</v>
      </c>
      <c r="I126" s="351">
        <f t="shared" si="5"/>
        <v>144550</v>
      </c>
      <c r="J126" s="341"/>
    </row>
    <row r="127" spans="1:10" ht="21.75" customHeight="1">
      <c r="A127" s="352"/>
      <c r="B127" s="353" t="s">
        <v>325</v>
      </c>
      <c r="C127" s="355">
        <v>60</v>
      </c>
      <c r="D127" s="356" t="s">
        <v>295</v>
      </c>
      <c r="E127" s="349">
        <v>80</v>
      </c>
      <c r="F127" s="350">
        <f t="shared" si="3"/>
        <v>4800</v>
      </c>
      <c r="G127" s="349">
        <v>40</v>
      </c>
      <c r="H127" s="350">
        <f t="shared" si="4"/>
        <v>2400</v>
      </c>
      <c r="I127" s="351">
        <f t="shared" si="5"/>
        <v>7200</v>
      </c>
      <c r="J127" s="341"/>
    </row>
    <row r="128" spans="1:10" ht="21.75" customHeight="1">
      <c r="A128" s="352"/>
      <c r="B128" s="340" t="s">
        <v>326</v>
      </c>
      <c r="C128" s="378"/>
      <c r="D128" s="341"/>
      <c r="E128" s="349"/>
      <c r="F128" s="350"/>
      <c r="G128" s="349"/>
      <c r="H128" s="350"/>
      <c r="I128" s="351"/>
      <c r="J128" s="341"/>
    </row>
    <row r="129" spans="1:10" ht="21.75" customHeight="1">
      <c r="A129" s="352"/>
      <c r="B129" s="348" t="s">
        <v>327</v>
      </c>
      <c r="C129" s="355">
        <v>370</v>
      </c>
      <c r="D129" s="341" t="s">
        <v>21</v>
      </c>
      <c r="E129" s="349">
        <v>57</v>
      </c>
      <c r="F129" s="350">
        <f>ROUND(C129*E129,2)</f>
        <v>21090</v>
      </c>
      <c r="G129" s="349">
        <v>100</v>
      </c>
      <c r="H129" s="350">
        <f>ROUND(C129*G129,2)</f>
        <v>37000</v>
      </c>
      <c r="I129" s="351">
        <f>H129+F129</f>
        <v>58090</v>
      </c>
      <c r="J129" s="341"/>
    </row>
    <row r="130" spans="1:10" ht="21.75" customHeight="1">
      <c r="A130" s="352"/>
      <c r="B130" s="353" t="s">
        <v>328</v>
      </c>
      <c r="C130" s="355">
        <v>1480</v>
      </c>
      <c r="D130" s="341" t="s">
        <v>21</v>
      </c>
      <c r="E130" s="349">
        <v>57</v>
      </c>
      <c r="F130" s="350">
        <f>ROUND(C130*E130,2)</f>
        <v>84360</v>
      </c>
      <c r="G130" s="349">
        <v>80</v>
      </c>
      <c r="H130" s="350">
        <f>ROUND(C130*G130,2)</f>
        <v>118400</v>
      </c>
      <c r="I130" s="351">
        <f>H130+F130</f>
        <v>202760</v>
      </c>
      <c r="J130" s="353"/>
    </row>
    <row r="131" spans="1:10" ht="21.75" customHeight="1">
      <c r="A131" s="352"/>
      <c r="B131" s="353"/>
      <c r="C131" s="341"/>
      <c r="D131" s="352"/>
      <c r="E131" s="349"/>
      <c r="F131" s="350"/>
      <c r="G131" s="349"/>
      <c r="H131" s="350"/>
      <c r="I131" s="351"/>
      <c r="J131" s="353"/>
    </row>
    <row r="132" spans="1:10" ht="21.75" customHeight="1">
      <c r="A132" s="352"/>
      <c r="B132" s="357" t="s">
        <v>329</v>
      </c>
      <c r="C132" s="355"/>
      <c r="D132" s="341"/>
      <c r="E132" s="349"/>
      <c r="F132" s="349"/>
      <c r="G132" s="349"/>
      <c r="H132" s="349"/>
      <c r="I132" s="358">
        <f>SUM(I118:I131)</f>
        <v>745997.14</v>
      </c>
      <c r="J132" s="353"/>
    </row>
    <row r="133" spans="1:10" ht="21.75" customHeight="1">
      <c r="A133" s="352"/>
      <c r="B133" s="356"/>
      <c r="C133" s="360"/>
      <c r="D133" s="356"/>
      <c r="E133" s="361"/>
      <c r="F133" s="362"/>
      <c r="G133" s="363"/>
      <c r="H133" s="362"/>
      <c r="I133" s="363"/>
      <c r="J133" s="353"/>
    </row>
    <row r="134" spans="1:10" ht="21.75" customHeight="1">
      <c r="A134" s="368"/>
      <c r="B134" s="369"/>
      <c r="C134" s="370"/>
      <c r="D134" s="371"/>
      <c r="E134" s="372"/>
      <c r="F134" s="373"/>
      <c r="G134" s="374"/>
      <c r="H134" s="373"/>
      <c r="I134" s="374"/>
      <c r="J134" s="369"/>
    </row>
    <row r="135" spans="1:10" ht="21.75" customHeight="1">
      <c r="A135" s="801" t="s">
        <v>106</v>
      </c>
      <c r="B135" s="801"/>
      <c r="C135" s="801"/>
      <c r="D135" s="801"/>
      <c r="E135" s="801"/>
      <c r="F135" s="801"/>
      <c r="G135" s="801"/>
      <c r="H135" s="801"/>
      <c r="I135" s="801"/>
      <c r="J135" s="801"/>
    </row>
    <row r="136" spans="1:10" ht="21.75" customHeight="1">
      <c r="A136" s="316" t="s">
        <v>258</v>
      </c>
      <c r="J136" s="317" t="s">
        <v>330</v>
      </c>
    </row>
    <row r="137" spans="1:10" ht="21.75" customHeight="1">
      <c r="A137" s="316" t="s">
        <v>259</v>
      </c>
    </row>
    <row r="138" spans="1:10" ht="21.75" customHeight="1">
      <c r="A138" s="316" t="s">
        <v>260</v>
      </c>
      <c r="F138" s="318" t="s">
        <v>108</v>
      </c>
      <c r="G138" s="318" t="s">
        <v>261</v>
      </c>
      <c r="H138" s="319"/>
    </row>
    <row r="139" spans="1:10" ht="21.75" customHeight="1">
      <c r="A139" s="316" t="s">
        <v>262</v>
      </c>
    </row>
    <row r="140" spans="1:10" ht="21.75" customHeight="1">
      <c r="A140" s="316" t="s">
        <v>263</v>
      </c>
      <c r="F140" s="316" t="s">
        <v>264</v>
      </c>
    </row>
    <row r="141" spans="1:10" ht="21.75" customHeight="1">
      <c r="A141" s="316"/>
      <c r="F141" s="320"/>
      <c r="G141" s="321"/>
      <c r="H141" s="322"/>
      <c r="I141" s="323"/>
      <c r="J141" s="323" t="s">
        <v>109</v>
      </c>
    </row>
    <row r="142" spans="1:10" ht="21.75" customHeight="1">
      <c r="A142" s="324" t="s">
        <v>6</v>
      </c>
      <c r="B142" s="325" t="s">
        <v>0</v>
      </c>
      <c r="C142" s="325" t="s">
        <v>1</v>
      </c>
      <c r="D142" s="325" t="s">
        <v>2</v>
      </c>
      <c r="E142" s="798" t="s">
        <v>265</v>
      </c>
      <c r="F142" s="798"/>
      <c r="G142" s="798" t="s">
        <v>3</v>
      </c>
      <c r="H142" s="798"/>
      <c r="I142" s="326" t="s">
        <v>266</v>
      </c>
      <c r="J142" s="799" t="s">
        <v>4</v>
      </c>
    </row>
    <row r="143" spans="1:10" ht="21.75" customHeight="1">
      <c r="A143" s="327"/>
      <c r="B143" s="327"/>
      <c r="C143" s="327"/>
      <c r="D143" s="327"/>
      <c r="E143" s="328" t="s">
        <v>267</v>
      </c>
      <c r="F143" s="328" t="s">
        <v>9</v>
      </c>
      <c r="G143" s="328" t="s">
        <v>267</v>
      </c>
      <c r="H143" s="329" t="s">
        <v>9</v>
      </c>
      <c r="I143" s="329" t="s">
        <v>268</v>
      </c>
      <c r="J143" s="800"/>
    </row>
    <row r="144" spans="1:10" ht="21.75" customHeight="1">
      <c r="A144" s="330"/>
      <c r="B144" s="330"/>
      <c r="C144" s="330"/>
      <c r="D144" s="330"/>
      <c r="E144" s="331" t="s">
        <v>113</v>
      </c>
      <c r="F144" s="331" t="s">
        <v>113</v>
      </c>
      <c r="G144" s="332" t="s">
        <v>113</v>
      </c>
      <c r="H144" s="332" t="s">
        <v>113</v>
      </c>
      <c r="I144" s="332" t="s">
        <v>113</v>
      </c>
      <c r="J144" s="333"/>
    </row>
    <row r="145" spans="1:10" ht="21.75" customHeight="1">
      <c r="A145" s="352"/>
      <c r="B145" s="379" t="s">
        <v>331</v>
      </c>
      <c r="C145" s="341"/>
      <c r="D145" s="341"/>
      <c r="E145" s="349"/>
      <c r="F145" s="350"/>
      <c r="G145" s="349"/>
      <c r="H145" s="350"/>
      <c r="I145" s="351"/>
      <c r="J145" s="341"/>
    </row>
    <row r="146" spans="1:10" ht="21.75" customHeight="1">
      <c r="A146" s="352"/>
      <c r="B146" s="353" t="s">
        <v>332</v>
      </c>
      <c r="C146" s="355"/>
      <c r="D146" s="341"/>
      <c r="E146" s="349"/>
      <c r="F146" s="350"/>
      <c r="G146" s="349"/>
      <c r="H146" s="350"/>
      <c r="I146" s="351"/>
      <c r="J146" s="341"/>
    </row>
    <row r="147" spans="1:10" ht="21.75" customHeight="1">
      <c r="A147" s="352"/>
      <c r="B147" s="353" t="s">
        <v>333</v>
      </c>
      <c r="C147" s="355">
        <v>73</v>
      </c>
      <c r="D147" s="356" t="s">
        <v>21</v>
      </c>
      <c r="E147" s="349">
        <v>0</v>
      </c>
      <c r="F147" s="350">
        <f>ROUND(C147*E147,2)</f>
        <v>0</v>
      </c>
      <c r="G147" s="349">
        <v>30</v>
      </c>
      <c r="H147" s="350">
        <f>ROUND(C147*G147,2)</f>
        <v>2190</v>
      </c>
      <c r="I147" s="351">
        <f>H147+F147</f>
        <v>2190</v>
      </c>
      <c r="J147" s="341"/>
    </row>
    <row r="148" spans="1:10" ht="21.75" customHeight="1">
      <c r="A148" s="352"/>
      <c r="B148" s="353" t="s">
        <v>334</v>
      </c>
      <c r="C148" s="355">
        <v>503</v>
      </c>
      <c r="D148" s="356" t="s">
        <v>21</v>
      </c>
      <c r="E148" s="349">
        <v>91</v>
      </c>
      <c r="F148" s="350">
        <f>ROUND(C148*E148,2)</f>
        <v>45773</v>
      </c>
      <c r="G148" s="349">
        <v>40</v>
      </c>
      <c r="H148" s="350">
        <f>ROUND(C148*G148,2)</f>
        <v>20120</v>
      </c>
      <c r="I148" s="351">
        <f>H148+F148</f>
        <v>65893</v>
      </c>
      <c r="J148" s="353"/>
    </row>
    <row r="149" spans="1:10" ht="21.75" customHeight="1">
      <c r="A149" s="352"/>
      <c r="B149" s="353" t="s">
        <v>335</v>
      </c>
      <c r="C149" s="355">
        <v>56</v>
      </c>
      <c r="D149" s="356" t="s">
        <v>295</v>
      </c>
      <c r="E149" s="349">
        <v>91</v>
      </c>
      <c r="F149" s="350">
        <f>ROUND(C149*E149,2)</f>
        <v>5096</v>
      </c>
      <c r="G149" s="349">
        <v>40</v>
      </c>
      <c r="H149" s="350">
        <f>ROUND(C149*G149,2)</f>
        <v>2240</v>
      </c>
      <c r="I149" s="351">
        <f>H149+F149</f>
        <v>7336</v>
      </c>
      <c r="J149" s="353"/>
    </row>
    <row r="150" spans="1:10" ht="21.75" customHeight="1">
      <c r="A150" s="352"/>
      <c r="B150" s="353" t="s">
        <v>336</v>
      </c>
      <c r="C150" s="341"/>
      <c r="D150" s="356"/>
      <c r="E150" s="349"/>
      <c r="F150" s="350"/>
      <c r="G150" s="349"/>
      <c r="H150" s="350"/>
      <c r="I150" s="351"/>
      <c r="J150" s="353"/>
    </row>
    <row r="151" spans="1:10" ht="21.75" customHeight="1">
      <c r="A151" s="352"/>
      <c r="B151" s="376" t="s">
        <v>337</v>
      </c>
      <c r="C151" s="380">
        <v>756</v>
      </c>
      <c r="D151" s="356" t="s">
        <v>21</v>
      </c>
      <c r="E151" s="361">
        <v>300</v>
      </c>
      <c r="F151" s="350">
        <f>ROUND(C151*E151,2)</f>
        <v>226800</v>
      </c>
      <c r="G151" s="363">
        <v>175</v>
      </c>
      <c r="H151" s="350">
        <f>ROUND(C151*G151,2)</f>
        <v>132300</v>
      </c>
      <c r="I151" s="351">
        <f>H151+F151</f>
        <v>359100</v>
      </c>
      <c r="J151" s="353"/>
    </row>
    <row r="152" spans="1:10" ht="21.75" customHeight="1">
      <c r="A152" s="347"/>
      <c r="B152" s="376" t="s">
        <v>338</v>
      </c>
      <c r="C152" s="355">
        <v>24</v>
      </c>
      <c r="D152" s="341" t="s">
        <v>21</v>
      </c>
      <c r="E152" s="361">
        <v>300</v>
      </c>
      <c r="F152" s="350">
        <f>ROUND(C152*E152,2)</f>
        <v>7200</v>
      </c>
      <c r="G152" s="355">
        <v>145</v>
      </c>
      <c r="H152" s="350">
        <f>ROUND(C152*G152,2)</f>
        <v>3480</v>
      </c>
      <c r="I152" s="351">
        <f>H152+F152</f>
        <v>10680</v>
      </c>
      <c r="J152" s="347"/>
    </row>
    <row r="153" spans="1:10" ht="21.75" customHeight="1">
      <c r="A153" s="347"/>
      <c r="B153" s="376" t="s">
        <v>339</v>
      </c>
      <c r="C153" s="355">
        <v>12</v>
      </c>
      <c r="D153" s="341" t="s">
        <v>21</v>
      </c>
      <c r="E153" s="349">
        <v>200</v>
      </c>
      <c r="F153" s="350">
        <f>ROUND(C153*E153,2)</f>
        <v>2400</v>
      </c>
      <c r="G153" s="349">
        <v>125</v>
      </c>
      <c r="H153" s="350">
        <f>ROUND(C153*G153,2)</f>
        <v>1500</v>
      </c>
      <c r="I153" s="351">
        <f>H153+F153</f>
        <v>3900</v>
      </c>
      <c r="J153" s="347"/>
    </row>
    <row r="154" spans="1:10" ht="21.75" customHeight="1">
      <c r="A154" s="352"/>
      <c r="B154" s="376" t="s">
        <v>340</v>
      </c>
      <c r="C154" s="355">
        <v>440</v>
      </c>
      <c r="D154" s="341" t="s">
        <v>295</v>
      </c>
      <c r="E154" s="349">
        <v>65</v>
      </c>
      <c r="F154" s="350">
        <f>ROUND(C154*E154,2)</f>
        <v>28600</v>
      </c>
      <c r="G154" s="349">
        <v>55</v>
      </c>
      <c r="H154" s="350">
        <f>ROUND(C154*G154,2)</f>
        <v>24200</v>
      </c>
      <c r="I154" s="351">
        <f>H154+F154</f>
        <v>52800</v>
      </c>
      <c r="J154" s="353"/>
    </row>
    <row r="155" spans="1:10" ht="21.75" customHeight="1">
      <c r="A155" s="352"/>
      <c r="B155" s="376"/>
      <c r="C155" s="355"/>
      <c r="D155" s="341"/>
      <c r="E155" s="349"/>
      <c r="F155" s="350"/>
      <c r="G155" s="349"/>
      <c r="H155" s="350"/>
      <c r="I155" s="351"/>
      <c r="J155" s="353"/>
    </row>
    <row r="156" spans="1:10" ht="21.75" customHeight="1">
      <c r="A156" s="352"/>
      <c r="B156" s="353"/>
      <c r="C156" s="341"/>
      <c r="D156" s="352"/>
      <c r="E156" s="349"/>
      <c r="F156" s="350"/>
      <c r="G156" s="349"/>
      <c r="H156" s="350"/>
      <c r="I156" s="351"/>
      <c r="J156" s="353"/>
    </row>
    <row r="157" spans="1:10" ht="21.75" customHeight="1">
      <c r="A157" s="352"/>
      <c r="B157" s="357" t="s">
        <v>341</v>
      </c>
      <c r="C157" s="355"/>
      <c r="D157" s="341"/>
      <c r="E157" s="349"/>
      <c r="F157" s="350"/>
      <c r="G157" s="349"/>
      <c r="H157" s="350"/>
      <c r="I157" s="358">
        <f>SUM(I145:I156)</f>
        <v>501899</v>
      </c>
      <c r="J157" s="341"/>
    </row>
    <row r="158" spans="1:10" ht="21.75" customHeight="1">
      <c r="A158" s="352"/>
      <c r="B158" s="353"/>
      <c r="C158" s="355"/>
      <c r="D158" s="341"/>
      <c r="E158" s="349"/>
      <c r="F158" s="350"/>
      <c r="G158" s="349"/>
      <c r="H158" s="350"/>
      <c r="I158" s="351"/>
      <c r="J158" s="341"/>
    </row>
    <row r="159" spans="1:10" ht="21.75" customHeight="1">
      <c r="A159" s="352"/>
      <c r="B159" s="353"/>
      <c r="C159" s="355"/>
      <c r="D159" s="341"/>
      <c r="E159" s="349"/>
      <c r="F159" s="350"/>
      <c r="G159" s="349"/>
      <c r="H159" s="350"/>
      <c r="I159" s="351"/>
      <c r="J159" s="341"/>
    </row>
    <row r="160" spans="1:10" ht="21.75" customHeight="1">
      <c r="A160" s="352"/>
      <c r="B160" s="353"/>
      <c r="C160" s="355"/>
      <c r="D160" s="341"/>
      <c r="E160" s="349"/>
      <c r="F160" s="350"/>
      <c r="G160" s="349"/>
      <c r="H160" s="350"/>
      <c r="I160" s="351"/>
      <c r="J160" s="341"/>
    </row>
    <row r="161" spans="1:10" ht="21.75" customHeight="1">
      <c r="A161" s="381"/>
      <c r="B161" s="382"/>
      <c r="C161" s="383"/>
      <c r="D161" s="384"/>
      <c r="E161" s="385"/>
      <c r="F161" s="386"/>
      <c r="G161" s="385"/>
      <c r="H161" s="386"/>
      <c r="I161" s="387"/>
      <c r="J161" s="384"/>
    </row>
    <row r="162" spans="1:10" ht="21.75" customHeight="1">
      <c r="A162" s="801" t="s">
        <v>106</v>
      </c>
      <c r="B162" s="801"/>
      <c r="C162" s="801"/>
      <c r="D162" s="801"/>
      <c r="E162" s="801"/>
      <c r="F162" s="801"/>
      <c r="G162" s="801"/>
      <c r="H162" s="801"/>
      <c r="I162" s="801"/>
      <c r="J162" s="801"/>
    </row>
    <row r="163" spans="1:10" ht="21.75" customHeight="1">
      <c r="A163" s="316" t="s">
        <v>258</v>
      </c>
      <c r="J163" s="317" t="s">
        <v>330</v>
      </c>
    </row>
    <row r="164" spans="1:10" ht="21.75" customHeight="1">
      <c r="A164" s="316" t="s">
        <v>259</v>
      </c>
    </row>
    <row r="165" spans="1:10" ht="21.75" customHeight="1">
      <c r="A165" s="316" t="s">
        <v>260</v>
      </c>
      <c r="F165" s="318" t="s">
        <v>108</v>
      </c>
      <c r="G165" s="318" t="s">
        <v>261</v>
      </c>
      <c r="H165" s="319"/>
    </row>
    <row r="166" spans="1:10" ht="21.75" customHeight="1">
      <c r="A166" s="316" t="s">
        <v>262</v>
      </c>
    </row>
    <row r="167" spans="1:10" ht="21.75" customHeight="1">
      <c r="A167" s="316" t="s">
        <v>263</v>
      </c>
      <c r="F167" s="316" t="s">
        <v>264</v>
      </c>
    </row>
    <row r="168" spans="1:10" ht="21.75" customHeight="1">
      <c r="A168" s="316"/>
      <c r="F168" s="320"/>
      <c r="G168" s="321"/>
      <c r="H168" s="322"/>
      <c r="I168" s="323"/>
      <c r="J168" s="323" t="s">
        <v>109</v>
      </c>
    </row>
    <row r="169" spans="1:10" ht="21.75" customHeight="1">
      <c r="A169" s="324" t="s">
        <v>6</v>
      </c>
      <c r="B169" s="325" t="s">
        <v>0</v>
      </c>
      <c r="C169" s="325" t="s">
        <v>1</v>
      </c>
      <c r="D169" s="325" t="s">
        <v>2</v>
      </c>
      <c r="E169" s="798" t="s">
        <v>265</v>
      </c>
      <c r="F169" s="798"/>
      <c r="G169" s="798" t="s">
        <v>3</v>
      </c>
      <c r="H169" s="798"/>
      <c r="I169" s="326" t="s">
        <v>266</v>
      </c>
      <c r="J169" s="799" t="s">
        <v>4</v>
      </c>
    </row>
    <row r="170" spans="1:10" ht="21.75" customHeight="1">
      <c r="A170" s="327"/>
      <c r="B170" s="327"/>
      <c r="C170" s="327"/>
      <c r="D170" s="327"/>
      <c r="E170" s="328" t="s">
        <v>267</v>
      </c>
      <c r="F170" s="328" t="s">
        <v>9</v>
      </c>
      <c r="G170" s="328" t="s">
        <v>267</v>
      </c>
      <c r="H170" s="329" t="s">
        <v>9</v>
      </c>
      <c r="I170" s="329" t="s">
        <v>268</v>
      </c>
      <c r="J170" s="800"/>
    </row>
    <row r="171" spans="1:10" ht="21.75" customHeight="1">
      <c r="A171" s="330"/>
      <c r="B171" s="330"/>
      <c r="C171" s="330"/>
      <c r="D171" s="330"/>
      <c r="E171" s="331" t="s">
        <v>113</v>
      </c>
      <c r="F171" s="331" t="s">
        <v>113</v>
      </c>
      <c r="G171" s="332" t="s">
        <v>113</v>
      </c>
      <c r="H171" s="332" t="s">
        <v>113</v>
      </c>
      <c r="I171" s="332" t="s">
        <v>113</v>
      </c>
      <c r="J171" s="333"/>
    </row>
    <row r="172" spans="1:10" ht="21.75" customHeight="1">
      <c r="A172" s="352"/>
      <c r="B172" s="379" t="s">
        <v>342</v>
      </c>
      <c r="C172" s="341"/>
      <c r="D172" s="341"/>
      <c r="E172" s="349"/>
      <c r="F172" s="350"/>
      <c r="G172" s="349"/>
      <c r="H172" s="350"/>
      <c r="I172" s="351"/>
      <c r="J172" s="341"/>
    </row>
    <row r="173" spans="1:10" ht="21.75" customHeight="1">
      <c r="A173" s="352"/>
      <c r="B173" s="353" t="s">
        <v>343</v>
      </c>
      <c r="C173" s="355"/>
      <c r="D173" s="341"/>
      <c r="E173" s="349"/>
      <c r="F173" s="350"/>
      <c r="G173" s="349"/>
      <c r="H173" s="350"/>
      <c r="I173" s="351"/>
      <c r="J173" s="341"/>
    </row>
    <row r="174" spans="1:10" ht="21.75" customHeight="1">
      <c r="A174" s="352"/>
      <c r="B174" s="353" t="s">
        <v>344</v>
      </c>
      <c r="C174" s="355">
        <v>1</v>
      </c>
      <c r="D174" s="341" t="s">
        <v>25</v>
      </c>
      <c r="E174" s="349">
        <v>21450</v>
      </c>
      <c r="F174" s="350">
        <f t="shared" ref="F174:F186" si="6">ROUND(C174*E174,2)</f>
        <v>21450</v>
      </c>
      <c r="G174" s="349">
        <v>0</v>
      </c>
      <c r="H174" s="350">
        <f t="shared" ref="H174:H187" si="7">ROUND(C174*G174,2)</f>
        <v>0</v>
      </c>
      <c r="I174" s="351">
        <f t="shared" ref="I174:I187" si="8">H174+F174</f>
        <v>21450</v>
      </c>
      <c r="J174" s="341"/>
    </row>
    <row r="175" spans="1:10" ht="21.75" customHeight="1">
      <c r="A175" s="352"/>
      <c r="B175" s="353" t="s">
        <v>345</v>
      </c>
      <c r="C175" s="355">
        <v>4</v>
      </c>
      <c r="D175" s="356" t="s">
        <v>25</v>
      </c>
      <c r="E175" s="349">
        <v>11050</v>
      </c>
      <c r="F175" s="350">
        <f t="shared" si="6"/>
        <v>44200</v>
      </c>
      <c r="G175" s="349">
        <v>0</v>
      </c>
      <c r="H175" s="350">
        <f t="shared" si="7"/>
        <v>0</v>
      </c>
      <c r="I175" s="351">
        <f t="shared" si="8"/>
        <v>44200</v>
      </c>
      <c r="J175" s="341"/>
    </row>
    <row r="176" spans="1:10" ht="21.75" customHeight="1">
      <c r="A176" s="352"/>
      <c r="B176" s="353" t="s">
        <v>346</v>
      </c>
      <c r="C176" s="355">
        <v>3</v>
      </c>
      <c r="D176" s="356" t="s">
        <v>25</v>
      </c>
      <c r="E176" s="349">
        <v>19175</v>
      </c>
      <c r="F176" s="350">
        <f t="shared" si="6"/>
        <v>57525</v>
      </c>
      <c r="G176" s="349">
        <v>0</v>
      </c>
      <c r="H176" s="350">
        <f t="shared" si="7"/>
        <v>0</v>
      </c>
      <c r="I176" s="351">
        <f t="shared" si="8"/>
        <v>57525</v>
      </c>
      <c r="J176" s="353"/>
    </row>
    <row r="177" spans="1:10" ht="21.75" customHeight="1">
      <c r="A177" s="352"/>
      <c r="B177" s="353" t="s">
        <v>347</v>
      </c>
      <c r="C177" s="355">
        <v>2</v>
      </c>
      <c r="D177" s="356" t="s">
        <v>25</v>
      </c>
      <c r="E177" s="349">
        <v>16250</v>
      </c>
      <c r="F177" s="350">
        <f t="shared" si="6"/>
        <v>32500</v>
      </c>
      <c r="G177" s="349">
        <v>0</v>
      </c>
      <c r="H177" s="350">
        <f t="shared" si="7"/>
        <v>0</v>
      </c>
      <c r="I177" s="351">
        <f t="shared" si="8"/>
        <v>32500</v>
      </c>
      <c r="J177" s="353"/>
    </row>
    <row r="178" spans="1:10" ht="21.75" customHeight="1">
      <c r="A178" s="352"/>
      <c r="B178" s="353" t="s">
        <v>348</v>
      </c>
      <c r="C178" s="355">
        <v>4</v>
      </c>
      <c r="D178" s="356" t="s">
        <v>25</v>
      </c>
      <c r="E178" s="349">
        <v>17000</v>
      </c>
      <c r="F178" s="350">
        <f t="shared" si="6"/>
        <v>68000</v>
      </c>
      <c r="G178" s="349">
        <v>0</v>
      </c>
      <c r="H178" s="350">
        <f t="shared" si="7"/>
        <v>0</v>
      </c>
      <c r="I178" s="351">
        <f t="shared" si="8"/>
        <v>68000</v>
      </c>
      <c r="J178" s="353"/>
    </row>
    <row r="179" spans="1:10" ht="21.75" customHeight="1">
      <c r="A179" s="352"/>
      <c r="B179" s="353" t="s">
        <v>349</v>
      </c>
      <c r="C179" s="355">
        <v>1</v>
      </c>
      <c r="D179" s="341" t="s">
        <v>25</v>
      </c>
      <c r="E179" s="349">
        <v>11250</v>
      </c>
      <c r="F179" s="349">
        <f t="shared" si="6"/>
        <v>11250</v>
      </c>
      <c r="G179" s="349">
        <v>0</v>
      </c>
      <c r="H179" s="349">
        <f t="shared" si="7"/>
        <v>0</v>
      </c>
      <c r="I179" s="351">
        <f t="shared" si="8"/>
        <v>11250</v>
      </c>
      <c r="J179" s="353"/>
    </row>
    <row r="180" spans="1:10" ht="21.75" customHeight="1">
      <c r="A180" s="347"/>
      <c r="B180" s="353" t="s">
        <v>350</v>
      </c>
      <c r="C180" s="355">
        <v>7</v>
      </c>
      <c r="D180" s="341" t="s">
        <v>25</v>
      </c>
      <c r="E180" s="361">
        <v>6500</v>
      </c>
      <c r="F180" s="350">
        <f t="shared" si="6"/>
        <v>45500</v>
      </c>
      <c r="G180" s="349">
        <v>0</v>
      </c>
      <c r="H180" s="350">
        <f t="shared" si="7"/>
        <v>0</v>
      </c>
      <c r="I180" s="351">
        <f t="shared" si="8"/>
        <v>45500</v>
      </c>
      <c r="J180" s="347"/>
    </row>
    <row r="181" spans="1:10" ht="21.75" customHeight="1">
      <c r="A181" s="347"/>
      <c r="B181" s="353" t="s">
        <v>351</v>
      </c>
      <c r="C181" s="355">
        <v>6</v>
      </c>
      <c r="D181" s="341" t="s">
        <v>25</v>
      </c>
      <c r="E181" s="349">
        <v>2000</v>
      </c>
      <c r="F181" s="350">
        <f t="shared" si="6"/>
        <v>12000</v>
      </c>
      <c r="G181" s="349">
        <v>0</v>
      </c>
      <c r="H181" s="350">
        <f t="shared" si="7"/>
        <v>0</v>
      </c>
      <c r="I181" s="351">
        <f t="shared" si="8"/>
        <v>12000</v>
      </c>
      <c r="J181" s="347"/>
    </row>
    <row r="182" spans="1:10" ht="21.75" customHeight="1">
      <c r="A182" s="352"/>
      <c r="B182" s="353" t="s">
        <v>352</v>
      </c>
      <c r="C182" s="355">
        <v>1</v>
      </c>
      <c r="D182" s="341" t="s">
        <v>25</v>
      </c>
      <c r="E182" s="349">
        <v>1200</v>
      </c>
      <c r="F182" s="350">
        <f t="shared" si="6"/>
        <v>1200</v>
      </c>
      <c r="G182" s="349">
        <v>0</v>
      </c>
      <c r="H182" s="350">
        <f t="shared" si="7"/>
        <v>0</v>
      </c>
      <c r="I182" s="351">
        <f t="shared" si="8"/>
        <v>1200</v>
      </c>
      <c r="J182" s="353"/>
    </row>
    <row r="183" spans="1:10" ht="21.75" customHeight="1">
      <c r="A183" s="352"/>
      <c r="B183" s="353" t="s">
        <v>353</v>
      </c>
      <c r="C183" s="355">
        <v>4</v>
      </c>
      <c r="D183" s="352" t="s">
        <v>25</v>
      </c>
      <c r="E183" s="349">
        <v>1200</v>
      </c>
      <c r="F183" s="350">
        <f t="shared" si="6"/>
        <v>4800</v>
      </c>
      <c r="G183" s="349">
        <v>0</v>
      </c>
      <c r="H183" s="350">
        <f t="shared" si="7"/>
        <v>0</v>
      </c>
      <c r="I183" s="351">
        <f t="shared" si="8"/>
        <v>4800</v>
      </c>
      <c r="J183" s="353"/>
    </row>
    <row r="184" spans="1:10" ht="21.75" customHeight="1">
      <c r="A184" s="352"/>
      <c r="B184" s="353" t="s">
        <v>354</v>
      </c>
      <c r="C184" s="355"/>
      <c r="D184" s="341"/>
      <c r="E184" s="349"/>
      <c r="F184" s="350"/>
      <c r="G184" s="349"/>
      <c r="H184" s="350"/>
      <c r="I184" s="351"/>
      <c r="J184" s="341"/>
    </row>
    <row r="185" spans="1:10" ht="21.75" customHeight="1">
      <c r="A185" s="352"/>
      <c r="B185" s="353" t="s">
        <v>355</v>
      </c>
      <c r="C185" s="355">
        <v>28</v>
      </c>
      <c r="D185" s="341" t="s">
        <v>25</v>
      </c>
      <c r="E185" s="349">
        <v>10500</v>
      </c>
      <c r="F185" s="350">
        <f t="shared" si="6"/>
        <v>294000</v>
      </c>
      <c r="G185" s="349">
        <v>0</v>
      </c>
      <c r="H185" s="350">
        <f t="shared" si="7"/>
        <v>0</v>
      </c>
      <c r="I185" s="351">
        <f t="shared" si="8"/>
        <v>294000</v>
      </c>
      <c r="J185" s="341"/>
    </row>
    <row r="186" spans="1:10" ht="21.75" customHeight="1">
      <c r="A186" s="352"/>
      <c r="B186" s="353" t="s">
        <v>356</v>
      </c>
      <c r="C186" s="355">
        <v>6</v>
      </c>
      <c r="D186" s="341" t="s">
        <v>25</v>
      </c>
      <c r="E186" s="349">
        <v>14500</v>
      </c>
      <c r="F186" s="350">
        <f t="shared" si="6"/>
        <v>87000</v>
      </c>
      <c r="G186" s="349">
        <v>0</v>
      </c>
      <c r="H186" s="350">
        <f t="shared" si="7"/>
        <v>0</v>
      </c>
      <c r="I186" s="351">
        <f t="shared" si="8"/>
        <v>87000</v>
      </c>
      <c r="J186" s="341"/>
    </row>
    <row r="187" spans="1:10" ht="21.75" customHeight="1">
      <c r="A187" s="352"/>
      <c r="B187" s="353" t="s">
        <v>357</v>
      </c>
      <c r="C187" s="355">
        <v>3</v>
      </c>
      <c r="D187" s="341" t="s">
        <v>25</v>
      </c>
      <c r="E187" s="349">
        <v>7120</v>
      </c>
      <c r="F187" s="350">
        <f>ROUND(C187*E187,2)</f>
        <v>21360</v>
      </c>
      <c r="G187" s="349">
        <v>0</v>
      </c>
      <c r="H187" s="350">
        <f t="shared" si="7"/>
        <v>0</v>
      </c>
      <c r="I187" s="351">
        <f t="shared" si="8"/>
        <v>21360</v>
      </c>
      <c r="J187" s="341"/>
    </row>
    <row r="188" spans="1:10" ht="21.75" customHeight="1">
      <c r="A188" s="352"/>
      <c r="B188" s="356" t="s">
        <v>18</v>
      </c>
      <c r="C188" s="360"/>
      <c r="D188" s="356"/>
      <c r="E188" s="361"/>
      <c r="F188" s="362"/>
      <c r="G188" s="363"/>
      <c r="H188" s="362"/>
      <c r="I188" s="363">
        <f>SUM(I172:I187)</f>
        <v>700785</v>
      </c>
      <c r="J188" s="353"/>
    </row>
    <row r="189" spans="1:10" ht="21.75" customHeight="1">
      <c r="A189" s="801" t="s">
        <v>106</v>
      </c>
      <c r="B189" s="801"/>
      <c r="C189" s="801"/>
      <c r="D189" s="801"/>
      <c r="E189" s="801"/>
      <c r="F189" s="801"/>
      <c r="G189" s="801"/>
      <c r="H189" s="801"/>
      <c r="I189" s="801"/>
      <c r="J189" s="801"/>
    </row>
    <row r="190" spans="1:10" ht="21.75" customHeight="1">
      <c r="A190" s="316" t="s">
        <v>258</v>
      </c>
      <c r="J190" s="317" t="s">
        <v>358</v>
      </c>
    </row>
    <row r="191" spans="1:10" ht="21.75" customHeight="1">
      <c r="A191" s="316" t="s">
        <v>259</v>
      </c>
    </row>
    <row r="192" spans="1:10" ht="21.75" customHeight="1">
      <c r="A192" s="316" t="s">
        <v>260</v>
      </c>
      <c r="F192" s="318" t="s">
        <v>108</v>
      </c>
      <c r="G192" s="318" t="s">
        <v>261</v>
      </c>
      <c r="H192" s="319"/>
    </row>
    <row r="193" spans="1:10" ht="21.75" customHeight="1">
      <c r="A193" s="316" t="s">
        <v>262</v>
      </c>
    </row>
    <row r="194" spans="1:10" ht="21.75" customHeight="1">
      <c r="A194" s="316" t="s">
        <v>263</v>
      </c>
      <c r="F194" s="316" t="s">
        <v>264</v>
      </c>
    </row>
    <row r="195" spans="1:10" ht="21.75" customHeight="1">
      <c r="A195" s="316"/>
      <c r="F195" s="320"/>
      <c r="G195" s="321"/>
      <c r="H195" s="322"/>
      <c r="I195" s="323"/>
      <c r="J195" s="323" t="s">
        <v>109</v>
      </c>
    </row>
    <row r="196" spans="1:10" ht="21.75" customHeight="1">
      <c r="A196" s="324" t="s">
        <v>6</v>
      </c>
      <c r="B196" s="325" t="s">
        <v>0</v>
      </c>
      <c r="C196" s="325" t="s">
        <v>1</v>
      </c>
      <c r="D196" s="325" t="s">
        <v>2</v>
      </c>
      <c r="E196" s="798" t="s">
        <v>265</v>
      </c>
      <c r="F196" s="798"/>
      <c r="G196" s="798" t="s">
        <v>3</v>
      </c>
      <c r="H196" s="798"/>
      <c r="I196" s="326" t="s">
        <v>266</v>
      </c>
      <c r="J196" s="799" t="s">
        <v>4</v>
      </c>
    </row>
    <row r="197" spans="1:10" ht="21.75" customHeight="1">
      <c r="A197" s="327"/>
      <c r="B197" s="327"/>
      <c r="C197" s="327"/>
      <c r="D197" s="327"/>
      <c r="E197" s="328" t="s">
        <v>267</v>
      </c>
      <c r="F197" s="328" t="s">
        <v>9</v>
      </c>
      <c r="G197" s="328" t="s">
        <v>267</v>
      </c>
      <c r="H197" s="329" t="s">
        <v>9</v>
      </c>
      <c r="I197" s="329" t="s">
        <v>268</v>
      </c>
      <c r="J197" s="800"/>
    </row>
    <row r="198" spans="1:10" ht="21.75" customHeight="1">
      <c r="A198" s="330"/>
      <c r="B198" s="330"/>
      <c r="C198" s="330"/>
      <c r="D198" s="330"/>
      <c r="E198" s="331" t="s">
        <v>113</v>
      </c>
      <c r="F198" s="331" t="s">
        <v>113</v>
      </c>
      <c r="G198" s="332" t="s">
        <v>113</v>
      </c>
      <c r="H198" s="332" t="s">
        <v>113</v>
      </c>
      <c r="I198" s="332" t="s">
        <v>113</v>
      </c>
      <c r="J198" s="333"/>
    </row>
    <row r="199" spans="1:10" ht="21.75" customHeight="1">
      <c r="A199" s="335"/>
      <c r="B199" s="337" t="s">
        <v>19</v>
      </c>
      <c r="C199" s="335"/>
      <c r="D199" s="335"/>
      <c r="E199" s="336"/>
      <c r="F199" s="336"/>
      <c r="G199" s="337"/>
      <c r="H199" s="337"/>
      <c r="I199" s="375">
        <f>I188</f>
        <v>700785</v>
      </c>
      <c r="J199" s="338"/>
    </row>
    <row r="200" spans="1:10" ht="21.75" customHeight="1">
      <c r="A200" s="347"/>
      <c r="B200" s="353" t="s">
        <v>359</v>
      </c>
      <c r="C200" s="355">
        <v>1</v>
      </c>
      <c r="D200" s="341" t="s">
        <v>25</v>
      </c>
      <c r="E200" s="355">
        <v>11250</v>
      </c>
      <c r="F200" s="350">
        <f>ROUND(C200*E200,2)</f>
        <v>11250</v>
      </c>
      <c r="G200" s="349">
        <v>0</v>
      </c>
      <c r="H200" s="350">
        <f>ROUND(C200*G200,2)</f>
        <v>0</v>
      </c>
      <c r="I200" s="351">
        <f>H200+F200</f>
        <v>11250</v>
      </c>
      <c r="J200" s="347"/>
    </row>
    <row r="201" spans="1:10" ht="21.75" customHeight="1">
      <c r="A201" s="347"/>
      <c r="B201" s="353" t="s">
        <v>360</v>
      </c>
      <c r="C201" s="355">
        <v>5</v>
      </c>
      <c r="D201" s="341" t="s">
        <v>25</v>
      </c>
      <c r="E201" s="349">
        <v>2000</v>
      </c>
      <c r="F201" s="350">
        <f>ROUND(C201*E201,2)</f>
        <v>10000</v>
      </c>
      <c r="G201" s="349">
        <v>0</v>
      </c>
      <c r="H201" s="350">
        <f>ROUND(C201*G201,2)</f>
        <v>0</v>
      </c>
      <c r="I201" s="351">
        <f>H201+F201</f>
        <v>10000</v>
      </c>
      <c r="J201" s="347"/>
    </row>
    <row r="202" spans="1:10" ht="21.75" customHeight="1">
      <c r="A202" s="352"/>
      <c r="B202" s="353" t="s">
        <v>361</v>
      </c>
      <c r="C202" s="355">
        <v>12</v>
      </c>
      <c r="D202" s="341" t="s">
        <v>25</v>
      </c>
      <c r="E202" s="349">
        <v>2500</v>
      </c>
      <c r="F202" s="350">
        <f>ROUND(C202*E202,2)</f>
        <v>30000</v>
      </c>
      <c r="G202" s="349">
        <v>0</v>
      </c>
      <c r="H202" s="350">
        <f>ROUND(C202*G202,2)</f>
        <v>0</v>
      </c>
      <c r="I202" s="351">
        <f>H202+F202</f>
        <v>30000</v>
      </c>
      <c r="J202" s="353"/>
    </row>
    <row r="203" spans="1:10" ht="21.75" customHeight="1">
      <c r="A203" s="352"/>
      <c r="B203" s="357" t="s">
        <v>362</v>
      </c>
      <c r="C203" s="355"/>
      <c r="D203" s="341"/>
      <c r="E203" s="349"/>
      <c r="F203" s="350"/>
      <c r="G203" s="349"/>
      <c r="H203" s="350"/>
      <c r="I203" s="358">
        <f>SUM(I199:I202)</f>
        <v>752035</v>
      </c>
      <c r="J203" s="341"/>
    </row>
    <row r="204" spans="1:10" ht="21.75" customHeight="1">
      <c r="A204" s="352"/>
      <c r="B204" s="353"/>
      <c r="C204" s="355"/>
      <c r="D204" s="341"/>
      <c r="E204" s="349"/>
      <c r="F204" s="350"/>
      <c r="G204" s="349"/>
      <c r="H204" s="350"/>
      <c r="I204" s="351"/>
      <c r="J204" s="341"/>
    </row>
    <row r="205" spans="1:10" ht="21.75" customHeight="1">
      <c r="A205" s="352"/>
      <c r="B205" s="379" t="s">
        <v>363</v>
      </c>
      <c r="C205" s="341"/>
      <c r="D205" s="341"/>
      <c r="E205" s="349"/>
      <c r="F205" s="350"/>
      <c r="G205" s="349"/>
      <c r="H205" s="350"/>
      <c r="I205" s="351"/>
      <c r="J205" s="341"/>
    </row>
    <row r="206" spans="1:10" ht="21.75" customHeight="1">
      <c r="A206" s="352"/>
      <c r="B206" s="353" t="s">
        <v>364</v>
      </c>
      <c r="C206" s="355"/>
      <c r="D206" s="341"/>
      <c r="E206" s="349"/>
      <c r="F206" s="350"/>
      <c r="G206" s="349"/>
      <c r="H206" s="350"/>
      <c r="I206" s="351"/>
      <c r="J206" s="341"/>
    </row>
    <row r="207" spans="1:10" ht="21.75" customHeight="1">
      <c r="A207" s="352"/>
      <c r="B207" s="353" t="s">
        <v>365</v>
      </c>
      <c r="C207" s="355">
        <v>23</v>
      </c>
      <c r="D207" s="341" t="s">
        <v>21</v>
      </c>
      <c r="E207" s="349">
        <v>300</v>
      </c>
      <c r="F207" s="350">
        <f t="shared" ref="F207:F212" si="9">ROUND(C207*E207,2)</f>
        <v>6900</v>
      </c>
      <c r="G207" s="349">
        <v>145</v>
      </c>
      <c r="H207" s="350">
        <f t="shared" ref="H207:H212" si="10">ROUND(C207*G207,2)</f>
        <v>3335</v>
      </c>
      <c r="I207" s="351">
        <f t="shared" ref="I207:I212" si="11">H207+F207</f>
        <v>10235</v>
      </c>
      <c r="J207" s="341"/>
    </row>
    <row r="208" spans="1:10" ht="21.75" customHeight="1">
      <c r="A208" s="352"/>
      <c r="B208" s="353" t="s">
        <v>366</v>
      </c>
      <c r="C208" s="355">
        <v>37.4</v>
      </c>
      <c r="D208" s="356" t="s">
        <v>295</v>
      </c>
      <c r="E208" s="349">
        <v>100</v>
      </c>
      <c r="F208" s="350">
        <f t="shared" si="9"/>
        <v>3740</v>
      </c>
      <c r="G208" s="349">
        <v>38</v>
      </c>
      <c r="H208" s="350">
        <f t="shared" si="10"/>
        <v>1421.2</v>
      </c>
      <c r="I208" s="351">
        <f t="shared" si="11"/>
        <v>5161.2</v>
      </c>
      <c r="J208" s="341"/>
    </row>
    <row r="209" spans="1:10" ht="21.75" customHeight="1">
      <c r="A209" s="352"/>
      <c r="B209" s="388" t="s">
        <v>367</v>
      </c>
      <c r="C209" s="355">
        <v>10</v>
      </c>
      <c r="D209" s="341" t="s">
        <v>295</v>
      </c>
      <c r="E209" s="349">
        <v>1200</v>
      </c>
      <c r="F209" s="350">
        <f t="shared" si="9"/>
        <v>12000</v>
      </c>
      <c r="G209" s="349">
        <v>0</v>
      </c>
      <c r="H209" s="350">
        <f t="shared" si="10"/>
        <v>0</v>
      </c>
      <c r="I209" s="351">
        <f t="shared" si="11"/>
        <v>12000</v>
      </c>
      <c r="J209" s="341"/>
    </row>
    <row r="210" spans="1:10" ht="21.75" customHeight="1">
      <c r="A210" s="352"/>
      <c r="B210" s="353" t="s">
        <v>368</v>
      </c>
      <c r="C210" s="355"/>
      <c r="D210" s="356"/>
      <c r="E210" s="349"/>
      <c r="F210" s="350"/>
      <c r="G210" s="349"/>
      <c r="H210" s="350"/>
      <c r="I210" s="351"/>
      <c r="J210" s="353"/>
    </row>
    <row r="211" spans="1:10" ht="21.75" customHeight="1">
      <c r="A211" s="352"/>
      <c r="B211" s="353" t="s">
        <v>365</v>
      </c>
      <c r="C211" s="355">
        <v>13.5</v>
      </c>
      <c r="D211" s="356" t="s">
        <v>21</v>
      </c>
      <c r="E211" s="349">
        <v>300</v>
      </c>
      <c r="F211" s="350">
        <f t="shared" si="9"/>
        <v>4050</v>
      </c>
      <c r="G211" s="349">
        <v>145</v>
      </c>
      <c r="H211" s="350">
        <f t="shared" si="10"/>
        <v>1957.5</v>
      </c>
      <c r="I211" s="351">
        <f t="shared" si="11"/>
        <v>6007.5</v>
      </c>
      <c r="J211" s="353"/>
    </row>
    <row r="212" spans="1:10" ht="21.75" customHeight="1">
      <c r="A212" s="352"/>
      <c r="B212" s="353" t="s">
        <v>366</v>
      </c>
      <c r="C212" s="378">
        <v>32.65</v>
      </c>
      <c r="D212" s="356" t="s">
        <v>295</v>
      </c>
      <c r="E212" s="349">
        <v>0</v>
      </c>
      <c r="F212" s="350">
        <f t="shared" si="9"/>
        <v>0</v>
      </c>
      <c r="G212" s="349">
        <v>0</v>
      </c>
      <c r="H212" s="350">
        <f t="shared" si="10"/>
        <v>0</v>
      </c>
      <c r="I212" s="351">
        <f t="shared" si="11"/>
        <v>0</v>
      </c>
      <c r="J212" s="353"/>
    </row>
    <row r="213" spans="1:10" ht="21.75" customHeight="1">
      <c r="A213" s="352"/>
      <c r="B213" s="388"/>
      <c r="C213" s="355"/>
      <c r="D213" s="341"/>
      <c r="E213" s="349"/>
      <c r="F213" s="350"/>
      <c r="G213" s="349"/>
      <c r="H213" s="350"/>
      <c r="I213" s="351"/>
      <c r="J213" s="353"/>
    </row>
    <row r="214" spans="1:10" ht="21.75" customHeight="1">
      <c r="A214" s="352"/>
      <c r="B214" s="356" t="s">
        <v>18</v>
      </c>
      <c r="C214" s="360"/>
      <c r="D214" s="356"/>
      <c r="E214" s="361"/>
      <c r="F214" s="362"/>
      <c r="G214" s="363"/>
      <c r="H214" s="362"/>
      <c r="I214" s="363">
        <f>SUM(I206:I213)</f>
        <v>33403.699999999997</v>
      </c>
      <c r="J214" s="353"/>
    </row>
    <row r="215" spans="1:10" ht="21.75" customHeight="1">
      <c r="A215" s="368"/>
      <c r="B215" s="371"/>
      <c r="C215" s="370"/>
      <c r="D215" s="371"/>
      <c r="E215" s="372"/>
      <c r="F215" s="373"/>
      <c r="G215" s="374"/>
      <c r="H215" s="373"/>
      <c r="I215" s="374"/>
      <c r="J215" s="369"/>
    </row>
    <row r="216" spans="1:10" ht="21.75" customHeight="1">
      <c r="A216" s="801" t="s">
        <v>106</v>
      </c>
      <c r="B216" s="801"/>
      <c r="C216" s="801"/>
      <c r="D216" s="801"/>
      <c r="E216" s="801"/>
      <c r="F216" s="801"/>
      <c r="G216" s="801"/>
      <c r="H216" s="801"/>
      <c r="I216" s="801"/>
      <c r="J216" s="801"/>
    </row>
    <row r="217" spans="1:10" ht="21.75" customHeight="1">
      <c r="A217" s="316" t="s">
        <v>258</v>
      </c>
      <c r="J217" s="317" t="s">
        <v>369</v>
      </c>
    </row>
    <row r="218" spans="1:10" ht="21.75" customHeight="1">
      <c r="A218" s="316" t="s">
        <v>259</v>
      </c>
    </row>
    <row r="219" spans="1:10" ht="21.75" customHeight="1">
      <c r="A219" s="316" t="s">
        <v>260</v>
      </c>
      <c r="F219" s="318" t="s">
        <v>108</v>
      </c>
      <c r="G219" s="318" t="s">
        <v>261</v>
      </c>
      <c r="H219" s="319"/>
    </row>
    <row r="220" spans="1:10" ht="21.75" customHeight="1">
      <c r="A220" s="316" t="s">
        <v>262</v>
      </c>
    </row>
    <row r="221" spans="1:10" ht="21.75" customHeight="1">
      <c r="A221" s="316" t="s">
        <v>263</v>
      </c>
      <c r="F221" s="316" t="s">
        <v>264</v>
      </c>
      <c r="J221" s="323" t="s">
        <v>109</v>
      </c>
    </row>
    <row r="222" spans="1:10" ht="21.75" customHeight="1">
      <c r="A222" s="324" t="s">
        <v>6</v>
      </c>
      <c r="B222" s="325" t="s">
        <v>0</v>
      </c>
      <c r="C222" s="325" t="s">
        <v>1</v>
      </c>
      <c r="D222" s="325" t="s">
        <v>2</v>
      </c>
      <c r="E222" s="798" t="s">
        <v>265</v>
      </c>
      <c r="F222" s="798"/>
      <c r="G222" s="798" t="s">
        <v>3</v>
      </c>
      <c r="H222" s="798"/>
      <c r="I222" s="326" t="s">
        <v>266</v>
      </c>
      <c r="J222" s="799" t="s">
        <v>4</v>
      </c>
    </row>
    <row r="223" spans="1:10" ht="21.75" customHeight="1">
      <c r="A223" s="327"/>
      <c r="B223" s="327"/>
      <c r="C223" s="327"/>
      <c r="D223" s="327"/>
      <c r="E223" s="328" t="s">
        <v>267</v>
      </c>
      <c r="F223" s="328" t="s">
        <v>9</v>
      </c>
      <c r="G223" s="328" t="s">
        <v>267</v>
      </c>
      <c r="H223" s="329" t="s">
        <v>9</v>
      </c>
      <c r="I223" s="329" t="s">
        <v>268</v>
      </c>
      <c r="J223" s="800"/>
    </row>
    <row r="224" spans="1:10" ht="21.75" customHeight="1">
      <c r="A224" s="330"/>
      <c r="B224" s="330"/>
      <c r="C224" s="330"/>
      <c r="D224" s="330"/>
      <c r="E224" s="331" t="s">
        <v>113</v>
      </c>
      <c r="F224" s="331" t="s">
        <v>113</v>
      </c>
      <c r="G224" s="332" t="s">
        <v>113</v>
      </c>
      <c r="H224" s="332" t="s">
        <v>113</v>
      </c>
      <c r="I224" s="332" t="s">
        <v>113</v>
      </c>
      <c r="J224" s="333"/>
    </row>
    <row r="225" spans="1:10" ht="21.75" customHeight="1">
      <c r="A225" s="335"/>
      <c r="B225" s="337" t="s">
        <v>19</v>
      </c>
      <c r="C225" s="335"/>
      <c r="D225" s="335"/>
      <c r="E225" s="336"/>
      <c r="F225" s="336"/>
      <c r="G225" s="337"/>
      <c r="H225" s="337"/>
      <c r="I225" s="375">
        <f>I214</f>
        <v>33403.699999999997</v>
      </c>
      <c r="J225" s="338"/>
    </row>
    <row r="226" spans="1:10" ht="21.75" customHeight="1">
      <c r="A226" s="335"/>
      <c r="B226" s="365" t="s">
        <v>370</v>
      </c>
      <c r="C226" s="335"/>
      <c r="D226" s="335"/>
      <c r="E226" s="336"/>
      <c r="F226" s="336"/>
      <c r="G226" s="337"/>
      <c r="H226" s="337"/>
      <c r="I226" s="375"/>
      <c r="J226" s="338"/>
    </row>
    <row r="227" spans="1:10" ht="21.75" customHeight="1">
      <c r="A227" s="335"/>
      <c r="B227" s="365" t="s">
        <v>371</v>
      </c>
      <c r="C227" s="366">
        <v>3.5</v>
      </c>
      <c r="D227" s="337" t="s">
        <v>21</v>
      </c>
      <c r="E227" s="349">
        <v>300</v>
      </c>
      <c r="F227" s="350">
        <f>ROUND(C227*E227,2)</f>
        <v>1050</v>
      </c>
      <c r="G227" s="349">
        <v>145</v>
      </c>
      <c r="H227" s="350">
        <f>ROUND(C227*G227,2)</f>
        <v>507.5</v>
      </c>
      <c r="I227" s="351">
        <f>H227+F227</f>
        <v>1557.5</v>
      </c>
      <c r="J227" s="347"/>
    </row>
    <row r="228" spans="1:10" ht="21.75" customHeight="1">
      <c r="A228" s="335"/>
      <c r="B228" s="365" t="s">
        <v>372</v>
      </c>
      <c r="C228" s="366">
        <v>6.2</v>
      </c>
      <c r="D228" s="337" t="s">
        <v>295</v>
      </c>
      <c r="E228" s="349">
        <v>100</v>
      </c>
      <c r="F228" s="350">
        <f>ROUND(C228*E228,2)</f>
        <v>620</v>
      </c>
      <c r="G228" s="349">
        <v>38</v>
      </c>
      <c r="H228" s="350">
        <f>ROUND(C228*G228,2)</f>
        <v>235.6</v>
      </c>
      <c r="I228" s="351">
        <f>H228+F228</f>
        <v>855.6</v>
      </c>
      <c r="J228" s="353"/>
    </row>
    <row r="229" spans="1:10" ht="21.75" customHeight="1">
      <c r="A229" s="347"/>
      <c r="B229" s="340" t="s">
        <v>373</v>
      </c>
      <c r="C229" s="341"/>
      <c r="D229" s="341"/>
      <c r="E229" s="342"/>
      <c r="F229" s="343"/>
      <c r="G229" s="344"/>
      <c r="H229" s="345"/>
      <c r="I229" s="346"/>
      <c r="J229" s="347"/>
    </row>
    <row r="230" spans="1:10" ht="21.75" customHeight="1">
      <c r="A230" s="347"/>
      <c r="B230" s="348" t="s">
        <v>374</v>
      </c>
      <c r="C230" s="355">
        <v>14.2</v>
      </c>
      <c r="D230" s="341" t="s">
        <v>21</v>
      </c>
      <c r="E230" s="349">
        <v>355</v>
      </c>
      <c r="F230" s="350">
        <f>ROUND(C230*E230,2)</f>
        <v>5041</v>
      </c>
      <c r="G230" s="349">
        <v>99</v>
      </c>
      <c r="H230" s="350">
        <f>ROUND(C230*G230,2)</f>
        <v>1405.8</v>
      </c>
      <c r="I230" s="351">
        <f>H230+F230</f>
        <v>6446.8</v>
      </c>
      <c r="J230" s="347"/>
    </row>
    <row r="231" spans="1:10" ht="21.75" customHeight="1">
      <c r="A231" s="352"/>
      <c r="B231" s="353" t="s">
        <v>375</v>
      </c>
      <c r="C231" s="355">
        <v>8.8000000000000007</v>
      </c>
      <c r="D231" s="341" t="s">
        <v>295</v>
      </c>
      <c r="E231" s="349">
        <v>80</v>
      </c>
      <c r="F231" s="350">
        <f t="shared" ref="F231:F241" si="12">ROUND(C231*E231,2)</f>
        <v>704</v>
      </c>
      <c r="G231" s="349">
        <v>35</v>
      </c>
      <c r="H231" s="350">
        <f t="shared" ref="H231:H241" si="13">ROUND(C231*G231,2)</f>
        <v>308</v>
      </c>
      <c r="I231" s="351">
        <f t="shared" ref="I231:I241" si="14">H231+F231</f>
        <v>1012</v>
      </c>
      <c r="J231" s="353"/>
    </row>
    <row r="232" spans="1:10" ht="21.75" customHeight="1">
      <c r="A232" s="352"/>
      <c r="B232" s="353" t="s">
        <v>376</v>
      </c>
      <c r="C232" s="355">
        <v>0.5</v>
      </c>
      <c r="D232" s="352" t="s">
        <v>25</v>
      </c>
      <c r="E232" s="349">
        <v>200</v>
      </c>
      <c r="F232" s="350">
        <f t="shared" si="12"/>
        <v>100</v>
      </c>
      <c r="G232" s="349">
        <v>35</v>
      </c>
      <c r="H232" s="350">
        <f t="shared" si="13"/>
        <v>17.5</v>
      </c>
      <c r="I232" s="351">
        <f t="shared" si="14"/>
        <v>117.5</v>
      </c>
      <c r="J232" s="353"/>
    </row>
    <row r="233" spans="1:10" ht="21.75" customHeight="1">
      <c r="A233" s="352"/>
      <c r="B233" s="353" t="s">
        <v>367</v>
      </c>
      <c r="C233" s="355">
        <v>8</v>
      </c>
      <c r="D233" s="341" t="s">
        <v>295</v>
      </c>
      <c r="E233" s="349">
        <v>1200</v>
      </c>
      <c r="F233" s="350">
        <f t="shared" si="12"/>
        <v>9600</v>
      </c>
      <c r="G233" s="349">
        <v>0</v>
      </c>
      <c r="H233" s="350">
        <f t="shared" si="13"/>
        <v>0</v>
      </c>
      <c r="I233" s="351">
        <f t="shared" si="14"/>
        <v>9600</v>
      </c>
      <c r="J233" s="341"/>
    </row>
    <row r="234" spans="1:10" ht="21.75" customHeight="1">
      <c r="A234" s="352"/>
      <c r="B234" s="357" t="s">
        <v>377</v>
      </c>
      <c r="C234" s="378"/>
      <c r="D234" s="341"/>
      <c r="E234" s="349"/>
      <c r="F234" s="350"/>
      <c r="G234" s="349"/>
      <c r="H234" s="350"/>
      <c r="I234" s="358">
        <f>SUM(I225:I233)</f>
        <v>52993.1</v>
      </c>
      <c r="J234" s="341"/>
    </row>
    <row r="235" spans="1:10" ht="21.75" customHeight="1">
      <c r="A235" s="352"/>
      <c r="B235" s="353"/>
      <c r="C235" s="355"/>
      <c r="D235" s="341"/>
      <c r="E235" s="349"/>
      <c r="F235" s="350"/>
      <c r="G235" s="349"/>
      <c r="H235" s="350"/>
      <c r="I235" s="351"/>
      <c r="J235" s="341"/>
    </row>
    <row r="236" spans="1:10" ht="21.75" customHeight="1">
      <c r="A236" s="352"/>
      <c r="B236" s="379" t="s">
        <v>378</v>
      </c>
      <c r="C236" s="355"/>
      <c r="D236" s="341"/>
      <c r="E236" s="349"/>
      <c r="F236" s="350"/>
      <c r="G236" s="349"/>
      <c r="H236" s="350"/>
      <c r="I236" s="351"/>
      <c r="J236" s="341"/>
    </row>
    <row r="237" spans="1:10" ht="21.75" customHeight="1">
      <c r="A237" s="352"/>
      <c r="B237" s="353" t="s">
        <v>379</v>
      </c>
      <c r="C237" s="355">
        <v>13</v>
      </c>
      <c r="D237" s="356" t="s">
        <v>25</v>
      </c>
      <c r="E237" s="349">
        <v>2500</v>
      </c>
      <c r="F237" s="350">
        <f t="shared" si="12"/>
        <v>32500</v>
      </c>
      <c r="G237" s="349">
        <v>298</v>
      </c>
      <c r="H237" s="350">
        <f t="shared" si="13"/>
        <v>3874</v>
      </c>
      <c r="I237" s="351">
        <f t="shared" si="14"/>
        <v>36374</v>
      </c>
      <c r="J237" s="341"/>
    </row>
    <row r="238" spans="1:10" ht="21.75" customHeight="1">
      <c r="A238" s="352"/>
      <c r="B238" s="353" t="s">
        <v>380</v>
      </c>
      <c r="C238" s="355">
        <v>10</v>
      </c>
      <c r="D238" s="356" t="s">
        <v>25</v>
      </c>
      <c r="E238" s="349">
        <v>1500</v>
      </c>
      <c r="F238" s="350">
        <f t="shared" si="12"/>
        <v>15000</v>
      </c>
      <c r="G238" s="349">
        <v>298</v>
      </c>
      <c r="H238" s="350">
        <f t="shared" si="13"/>
        <v>2980</v>
      </c>
      <c r="I238" s="351">
        <f t="shared" si="14"/>
        <v>17980</v>
      </c>
      <c r="J238" s="353"/>
    </row>
    <row r="239" spans="1:10" ht="21.75" customHeight="1">
      <c r="A239" s="352"/>
      <c r="B239" s="353" t="s">
        <v>381</v>
      </c>
      <c r="C239" s="355">
        <v>10</v>
      </c>
      <c r="D239" s="356" t="s">
        <v>25</v>
      </c>
      <c r="E239" s="349">
        <v>1500</v>
      </c>
      <c r="F239" s="350">
        <f t="shared" si="12"/>
        <v>15000</v>
      </c>
      <c r="G239" s="349">
        <v>298</v>
      </c>
      <c r="H239" s="350">
        <f t="shared" si="13"/>
        <v>2980</v>
      </c>
      <c r="I239" s="351">
        <f t="shared" si="14"/>
        <v>17980</v>
      </c>
      <c r="J239" s="353"/>
    </row>
    <row r="240" spans="1:10" ht="21.75" customHeight="1">
      <c r="A240" s="352"/>
      <c r="B240" s="353" t="s">
        <v>382</v>
      </c>
      <c r="C240" s="355">
        <v>0</v>
      </c>
      <c r="D240" s="356" t="s">
        <v>25</v>
      </c>
      <c r="E240" s="349">
        <v>850</v>
      </c>
      <c r="F240" s="350">
        <f t="shared" si="12"/>
        <v>0</v>
      </c>
      <c r="G240" s="349">
        <v>298</v>
      </c>
      <c r="H240" s="350">
        <f t="shared" si="13"/>
        <v>0</v>
      </c>
      <c r="I240" s="351">
        <f t="shared" si="14"/>
        <v>0</v>
      </c>
      <c r="J240" s="353"/>
    </row>
    <row r="241" spans="1:10" ht="21.75" customHeight="1">
      <c r="A241" s="352"/>
      <c r="B241" s="353" t="s">
        <v>383</v>
      </c>
      <c r="C241" s="355">
        <v>3</v>
      </c>
      <c r="D241" s="356" t="s">
        <v>25</v>
      </c>
      <c r="E241" s="349">
        <v>450</v>
      </c>
      <c r="F241" s="350">
        <f t="shared" si="12"/>
        <v>1350</v>
      </c>
      <c r="G241" s="349">
        <v>103</v>
      </c>
      <c r="H241" s="350">
        <f t="shared" si="13"/>
        <v>309</v>
      </c>
      <c r="I241" s="351">
        <f t="shared" si="14"/>
        <v>1659</v>
      </c>
      <c r="J241" s="353"/>
    </row>
    <row r="242" spans="1:10" ht="21.75" customHeight="1">
      <c r="A242" s="352"/>
      <c r="B242" s="356" t="s">
        <v>18</v>
      </c>
      <c r="C242" s="360"/>
      <c r="D242" s="356"/>
      <c r="E242" s="361"/>
      <c r="F242" s="362"/>
      <c r="G242" s="363"/>
      <c r="H242" s="362"/>
      <c r="I242" s="363">
        <f>SUM(I237:I241)</f>
        <v>73993</v>
      </c>
      <c r="J242" s="353"/>
    </row>
    <row r="243" spans="1:10" ht="21.75" customHeight="1">
      <c r="A243" s="801" t="s">
        <v>106</v>
      </c>
      <c r="B243" s="801"/>
      <c r="C243" s="801"/>
      <c r="D243" s="801"/>
      <c r="E243" s="801"/>
      <c r="F243" s="801"/>
      <c r="G243" s="801"/>
      <c r="H243" s="801"/>
      <c r="I243" s="801"/>
      <c r="J243" s="801"/>
    </row>
    <row r="244" spans="1:10" ht="21.75" customHeight="1">
      <c r="A244" s="316" t="s">
        <v>258</v>
      </c>
      <c r="J244" s="317" t="s">
        <v>384</v>
      </c>
    </row>
    <row r="245" spans="1:10" ht="21.75" customHeight="1">
      <c r="A245" s="316" t="s">
        <v>259</v>
      </c>
    </row>
    <row r="246" spans="1:10" ht="21.75" customHeight="1">
      <c r="A246" s="316" t="s">
        <v>260</v>
      </c>
      <c r="F246" s="318" t="s">
        <v>108</v>
      </c>
      <c r="G246" s="318" t="s">
        <v>261</v>
      </c>
      <c r="H246" s="319"/>
    </row>
    <row r="247" spans="1:10" ht="21.75" customHeight="1">
      <c r="A247" s="316" t="s">
        <v>262</v>
      </c>
    </row>
    <row r="248" spans="1:10" ht="21.75" customHeight="1">
      <c r="A248" s="316" t="s">
        <v>263</v>
      </c>
      <c r="F248" s="316" t="s">
        <v>264</v>
      </c>
    </row>
    <row r="249" spans="1:10" ht="21.75" customHeight="1">
      <c r="A249" s="316"/>
      <c r="F249" s="320"/>
      <c r="G249" s="321"/>
      <c r="H249" s="322"/>
      <c r="I249" s="323"/>
      <c r="J249" s="323" t="s">
        <v>109</v>
      </c>
    </row>
    <row r="250" spans="1:10" ht="21.75" customHeight="1">
      <c r="A250" s="324" t="s">
        <v>6</v>
      </c>
      <c r="B250" s="325" t="s">
        <v>0</v>
      </c>
      <c r="C250" s="325" t="s">
        <v>1</v>
      </c>
      <c r="D250" s="325" t="s">
        <v>2</v>
      </c>
      <c r="E250" s="798" t="s">
        <v>265</v>
      </c>
      <c r="F250" s="798"/>
      <c r="G250" s="798" t="s">
        <v>3</v>
      </c>
      <c r="H250" s="798"/>
      <c r="I250" s="326" t="s">
        <v>266</v>
      </c>
      <c r="J250" s="799" t="s">
        <v>4</v>
      </c>
    </row>
    <row r="251" spans="1:10" ht="21.75" customHeight="1">
      <c r="A251" s="327"/>
      <c r="B251" s="327"/>
      <c r="C251" s="327"/>
      <c r="D251" s="327"/>
      <c r="E251" s="328" t="s">
        <v>267</v>
      </c>
      <c r="F251" s="328" t="s">
        <v>9</v>
      </c>
      <c r="G251" s="328" t="s">
        <v>267</v>
      </c>
      <c r="H251" s="329" t="s">
        <v>9</v>
      </c>
      <c r="I251" s="329" t="s">
        <v>268</v>
      </c>
      <c r="J251" s="800"/>
    </row>
    <row r="252" spans="1:10" ht="21.75" customHeight="1">
      <c r="A252" s="330"/>
      <c r="B252" s="330"/>
      <c r="C252" s="330"/>
      <c r="D252" s="330"/>
      <c r="E252" s="331" t="s">
        <v>113</v>
      </c>
      <c r="F252" s="331" t="s">
        <v>113</v>
      </c>
      <c r="G252" s="332" t="s">
        <v>113</v>
      </c>
      <c r="H252" s="332" t="s">
        <v>113</v>
      </c>
      <c r="I252" s="332" t="s">
        <v>113</v>
      </c>
      <c r="J252" s="333"/>
    </row>
    <row r="253" spans="1:10" ht="21.75" customHeight="1">
      <c r="A253" s="335"/>
      <c r="B253" s="337" t="s">
        <v>19</v>
      </c>
      <c r="C253" s="335"/>
      <c r="D253" s="335"/>
      <c r="E253" s="336"/>
      <c r="F253" s="336"/>
      <c r="G253" s="337"/>
      <c r="H253" s="337"/>
      <c r="I253" s="375">
        <f>I242</f>
        <v>73993</v>
      </c>
      <c r="J253" s="338"/>
    </row>
    <row r="254" spans="1:10" ht="21.75" customHeight="1">
      <c r="A254" s="347"/>
      <c r="B254" s="340" t="s">
        <v>385</v>
      </c>
      <c r="C254" s="341"/>
      <c r="D254" s="341"/>
      <c r="E254" s="342"/>
      <c r="F254" s="343"/>
      <c r="G254" s="344"/>
      <c r="H254" s="345"/>
      <c r="I254" s="346"/>
      <c r="J254" s="347"/>
    </row>
    <row r="255" spans="1:10" ht="21.75" customHeight="1">
      <c r="A255" s="347"/>
      <c r="B255" s="389" t="s">
        <v>386</v>
      </c>
      <c r="C255" s="355">
        <v>4</v>
      </c>
      <c r="D255" s="341" t="s">
        <v>25</v>
      </c>
      <c r="E255" s="349">
        <v>1300</v>
      </c>
      <c r="F255" s="350">
        <f>ROUND(C255*E255,2)</f>
        <v>5200</v>
      </c>
      <c r="G255" s="349">
        <v>70</v>
      </c>
      <c r="H255" s="350">
        <f>ROUND(C255*G255,2)</f>
        <v>280</v>
      </c>
      <c r="I255" s="351">
        <f>H255+F255</f>
        <v>5480</v>
      </c>
      <c r="J255" s="347"/>
    </row>
    <row r="256" spans="1:10" ht="21.75" customHeight="1">
      <c r="A256" s="352"/>
      <c r="B256" s="389" t="s">
        <v>387</v>
      </c>
      <c r="C256" s="355">
        <v>2</v>
      </c>
      <c r="D256" s="341" t="s">
        <v>25</v>
      </c>
      <c r="E256" s="349">
        <v>520</v>
      </c>
      <c r="F256" s="350">
        <f t="shared" ref="F256:F266" si="15">ROUND(C256*E256,2)</f>
        <v>1040</v>
      </c>
      <c r="G256" s="349">
        <v>70</v>
      </c>
      <c r="H256" s="350">
        <f t="shared" ref="H256:H266" si="16">ROUND(C256*G256,2)</f>
        <v>140</v>
      </c>
      <c r="I256" s="351">
        <f t="shared" ref="I256:I266" si="17">H256+F256</f>
        <v>1180</v>
      </c>
      <c r="J256" s="353"/>
    </row>
    <row r="257" spans="1:10" ht="21.75" customHeight="1">
      <c r="A257" s="352"/>
      <c r="B257" s="390" t="s">
        <v>388</v>
      </c>
      <c r="C257" s="355">
        <v>0</v>
      </c>
      <c r="D257" s="341" t="s">
        <v>25</v>
      </c>
      <c r="E257" s="349">
        <v>0</v>
      </c>
      <c r="F257" s="350">
        <f t="shared" si="15"/>
        <v>0</v>
      </c>
      <c r="G257" s="349">
        <v>0</v>
      </c>
      <c r="H257" s="350">
        <f t="shared" si="16"/>
        <v>0</v>
      </c>
      <c r="I257" s="351">
        <f t="shared" si="17"/>
        <v>0</v>
      </c>
      <c r="J257" s="353"/>
    </row>
    <row r="258" spans="1:10" ht="21.75" customHeight="1">
      <c r="A258" s="352"/>
      <c r="B258" s="353" t="s">
        <v>389</v>
      </c>
      <c r="C258" s="378">
        <v>0</v>
      </c>
      <c r="D258" s="341" t="s">
        <v>25</v>
      </c>
      <c r="E258" s="349">
        <v>0</v>
      </c>
      <c r="F258" s="350">
        <f t="shared" si="15"/>
        <v>0</v>
      </c>
      <c r="G258" s="349">
        <v>0</v>
      </c>
      <c r="H258" s="350">
        <f t="shared" si="16"/>
        <v>0</v>
      </c>
      <c r="I258" s="351">
        <f t="shared" si="17"/>
        <v>0</v>
      </c>
      <c r="J258" s="353"/>
    </row>
    <row r="259" spans="1:10" ht="21.75" customHeight="1">
      <c r="A259" s="352"/>
      <c r="B259" s="353" t="s">
        <v>390</v>
      </c>
      <c r="C259" s="355">
        <v>5</v>
      </c>
      <c r="D259" s="341" t="s">
        <v>25</v>
      </c>
      <c r="E259" s="349">
        <v>450</v>
      </c>
      <c r="F259" s="350">
        <f t="shared" si="15"/>
        <v>2250</v>
      </c>
      <c r="G259" s="349">
        <v>70</v>
      </c>
      <c r="H259" s="350">
        <f t="shared" si="16"/>
        <v>350</v>
      </c>
      <c r="I259" s="351">
        <f t="shared" si="17"/>
        <v>2600</v>
      </c>
      <c r="J259" s="341"/>
    </row>
    <row r="260" spans="1:10" ht="21.75" customHeight="1">
      <c r="A260" s="352"/>
      <c r="B260" s="353" t="s">
        <v>391</v>
      </c>
      <c r="C260" s="355">
        <v>0</v>
      </c>
      <c r="D260" s="341" t="s">
        <v>25</v>
      </c>
      <c r="E260" s="349">
        <v>0</v>
      </c>
      <c r="F260" s="350">
        <f t="shared" si="15"/>
        <v>0</v>
      </c>
      <c r="G260" s="349">
        <v>0</v>
      </c>
      <c r="H260" s="350">
        <f t="shared" si="16"/>
        <v>0</v>
      </c>
      <c r="I260" s="351">
        <f t="shared" si="17"/>
        <v>0</v>
      </c>
      <c r="J260" s="341"/>
    </row>
    <row r="261" spans="1:10" ht="21.75" customHeight="1">
      <c r="A261" s="352"/>
      <c r="B261" s="353" t="s">
        <v>392</v>
      </c>
      <c r="C261" s="378">
        <v>0</v>
      </c>
      <c r="D261" s="341" t="s">
        <v>25</v>
      </c>
      <c r="E261" s="349">
        <v>0</v>
      </c>
      <c r="F261" s="350">
        <f t="shared" si="15"/>
        <v>0</v>
      </c>
      <c r="G261" s="349">
        <v>0</v>
      </c>
      <c r="H261" s="350">
        <f t="shared" si="16"/>
        <v>0</v>
      </c>
      <c r="I261" s="351">
        <f t="shared" si="17"/>
        <v>0</v>
      </c>
      <c r="J261" s="341"/>
    </row>
    <row r="262" spans="1:10" ht="21.75" customHeight="1">
      <c r="A262" s="352"/>
      <c r="B262" s="353" t="s">
        <v>393</v>
      </c>
      <c r="C262" s="355">
        <v>0</v>
      </c>
      <c r="D262" s="341" t="s">
        <v>25</v>
      </c>
      <c r="E262" s="349">
        <v>0</v>
      </c>
      <c r="F262" s="350">
        <f t="shared" si="15"/>
        <v>0</v>
      </c>
      <c r="G262" s="349">
        <v>0</v>
      </c>
      <c r="H262" s="350">
        <f t="shared" si="16"/>
        <v>0</v>
      </c>
      <c r="I262" s="351">
        <f t="shared" si="17"/>
        <v>0</v>
      </c>
      <c r="J262" s="341"/>
    </row>
    <row r="263" spans="1:10" ht="21.75" customHeight="1">
      <c r="A263" s="352"/>
      <c r="B263" s="353" t="s">
        <v>394</v>
      </c>
      <c r="C263" s="355">
        <v>0</v>
      </c>
      <c r="D263" s="341" t="s">
        <v>25</v>
      </c>
      <c r="E263" s="349">
        <v>0</v>
      </c>
      <c r="F263" s="350">
        <f t="shared" si="15"/>
        <v>0</v>
      </c>
      <c r="G263" s="349">
        <v>0</v>
      </c>
      <c r="H263" s="350">
        <f t="shared" si="16"/>
        <v>0</v>
      </c>
      <c r="I263" s="351">
        <f t="shared" si="17"/>
        <v>0</v>
      </c>
      <c r="J263" s="341"/>
    </row>
    <row r="264" spans="1:10" ht="21.75" customHeight="1">
      <c r="A264" s="352"/>
      <c r="B264" s="353" t="s">
        <v>395</v>
      </c>
      <c r="C264" s="355">
        <v>6</v>
      </c>
      <c r="D264" s="341" t="s">
        <v>25</v>
      </c>
      <c r="E264" s="349">
        <v>532</v>
      </c>
      <c r="F264" s="350">
        <f t="shared" si="15"/>
        <v>3192</v>
      </c>
      <c r="G264" s="349">
        <v>25</v>
      </c>
      <c r="H264" s="350">
        <f t="shared" si="16"/>
        <v>150</v>
      </c>
      <c r="I264" s="351">
        <f t="shared" si="17"/>
        <v>3342</v>
      </c>
      <c r="J264" s="341"/>
    </row>
    <row r="265" spans="1:10" ht="21.75" customHeight="1">
      <c r="A265" s="352"/>
      <c r="B265" s="353" t="s">
        <v>396</v>
      </c>
      <c r="C265" s="355">
        <v>13</v>
      </c>
      <c r="D265" s="341" t="s">
        <v>25</v>
      </c>
      <c r="E265" s="349">
        <v>400</v>
      </c>
      <c r="F265" s="350">
        <f t="shared" si="15"/>
        <v>5200</v>
      </c>
      <c r="G265" s="349">
        <v>35</v>
      </c>
      <c r="H265" s="350">
        <f t="shared" si="16"/>
        <v>455</v>
      </c>
      <c r="I265" s="351">
        <f t="shared" si="17"/>
        <v>5655</v>
      </c>
      <c r="J265" s="353"/>
    </row>
    <row r="266" spans="1:10" ht="21.75" customHeight="1">
      <c r="A266" s="352"/>
      <c r="B266" s="353" t="s">
        <v>397</v>
      </c>
      <c r="C266" s="355">
        <v>14</v>
      </c>
      <c r="D266" s="341" t="s">
        <v>25</v>
      </c>
      <c r="E266" s="349">
        <v>350</v>
      </c>
      <c r="F266" s="350">
        <f t="shared" si="15"/>
        <v>4900</v>
      </c>
      <c r="G266" s="349">
        <v>70</v>
      </c>
      <c r="H266" s="350">
        <f t="shared" si="16"/>
        <v>980</v>
      </c>
      <c r="I266" s="351">
        <f t="shared" si="17"/>
        <v>5880</v>
      </c>
      <c r="J266" s="353"/>
    </row>
    <row r="267" spans="1:10" ht="21.75" customHeight="1">
      <c r="A267" s="352"/>
      <c r="B267" s="353"/>
      <c r="C267" s="341"/>
      <c r="D267" s="356"/>
      <c r="E267" s="349"/>
      <c r="F267" s="349"/>
      <c r="G267" s="349"/>
      <c r="H267" s="349"/>
      <c r="I267" s="351"/>
      <c r="J267" s="353"/>
    </row>
    <row r="268" spans="1:10" ht="21.75" customHeight="1">
      <c r="A268" s="352"/>
      <c r="B268" s="391" t="s">
        <v>18</v>
      </c>
      <c r="C268" s="355"/>
      <c r="D268" s="341"/>
      <c r="E268" s="349"/>
      <c r="F268" s="349"/>
      <c r="G268" s="349"/>
      <c r="H268" s="349"/>
      <c r="I268" s="367">
        <f>SUM(I253:I267)</f>
        <v>98130</v>
      </c>
      <c r="J268" s="353"/>
    </row>
    <row r="269" spans="1:10" ht="21.75" customHeight="1">
      <c r="A269" s="368"/>
      <c r="B269" s="369"/>
      <c r="C269" s="370"/>
      <c r="D269" s="371"/>
      <c r="E269" s="372"/>
      <c r="F269" s="373"/>
      <c r="G269" s="374"/>
      <c r="H269" s="373"/>
      <c r="I269" s="374"/>
      <c r="J269" s="369"/>
    </row>
    <row r="270" spans="1:10" ht="21.75" customHeight="1">
      <c r="A270" s="801" t="s">
        <v>106</v>
      </c>
      <c r="B270" s="801"/>
      <c r="C270" s="801"/>
      <c r="D270" s="801"/>
      <c r="E270" s="801"/>
      <c r="F270" s="801"/>
      <c r="G270" s="801"/>
      <c r="H270" s="801"/>
      <c r="I270" s="801"/>
      <c r="J270" s="801"/>
    </row>
    <row r="271" spans="1:10" ht="21.75" customHeight="1">
      <c r="A271" s="316" t="s">
        <v>258</v>
      </c>
      <c r="J271" s="317" t="s">
        <v>398</v>
      </c>
    </row>
    <row r="272" spans="1:10" ht="21.75" customHeight="1">
      <c r="A272" s="316" t="s">
        <v>259</v>
      </c>
    </row>
    <row r="273" spans="1:10" ht="21.75" customHeight="1">
      <c r="A273" s="316" t="s">
        <v>260</v>
      </c>
      <c r="F273" s="318" t="s">
        <v>108</v>
      </c>
      <c r="G273" s="318" t="s">
        <v>261</v>
      </c>
      <c r="H273" s="319"/>
    </row>
    <row r="274" spans="1:10" ht="21.75" customHeight="1">
      <c r="A274" s="316" t="s">
        <v>262</v>
      </c>
    </row>
    <row r="275" spans="1:10" ht="21.75" customHeight="1">
      <c r="A275" s="316" t="s">
        <v>263</v>
      </c>
      <c r="F275" s="316" t="s">
        <v>264</v>
      </c>
    </row>
    <row r="276" spans="1:10" ht="21.75" customHeight="1">
      <c r="A276" s="316"/>
      <c r="F276" s="320"/>
      <c r="G276" s="321"/>
      <c r="H276" s="322"/>
      <c r="I276" s="323"/>
      <c r="J276" s="323" t="s">
        <v>109</v>
      </c>
    </row>
    <row r="277" spans="1:10" ht="21.75" customHeight="1">
      <c r="A277" s="324" t="s">
        <v>6</v>
      </c>
      <c r="B277" s="325" t="s">
        <v>0</v>
      </c>
      <c r="C277" s="325" t="s">
        <v>1</v>
      </c>
      <c r="D277" s="325" t="s">
        <v>2</v>
      </c>
      <c r="E277" s="798" t="s">
        <v>265</v>
      </c>
      <c r="F277" s="798"/>
      <c r="G277" s="798" t="s">
        <v>3</v>
      </c>
      <c r="H277" s="798"/>
      <c r="I277" s="326" t="s">
        <v>266</v>
      </c>
      <c r="J277" s="799" t="s">
        <v>4</v>
      </c>
    </row>
    <row r="278" spans="1:10" ht="21.75" customHeight="1">
      <c r="A278" s="327"/>
      <c r="B278" s="327"/>
      <c r="C278" s="327"/>
      <c r="D278" s="327"/>
      <c r="E278" s="328" t="s">
        <v>267</v>
      </c>
      <c r="F278" s="328" t="s">
        <v>9</v>
      </c>
      <c r="G278" s="328" t="s">
        <v>267</v>
      </c>
      <c r="H278" s="329" t="s">
        <v>9</v>
      </c>
      <c r="I278" s="329" t="s">
        <v>268</v>
      </c>
      <c r="J278" s="800"/>
    </row>
    <row r="279" spans="1:10" ht="21.75" customHeight="1">
      <c r="A279" s="330"/>
      <c r="B279" s="330"/>
      <c r="C279" s="330"/>
      <c r="D279" s="330"/>
      <c r="E279" s="331" t="s">
        <v>113</v>
      </c>
      <c r="F279" s="331" t="s">
        <v>113</v>
      </c>
      <c r="G279" s="332" t="s">
        <v>113</v>
      </c>
      <c r="H279" s="332" t="s">
        <v>113</v>
      </c>
      <c r="I279" s="332" t="s">
        <v>113</v>
      </c>
      <c r="J279" s="333"/>
    </row>
    <row r="280" spans="1:10" ht="21.75" customHeight="1">
      <c r="A280" s="335"/>
      <c r="B280" s="337" t="s">
        <v>19</v>
      </c>
      <c r="C280" s="335"/>
      <c r="D280" s="335"/>
      <c r="E280" s="336"/>
      <c r="F280" s="336"/>
      <c r="G280" s="337"/>
      <c r="H280" s="337"/>
      <c r="I280" s="392">
        <f>I268</f>
        <v>98130</v>
      </c>
      <c r="J280" s="338"/>
    </row>
    <row r="281" spans="1:10" ht="21.75" customHeight="1">
      <c r="A281" s="347"/>
      <c r="B281" s="340" t="s">
        <v>399</v>
      </c>
      <c r="C281" s="355">
        <v>36</v>
      </c>
      <c r="D281" s="341" t="s">
        <v>25</v>
      </c>
      <c r="E281" s="355">
        <v>220</v>
      </c>
      <c r="F281" s="350">
        <f>ROUND(C281*E281,2)</f>
        <v>7920</v>
      </c>
      <c r="G281" s="355">
        <v>35</v>
      </c>
      <c r="H281" s="350">
        <f>ROUND(C281*G281,2)</f>
        <v>1260</v>
      </c>
      <c r="I281" s="351">
        <f>H281+F281</f>
        <v>9180</v>
      </c>
      <c r="J281" s="347"/>
    </row>
    <row r="282" spans="1:10" ht="21.75" customHeight="1">
      <c r="A282" s="347"/>
      <c r="B282" s="348" t="s">
        <v>400</v>
      </c>
      <c r="C282" s="355"/>
      <c r="D282" s="341"/>
      <c r="E282" s="349"/>
      <c r="F282" s="350"/>
      <c r="G282" s="349"/>
      <c r="H282" s="350"/>
      <c r="I282" s="351"/>
      <c r="J282" s="347"/>
    </row>
    <row r="283" spans="1:10" ht="21.75" customHeight="1">
      <c r="A283" s="352"/>
      <c r="B283" s="390" t="s">
        <v>401</v>
      </c>
      <c r="C283" s="355">
        <v>8</v>
      </c>
      <c r="D283" s="341" t="s">
        <v>25</v>
      </c>
      <c r="E283" s="349">
        <v>11500</v>
      </c>
      <c r="F283" s="350">
        <f t="shared" ref="F283:F293" si="18">ROUND(C283*E283,2)</f>
        <v>92000</v>
      </c>
      <c r="G283" s="349">
        <v>800</v>
      </c>
      <c r="H283" s="350">
        <f t="shared" ref="H283:H293" si="19">ROUND(C283*G283,2)</f>
        <v>6400</v>
      </c>
      <c r="I283" s="351">
        <f t="shared" ref="I283:I293" si="20">H283+F283</f>
        <v>98400</v>
      </c>
      <c r="J283" s="353"/>
    </row>
    <row r="284" spans="1:10" ht="21.75" customHeight="1">
      <c r="A284" s="352"/>
      <c r="B284" s="390" t="s">
        <v>402</v>
      </c>
      <c r="C284" s="355">
        <v>2</v>
      </c>
      <c r="D284" s="352" t="s">
        <v>25</v>
      </c>
      <c r="E284" s="349">
        <v>9500</v>
      </c>
      <c r="F284" s="350">
        <f t="shared" si="18"/>
        <v>19000</v>
      </c>
      <c r="G284" s="349">
        <v>600</v>
      </c>
      <c r="H284" s="350">
        <f t="shared" si="19"/>
        <v>1200</v>
      </c>
      <c r="I284" s="351">
        <f t="shared" si="20"/>
        <v>20200</v>
      </c>
      <c r="J284" s="353"/>
    </row>
    <row r="285" spans="1:10" ht="21.75" customHeight="1">
      <c r="A285" s="352"/>
      <c r="B285" s="353" t="s">
        <v>403</v>
      </c>
      <c r="C285" s="355">
        <v>8.8000000000000007</v>
      </c>
      <c r="D285" s="341" t="s">
        <v>295</v>
      </c>
      <c r="E285" s="349">
        <v>500</v>
      </c>
      <c r="F285" s="350">
        <f t="shared" si="18"/>
        <v>4400</v>
      </c>
      <c r="G285" s="349">
        <v>158</v>
      </c>
      <c r="H285" s="350">
        <f t="shared" si="19"/>
        <v>1390.4</v>
      </c>
      <c r="I285" s="351">
        <f t="shared" si="20"/>
        <v>5790.4</v>
      </c>
      <c r="J285" s="341"/>
    </row>
    <row r="286" spans="1:10" ht="21.75" customHeight="1">
      <c r="A286" s="352"/>
      <c r="B286" s="353"/>
      <c r="C286" s="355"/>
      <c r="D286" s="341"/>
      <c r="E286" s="349"/>
      <c r="F286" s="350"/>
      <c r="G286" s="349"/>
      <c r="H286" s="350"/>
      <c r="I286" s="351"/>
      <c r="J286" s="341"/>
    </row>
    <row r="287" spans="1:10" ht="21.75" customHeight="1">
      <c r="A287" s="352"/>
      <c r="B287" s="357" t="s">
        <v>404</v>
      </c>
      <c r="C287" s="341"/>
      <c r="D287" s="341"/>
      <c r="E287" s="349"/>
      <c r="F287" s="350"/>
      <c r="G287" s="349"/>
      <c r="H287" s="350"/>
      <c r="I287" s="358">
        <f>SUM(I280:I286)</f>
        <v>231700.4</v>
      </c>
      <c r="J287" s="341"/>
    </row>
    <row r="288" spans="1:10" ht="21.75" customHeight="1">
      <c r="A288" s="352"/>
      <c r="B288" s="353"/>
      <c r="C288" s="355"/>
      <c r="D288" s="341"/>
      <c r="E288" s="349"/>
      <c r="F288" s="350"/>
      <c r="G288" s="349"/>
      <c r="H288" s="350"/>
      <c r="I288" s="351"/>
      <c r="J288" s="341"/>
    </row>
    <row r="289" spans="1:10" ht="21.75" customHeight="1">
      <c r="A289" s="352"/>
      <c r="B289" s="379" t="s">
        <v>405</v>
      </c>
      <c r="C289" s="355"/>
      <c r="D289" s="341"/>
      <c r="E289" s="349"/>
      <c r="F289" s="350"/>
      <c r="G289" s="349"/>
      <c r="H289" s="350"/>
      <c r="I289" s="351"/>
      <c r="J289" s="341"/>
    </row>
    <row r="290" spans="1:10" ht="21.75" customHeight="1">
      <c r="A290" s="352"/>
      <c r="B290" s="393" t="s">
        <v>406</v>
      </c>
      <c r="C290" s="355">
        <v>1448</v>
      </c>
      <c r="D290" s="356" t="s">
        <v>21</v>
      </c>
      <c r="E290" s="349">
        <v>30</v>
      </c>
      <c r="F290" s="350">
        <f t="shared" si="18"/>
        <v>43440</v>
      </c>
      <c r="G290" s="349">
        <v>28</v>
      </c>
      <c r="H290" s="350">
        <f t="shared" si="19"/>
        <v>40544</v>
      </c>
      <c r="I290" s="351">
        <f t="shared" si="20"/>
        <v>83984</v>
      </c>
      <c r="J290" s="341"/>
    </row>
    <row r="291" spans="1:10" ht="21.75" customHeight="1">
      <c r="A291" s="352"/>
      <c r="B291" s="353" t="s">
        <v>407</v>
      </c>
      <c r="C291" s="355">
        <v>965</v>
      </c>
      <c r="D291" s="356" t="s">
        <v>21</v>
      </c>
      <c r="E291" s="349">
        <v>35</v>
      </c>
      <c r="F291" s="350">
        <f t="shared" si="18"/>
        <v>33775</v>
      </c>
      <c r="G291" s="349">
        <v>28</v>
      </c>
      <c r="H291" s="350">
        <f t="shared" si="19"/>
        <v>27020</v>
      </c>
      <c r="I291" s="351">
        <f t="shared" si="20"/>
        <v>60795</v>
      </c>
      <c r="J291" s="353"/>
    </row>
    <row r="292" spans="1:10" ht="21.75" customHeight="1">
      <c r="A292" s="352"/>
      <c r="B292" s="353" t="s">
        <v>408</v>
      </c>
      <c r="C292" s="355"/>
      <c r="D292" s="356"/>
      <c r="E292" s="349"/>
      <c r="F292" s="350"/>
      <c r="G292" s="349"/>
      <c r="H292" s="350"/>
      <c r="I292" s="351"/>
      <c r="J292" s="353"/>
    </row>
    <row r="293" spans="1:10" ht="21.75" customHeight="1">
      <c r="A293" s="352"/>
      <c r="B293" s="353" t="s">
        <v>409</v>
      </c>
      <c r="C293" s="355">
        <v>252</v>
      </c>
      <c r="D293" s="356" t="s">
        <v>21</v>
      </c>
      <c r="E293" s="349">
        <v>35</v>
      </c>
      <c r="F293" s="350">
        <f t="shared" si="18"/>
        <v>8820</v>
      </c>
      <c r="G293" s="349">
        <v>35</v>
      </c>
      <c r="H293" s="350">
        <f t="shared" si="19"/>
        <v>8820</v>
      </c>
      <c r="I293" s="351">
        <f t="shared" si="20"/>
        <v>17640</v>
      </c>
      <c r="J293" s="353"/>
    </row>
    <row r="294" spans="1:10" ht="21.75" customHeight="1">
      <c r="A294" s="352"/>
      <c r="B294" s="394"/>
      <c r="C294" s="380"/>
      <c r="D294" s="356"/>
      <c r="E294" s="361"/>
      <c r="F294" s="350"/>
      <c r="G294" s="363"/>
      <c r="H294" s="350"/>
      <c r="I294" s="351"/>
      <c r="J294" s="353"/>
    </row>
    <row r="295" spans="1:10" ht="21.75" customHeight="1">
      <c r="A295" s="352"/>
      <c r="B295" s="338"/>
      <c r="C295" s="338"/>
      <c r="D295" s="338"/>
      <c r="E295" s="338"/>
      <c r="F295" s="338"/>
      <c r="G295" s="338"/>
      <c r="H295" s="338"/>
      <c r="I295" s="338"/>
      <c r="J295" s="353"/>
    </row>
    <row r="296" spans="1:10" ht="21.75" customHeight="1">
      <c r="A296" s="352"/>
      <c r="B296" s="357" t="s">
        <v>410</v>
      </c>
      <c r="C296" s="360"/>
      <c r="D296" s="356"/>
      <c r="E296" s="361"/>
      <c r="F296" s="362"/>
      <c r="G296" s="363"/>
      <c r="H296" s="362"/>
      <c r="I296" s="395">
        <f>SUM(I290:I295)</f>
        <v>162419</v>
      </c>
      <c r="J296" s="353"/>
    </row>
    <row r="297" spans="1:10" ht="21.75" customHeight="1">
      <c r="A297" s="801" t="s">
        <v>106</v>
      </c>
      <c r="B297" s="801"/>
      <c r="C297" s="801"/>
      <c r="D297" s="801"/>
      <c r="E297" s="801"/>
      <c r="F297" s="801"/>
      <c r="G297" s="801"/>
      <c r="H297" s="801"/>
      <c r="I297" s="801"/>
      <c r="J297" s="801"/>
    </row>
    <row r="298" spans="1:10" ht="21.75" customHeight="1">
      <c r="A298" s="316" t="s">
        <v>258</v>
      </c>
      <c r="J298" s="317" t="s">
        <v>411</v>
      </c>
    </row>
    <row r="299" spans="1:10" ht="21.75" customHeight="1">
      <c r="A299" s="316" t="s">
        <v>259</v>
      </c>
    </row>
    <row r="300" spans="1:10" ht="21.75" customHeight="1">
      <c r="A300" s="316" t="s">
        <v>260</v>
      </c>
      <c r="F300" s="318" t="s">
        <v>108</v>
      </c>
      <c r="G300" s="318" t="s">
        <v>261</v>
      </c>
      <c r="H300" s="319"/>
    </row>
    <row r="301" spans="1:10" ht="21.75" customHeight="1">
      <c r="A301" s="316" t="s">
        <v>262</v>
      </c>
    </row>
    <row r="302" spans="1:10" ht="21.75" customHeight="1">
      <c r="A302" s="316" t="s">
        <v>263</v>
      </c>
      <c r="F302" s="316" t="s">
        <v>264</v>
      </c>
    </row>
    <row r="303" spans="1:10" ht="21.75" customHeight="1">
      <c r="A303" s="316"/>
      <c r="F303" s="320"/>
      <c r="G303" s="321"/>
      <c r="H303" s="322"/>
      <c r="I303" s="323"/>
      <c r="J303" s="323" t="s">
        <v>109</v>
      </c>
    </row>
    <row r="304" spans="1:10" ht="21.75" customHeight="1">
      <c r="A304" s="324" t="s">
        <v>6</v>
      </c>
      <c r="B304" s="325" t="s">
        <v>0</v>
      </c>
      <c r="C304" s="325" t="s">
        <v>1</v>
      </c>
      <c r="D304" s="325" t="s">
        <v>2</v>
      </c>
      <c r="E304" s="798" t="s">
        <v>265</v>
      </c>
      <c r="F304" s="798"/>
      <c r="G304" s="798" t="s">
        <v>3</v>
      </c>
      <c r="H304" s="798"/>
      <c r="I304" s="326" t="s">
        <v>266</v>
      </c>
      <c r="J304" s="799" t="s">
        <v>4</v>
      </c>
    </row>
    <row r="305" spans="1:10" ht="21.75" customHeight="1">
      <c r="A305" s="327"/>
      <c r="B305" s="327"/>
      <c r="C305" s="327"/>
      <c r="D305" s="327"/>
      <c r="E305" s="328" t="s">
        <v>267</v>
      </c>
      <c r="F305" s="328" t="s">
        <v>9</v>
      </c>
      <c r="G305" s="328" t="s">
        <v>267</v>
      </c>
      <c r="H305" s="329" t="s">
        <v>9</v>
      </c>
      <c r="I305" s="329" t="s">
        <v>268</v>
      </c>
      <c r="J305" s="800"/>
    </row>
    <row r="306" spans="1:10" ht="21.75" customHeight="1">
      <c r="A306" s="330"/>
      <c r="B306" s="330"/>
      <c r="C306" s="330"/>
      <c r="D306" s="330"/>
      <c r="E306" s="331" t="s">
        <v>113</v>
      </c>
      <c r="F306" s="331" t="s">
        <v>113</v>
      </c>
      <c r="G306" s="332" t="s">
        <v>113</v>
      </c>
      <c r="H306" s="332" t="s">
        <v>113</v>
      </c>
      <c r="I306" s="332" t="s">
        <v>113</v>
      </c>
      <c r="J306" s="333"/>
    </row>
    <row r="307" spans="1:10" ht="21.75" customHeight="1">
      <c r="A307" s="335"/>
      <c r="B307" s="377" t="s">
        <v>412</v>
      </c>
      <c r="C307" s="335"/>
      <c r="D307" s="335"/>
      <c r="E307" s="336"/>
      <c r="F307" s="336"/>
      <c r="G307" s="337"/>
      <c r="H307" s="337"/>
      <c r="I307" s="337"/>
      <c r="J307" s="338"/>
    </row>
    <row r="308" spans="1:10" ht="21.75" customHeight="1">
      <c r="A308" s="347"/>
      <c r="B308" s="340" t="s">
        <v>413</v>
      </c>
      <c r="C308" s="341"/>
      <c r="D308" s="341"/>
      <c r="E308" s="342"/>
      <c r="F308" s="343"/>
      <c r="G308" s="344"/>
      <c r="H308" s="345"/>
      <c r="I308" s="346"/>
      <c r="J308" s="347"/>
    </row>
    <row r="309" spans="1:10" ht="21.75" customHeight="1">
      <c r="A309" s="347"/>
      <c r="B309" s="348" t="s">
        <v>414</v>
      </c>
      <c r="C309" s="355">
        <v>0</v>
      </c>
      <c r="D309" s="341" t="s">
        <v>25</v>
      </c>
      <c r="E309" s="349"/>
      <c r="F309" s="350">
        <f>ROUND(C309*E309,2)</f>
        <v>0</v>
      </c>
      <c r="G309" s="349">
        <v>0</v>
      </c>
      <c r="H309" s="350">
        <f>ROUND(C309*G309,2)</f>
        <v>0</v>
      </c>
      <c r="I309" s="351">
        <f>H309+F309</f>
        <v>0</v>
      </c>
      <c r="J309" s="396"/>
    </row>
    <row r="310" spans="1:10" ht="21.75" customHeight="1">
      <c r="A310" s="352"/>
      <c r="B310" s="353" t="s">
        <v>415</v>
      </c>
      <c r="C310" s="355"/>
      <c r="D310" s="341"/>
      <c r="E310" s="349"/>
      <c r="F310" s="350"/>
      <c r="G310" s="349"/>
      <c r="H310" s="350"/>
      <c r="I310" s="351"/>
      <c r="J310" s="353"/>
    </row>
    <row r="311" spans="1:10" ht="21.75" customHeight="1">
      <c r="A311" s="352"/>
      <c r="B311" s="353" t="s">
        <v>416</v>
      </c>
      <c r="C311" s="355">
        <v>1</v>
      </c>
      <c r="D311" s="352" t="s">
        <v>25</v>
      </c>
      <c r="E311" s="349">
        <v>30000</v>
      </c>
      <c r="F311" s="350">
        <f>ROUND(C311*E311,2)</f>
        <v>30000</v>
      </c>
      <c r="G311" s="349">
        <v>0</v>
      </c>
      <c r="H311" s="350">
        <f t="shared" ref="H311:H316" si="21">ROUND(C311*G311,2)</f>
        <v>0</v>
      </c>
      <c r="I311" s="351">
        <f t="shared" ref="I311:I316" si="22">H311+F311</f>
        <v>30000</v>
      </c>
      <c r="J311" s="353"/>
    </row>
    <row r="312" spans="1:10" ht="21.75" customHeight="1">
      <c r="A312" s="352"/>
      <c r="B312" s="353" t="s">
        <v>417</v>
      </c>
      <c r="C312" s="355"/>
      <c r="D312" s="341"/>
      <c r="E312" s="349"/>
      <c r="F312" s="350"/>
      <c r="G312" s="349"/>
      <c r="H312" s="350"/>
      <c r="I312" s="351"/>
      <c r="J312" s="341"/>
    </row>
    <row r="313" spans="1:10" ht="21.75" customHeight="1">
      <c r="A313" s="352"/>
      <c r="B313" s="353" t="s">
        <v>418</v>
      </c>
      <c r="C313" s="355">
        <v>665</v>
      </c>
      <c r="D313" s="341" t="s">
        <v>17</v>
      </c>
      <c r="E313" s="349">
        <v>29.9</v>
      </c>
      <c r="F313" s="350">
        <f>ROUND(C313*E313,2)</f>
        <v>19883.5</v>
      </c>
      <c r="G313" s="349">
        <v>10</v>
      </c>
      <c r="H313" s="350">
        <f t="shared" si="21"/>
        <v>6650</v>
      </c>
      <c r="I313" s="351">
        <f t="shared" si="22"/>
        <v>26533.5</v>
      </c>
      <c r="J313" s="341" t="s">
        <v>419</v>
      </c>
    </row>
    <row r="314" spans="1:10" ht="21.75" customHeight="1">
      <c r="A314" s="352"/>
      <c r="B314" s="353" t="s">
        <v>420</v>
      </c>
      <c r="C314" s="355"/>
      <c r="D314" s="341"/>
      <c r="E314" s="349"/>
      <c r="F314" s="350"/>
      <c r="G314" s="349"/>
      <c r="H314" s="350"/>
      <c r="I314" s="351"/>
      <c r="J314" s="341"/>
    </row>
    <row r="315" spans="1:10" ht="21.75" customHeight="1">
      <c r="A315" s="352"/>
      <c r="B315" s="390" t="s">
        <v>421</v>
      </c>
      <c r="C315" s="355">
        <v>2</v>
      </c>
      <c r="D315" s="341" t="s">
        <v>25</v>
      </c>
      <c r="E315" s="349">
        <v>190</v>
      </c>
      <c r="F315" s="350">
        <f>ROUND(C315*E315,2)</f>
        <v>380</v>
      </c>
      <c r="G315" s="349">
        <v>55</v>
      </c>
      <c r="H315" s="350">
        <f t="shared" si="21"/>
        <v>110</v>
      </c>
      <c r="I315" s="351">
        <f t="shared" si="22"/>
        <v>490</v>
      </c>
      <c r="J315" s="341"/>
    </row>
    <row r="316" spans="1:10" ht="21.75" customHeight="1">
      <c r="A316" s="352"/>
      <c r="B316" s="390" t="s">
        <v>422</v>
      </c>
      <c r="C316" s="355">
        <v>4</v>
      </c>
      <c r="D316" s="341" t="s">
        <v>25</v>
      </c>
      <c r="E316" s="349">
        <v>150</v>
      </c>
      <c r="F316" s="350">
        <f>ROUND(C316*E316,2)</f>
        <v>600</v>
      </c>
      <c r="G316" s="349">
        <v>55</v>
      </c>
      <c r="H316" s="350">
        <f t="shared" si="21"/>
        <v>220</v>
      </c>
      <c r="I316" s="351">
        <f t="shared" si="22"/>
        <v>820</v>
      </c>
      <c r="J316" s="341"/>
    </row>
    <row r="317" spans="1:10" ht="21.75" customHeight="1">
      <c r="A317" s="352"/>
      <c r="B317" s="390"/>
      <c r="C317" s="355"/>
      <c r="D317" s="341"/>
      <c r="E317" s="349"/>
      <c r="F317" s="349"/>
      <c r="G317" s="349"/>
      <c r="H317" s="349"/>
      <c r="I317" s="351"/>
      <c r="J317" s="353"/>
    </row>
    <row r="318" spans="1:10" ht="21.75" customHeight="1">
      <c r="A318" s="352"/>
      <c r="B318" s="397" t="s">
        <v>423</v>
      </c>
      <c r="C318" s="360"/>
      <c r="D318" s="356"/>
      <c r="E318" s="361"/>
      <c r="F318" s="362"/>
      <c r="G318" s="363"/>
      <c r="H318" s="362"/>
      <c r="I318" s="395">
        <f>SUM(I307:I317)</f>
        <v>57843.5</v>
      </c>
      <c r="J318" s="353"/>
    </row>
    <row r="319" spans="1:10" ht="21.75" customHeight="1">
      <c r="A319" s="338"/>
      <c r="B319" s="338"/>
      <c r="C319" s="338"/>
      <c r="D319" s="338"/>
      <c r="E319" s="338"/>
      <c r="F319" s="338"/>
      <c r="G319" s="338"/>
      <c r="H319" s="338"/>
      <c r="I319" s="338"/>
      <c r="J319" s="338"/>
    </row>
    <row r="320" spans="1:10" ht="21.75" customHeight="1">
      <c r="A320" s="338"/>
      <c r="B320" s="338"/>
      <c r="C320" s="338"/>
      <c r="D320" s="338"/>
      <c r="E320" s="338"/>
      <c r="F320" s="338"/>
      <c r="G320" s="338"/>
      <c r="H320" s="338"/>
      <c r="I320" s="338"/>
      <c r="J320" s="338"/>
    </row>
  </sheetData>
  <mergeCells count="47">
    <mergeCell ref="E304:F304"/>
    <mergeCell ref="G304:H304"/>
    <mergeCell ref="J304:J305"/>
    <mergeCell ref="A216:J216"/>
    <mergeCell ref="E222:F222"/>
    <mergeCell ref="G222:H222"/>
    <mergeCell ref="J222:J223"/>
    <mergeCell ref="A243:J243"/>
    <mergeCell ref="E250:F250"/>
    <mergeCell ref="G250:H250"/>
    <mergeCell ref="J250:J251"/>
    <mergeCell ref="A270:J270"/>
    <mergeCell ref="E277:F277"/>
    <mergeCell ref="G277:H277"/>
    <mergeCell ref="J277:J278"/>
    <mergeCell ref="A297:J297"/>
    <mergeCell ref="E196:F196"/>
    <mergeCell ref="G196:H196"/>
    <mergeCell ref="J196:J197"/>
    <mergeCell ref="A108:J108"/>
    <mergeCell ref="E115:F115"/>
    <mergeCell ref="G115:H115"/>
    <mergeCell ref="J115:J116"/>
    <mergeCell ref="A135:J135"/>
    <mergeCell ref="E142:F142"/>
    <mergeCell ref="G142:H142"/>
    <mergeCell ref="J142:J143"/>
    <mergeCell ref="A162:J162"/>
    <mergeCell ref="E169:F169"/>
    <mergeCell ref="G169:H169"/>
    <mergeCell ref="J169:J170"/>
    <mergeCell ref="A189:J189"/>
    <mergeCell ref="E88:F88"/>
    <mergeCell ref="G88:H88"/>
    <mergeCell ref="J88:J89"/>
    <mergeCell ref="E7:F7"/>
    <mergeCell ref="G7:H7"/>
    <mergeCell ref="J7:J8"/>
    <mergeCell ref="A27:J27"/>
    <mergeCell ref="E34:F34"/>
    <mergeCell ref="G34:H34"/>
    <mergeCell ref="J34:J35"/>
    <mergeCell ref="A54:J54"/>
    <mergeCell ref="E61:F61"/>
    <mergeCell ref="G61:H61"/>
    <mergeCell ref="J61:J62"/>
    <mergeCell ref="A81:J81"/>
  </mergeCells>
  <pageMargins left="0.28000000000000003" right="0.23" top="0.17" bottom="0.16" header="0.3" footer="0.16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2"/>
  <sheetViews>
    <sheetView workbookViewId="0">
      <selection activeCell="A4" sqref="A1:XFD1048576"/>
    </sheetView>
  </sheetViews>
  <sheetFormatPr defaultRowHeight="21"/>
  <cols>
    <col min="1" max="1" width="9.125" style="300"/>
    <col min="2" max="3" width="9.625" bestFit="1" customWidth="1"/>
    <col min="4" max="4" width="11.625" bestFit="1" customWidth="1"/>
    <col min="5" max="6" width="9.625" bestFit="1" customWidth="1"/>
    <col min="7" max="7" width="11.875" customWidth="1"/>
    <col min="8" max="8" width="10.625" bestFit="1" customWidth="1"/>
  </cols>
  <sheetData>
    <row r="1" spans="1:16">
      <c r="A1" s="797" t="s">
        <v>216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</row>
    <row r="2" spans="1:16">
      <c r="B2" t="s">
        <v>210</v>
      </c>
      <c r="C2" t="s">
        <v>215</v>
      </c>
      <c r="D2" t="s">
        <v>211</v>
      </c>
      <c r="E2" t="s">
        <v>212</v>
      </c>
      <c r="F2" t="s">
        <v>137</v>
      </c>
      <c r="G2" t="s">
        <v>217</v>
      </c>
      <c r="H2" t="s">
        <v>213</v>
      </c>
      <c r="I2" t="s">
        <v>90</v>
      </c>
      <c r="J2" t="s">
        <v>91</v>
      </c>
      <c r="K2" t="s">
        <v>92</v>
      </c>
      <c r="L2" t="s">
        <v>93</v>
      </c>
      <c r="M2" t="s">
        <v>214</v>
      </c>
      <c r="N2" t="s">
        <v>94</v>
      </c>
    </row>
    <row r="3" spans="1:16">
      <c r="A3" s="300" t="s">
        <v>198</v>
      </c>
    </row>
    <row r="4" spans="1:16">
      <c r="A4" s="300" t="s">
        <v>199</v>
      </c>
      <c r="B4" s="302">
        <v>0.1</v>
      </c>
      <c r="C4" s="302">
        <v>0.4</v>
      </c>
      <c r="D4" s="302">
        <v>0</v>
      </c>
      <c r="E4" s="302">
        <f>(C4+C4)*D4</f>
        <v>0</v>
      </c>
      <c r="F4" s="302">
        <f>0.05*B4*D4</f>
        <v>0</v>
      </c>
      <c r="G4" s="302">
        <f>0.05*B4*D4</f>
        <v>0</v>
      </c>
      <c r="H4" s="302">
        <f>B4*C4*D4</f>
        <v>0</v>
      </c>
      <c r="I4" s="302">
        <v>0</v>
      </c>
      <c r="J4" s="302"/>
      <c r="K4" s="302"/>
      <c r="L4" s="302"/>
      <c r="M4" s="302"/>
      <c r="N4" s="302"/>
      <c r="O4" s="301"/>
      <c r="P4" s="301"/>
    </row>
    <row r="5" spans="1:16">
      <c r="A5" s="300" t="s">
        <v>200</v>
      </c>
      <c r="B5" s="302">
        <v>0.1</v>
      </c>
      <c r="C5" s="302">
        <v>0.7</v>
      </c>
      <c r="D5" s="302">
        <v>0</v>
      </c>
      <c r="E5" s="302">
        <f t="shared" ref="E5:E18" si="0">(C5+C5)*D5</f>
        <v>0</v>
      </c>
      <c r="F5" s="302">
        <f t="shared" ref="F5:F15" si="1">0.05*B5*D5</f>
        <v>0</v>
      </c>
      <c r="G5" s="302">
        <f t="shared" ref="G5:G15" si="2">0.05*B5*D5</f>
        <v>0</v>
      </c>
      <c r="H5" s="302">
        <f t="shared" ref="H5:H15" si="3">B5*C5*D5</f>
        <v>0</v>
      </c>
      <c r="I5" s="302">
        <v>0</v>
      </c>
      <c r="J5" s="302"/>
      <c r="K5" s="302"/>
      <c r="L5" s="302"/>
      <c r="M5" s="302"/>
      <c r="N5" s="302"/>
      <c r="O5" s="301"/>
      <c r="P5" s="301"/>
    </row>
    <row r="6" spans="1:16">
      <c r="A6" s="303" t="s">
        <v>218</v>
      </c>
      <c r="B6" s="302">
        <v>0.2</v>
      </c>
      <c r="C6" s="302">
        <v>0.4</v>
      </c>
      <c r="D6" s="302">
        <v>33</v>
      </c>
      <c r="E6" s="302">
        <f t="shared" si="0"/>
        <v>26.400000000000002</v>
      </c>
      <c r="F6" s="302">
        <f t="shared" ref="F6" si="4">0.05*B6*D6</f>
        <v>0.33000000000000007</v>
      </c>
      <c r="G6" s="302">
        <f t="shared" ref="G6" si="5">0.05*B6*D6</f>
        <v>0.33000000000000007</v>
      </c>
      <c r="H6" s="302">
        <f t="shared" ref="H6" si="6">B6*C6*D6</f>
        <v>2.6400000000000006</v>
      </c>
      <c r="I6" s="302">
        <f>ROUNDDOWN(((D6/0.2)+1*((B6*2))+(C6*2)),0)</f>
        <v>166</v>
      </c>
      <c r="J6" s="302">
        <v>0</v>
      </c>
      <c r="K6" s="302">
        <v>0</v>
      </c>
      <c r="L6" s="302">
        <f>4*D6</f>
        <v>132</v>
      </c>
      <c r="M6" s="302"/>
      <c r="N6" s="302"/>
      <c r="O6" s="301"/>
      <c r="P6" s="301"/>
    </row>
    <row r="7" spans="1:16">
      <c r="A7" s="300" t="s">
        <v>201</v>
      </c>
      <c r="B7" s="302">
        <v>0.25</v>
      </c>
      <c r="C7" s="302">
        <v>0.6</v>
      </c>
      <c r="D7" s="302">
        <v>84</v>
      </c>
      <c r="E7" s="302">
        <f t="shared" si="0"/>
        <v>100.8</v>
      </c>
      <c r="F7" s="302">
        <f t="shared" si="1"/>
        <v>1.05</v>
      </c>
      <c r="G7" s="302">
        <f t="shared" si="2"/>
        <v>1.05</v>
      </c>
      <c r="H7" s="302">
        <f t="shared" si="3"/>
        <v>12.6</v>
      </c>
      <c r="I7" s="302">
        <v>0</v>
      </c>
      <c r="J7" s="302">
        <f>ROUNDDOWN(((D7/0.15)+1*((B7*2))+(C7*2)),0)</f>
        <v>561</v>
      </c>
      <c r="K7" s="302">
        <v>0</v>
      </c>
      <c r="L7" s="302">
        <v>0</v>
      </c>
      <c r="M7" s="302"/>
      <c r="N7" s="302">
        <f>5*D7</f>
        <v>420</v>
      </c>
      <c r="O7" s="301"/>
      <c r="P7" s="301"/>
    </row>
    <row r="8" spans="1:16">
      <c r="A8" s="300" t="s">
        <v>202</v>
      </c>
      <c r="B8" s="302">
        <v>0.25</v>
      </c>
      <c r="C8" s="302">
        <v>0.6</v>
      </c>
      <c r="D8" s="302">
        <v>18</v>
      </c>
      <c r="E8" s="302">
        <f t="shared" si="0"/>
        <v>21.599999999999998</v>
      </c>
      <c r="F8" s="302">
        <f t="shared" si="1"/>
        <v>0.22500000000000001</v>
      </c>
      <c r="G8" s="302">
        <f t="shared" si="2"/>
        <v>0.22500000000000001</v>
      </c>
      <c r="H8" s="302">
        <f t="shared" si="3"/>
        <v>2.6999999999999997</v>
      </c>
      <c r="I8" s="302">
        <v>0</v>
      </c>
      <c r="J8" s="302">
        <f>ROUNDDOWN(((D8/0.15)+1*((B8*2))+(C8*2)),0)</f>
        <v>121</v>
      </c>
      <c r="K8" s="302">
        <v>0</v>
      </c>
      <c r="L8" s="302">
        <v>0</v>
      </c>
      <c r="M8" s="302"/>
      <c r="N8" s="302">
        <f>7*D8</f>
        <v>126</v>
      </c>
      <c r="O8" s="301"/>
      <c r="P8" s="301"/>
    </row>
    <row r="9" spans="1:16">
      <c r="A9" s="300" t="s">
        <v>203</v>
      </c>
      <c r="B9" s="302">
        <v>0.2</v>
      </c>
      <c r="C9" s="302">
        <v>0.4</v>
      </c>
      <c r="D9" s="302">
        <v>18</v>
      </c>
      <c r="E9" s="302">
        <f t="shared" si="0"/>
        <v>14.4</v>
      </c>
      <c r="F9" s="302">
        <f t="shared" si="1"/>
        <v>0.18000000000000005</v>
      </c>
      <c r="G9" s="302">
        <f t="shared" si="2"/>
        <v>0.18000000000000005</v>
      </c>
      <c r="H9" s="302">
        <f t="shared" si="3"/>
        <v>1.4400000000000004</v>
      </c>
      <c r="I9" s="302">
        <f>ROUNDDOWN(((D9/0.2)+1*((B9*2))+(C9*2)),0)</f>
        <v>91</v>
      </c>
      <c r="J9" s="302">
        <v>0</v>
      </c>
      <c r="K9" s="302">
        <v>0</v>
      </c>
      <c r="L9" s="302">
        <f>5*D9</f>
        <v>90</v>
      </c>
      <c r="M9" s="302"/>
      <c r="N9" s="302"/>
      <c r="O9" s="301"/>
      <c r="P9" s="301"/>
    </row>
    <row r="10" spans="1:16">
      <c r="A10" s="300" t="s">
        <v>204</v>
      </c>
      <c r="B10" s="302">
        <v>0.25</v>
      </c>
      <c r="C10" s="302">
        <v>0.6</v>
      </c>
      <c r="D10" s="302">
        <v>4.5</v>
      </c>
      <c r="E10" s="302">
        <f t="shared" si="0"/>
        <v>5.3999999999999995</v>
      </c>
      <c r="F10" s="302">
        <f t="shared" si="1"/>
        <v>5.6250000000000001E-2</v>
      </c>
      <c r="G10" s="302">
        <f t="shared" si="2"/>
        <v>5.6250000000000001E-2</v>
      </c>
      <c r="H10" s="302">
        <f t="shared" si="3"/>
        <v>0.67499999999999993</v>
      </c>
      <c r="I10" s="302">
        <v>0</v>
      </c>
      <c r="J10" s="302">
        <f>ROUNDDOWN(((D10/0.15)+1*((B10*2))+(C10*2)),0)</f>
        <v>31</v>
      </c>
      <c r="K10" s="302">
        <v>0</v>
      </c>
      <c r="L10" s="302">
        <v>0</v>
      </c>
      <c r="M10" s="302">
        <f>4*D10</f>
        <v>18</v>
      </c>
      <c r="N10" s="302"/>
      <c r="O10" s="301"/>
      <c r="P10" s="301"/>
    </row>
    <row r="11" spans="1:16">
      <c r="A11" s="300" t="s">
        <v>205</v>
      </c>
      <c r="B11" s="302">
        <v>0.25</v>
      </c>
      <c r="C11" s="302">
        <v>0.6</v>
      </c>
      <c r="D11" s="302">
        <v>44.4</v>
      </c>
      <c r="E11" s="302">
        <f t="shared" si="0"/>
        <v>53.279999999999994</v>
      </c>
      <c r="F11" s="302">
        <f t="shared" si="1"/>
        <v>0.55500000000000005</v>
      </c>
      <c r="G11" s="302">
        <f t="shared" si="2"/>
        <v>0.55500000000000005</v>
      </c>
      <c r="H11" s="302">
        <f t="shared" si="3"/>
        <v>6.6599999999999993</v>
      </c>
      <c r="I11" s="302">
        <v>0</v>
      </c>
      <c r="J11" s="302">
        <f>ROUNDDOWN(((D11/0.15)+1*((B11*2))+(C11*2)),0)</f>
        <v>297</v>
      </c>
      <c r="K11" s="302">
        <v>0</v>
      </c>
      <c r="L11" s="302">
        <v>0</v>
      </c>
      <c r="M11" s="302">
        <f>5*D11</f>
        <v>222</v>
      </c>
      <c r="N11" s="302"/>
      <c r="O11" s="301"/>
      <c r="P11" s="301"/>
    </row>
    <row r="12" spans="1:16">
      <c r="A12" s="300" t="s">
        <v>206</v>
      </c>
      <c r="B12" s="302">
        <v>0.2</v>
      </c>
      <c r="C12" s="302">
        <v>0.4</v>
      </c>
      <c r="D12" s="302">
        <v>18.25</v>
      </c>
      <c r="E12" s="302">
        <f t="shared" si="0"/>
        <v>14.600000000000001</v>
      </c>
      <c r="F12" s="302">
        <f t="shared" si="1"/>
        <v>0.18250000000000002</v>
      </c>
      <c r="G12" s="302">
        <f t="shared" si="2"/>
        <v>0.18250000000000002</v>
      </c>
      <c r="H12" s="302">
        <f t="shared" si="3"/>
        <v>1.4600000000000002</v>
      </c>
      <c r="I12" s="302">
        <f>ROUNDDOWN(((D12/0.2)+1*((B12*2))+(C12*2)),0)</f>
        <v>92</v>
      </c>
      <c r="J12" s="302">
        <v>0</v>
      </c>
      <c r="K12" s="302">
        <v>0</v>
      </c>
      <c r="L12" s="302">
        <f>6*D12</f>
        <v>109.5</v>
      </c>
      <c r="M12" s="302"/>
      <c r="N12" s="302"/>
      <c r="O12" s="301"/>
      <c r="P12" s="301"/>
    </row>
    <row r="13" spans="1:16">
      <c r="A13" s="300" t="s">
        <v>207</v>
      </c>
      <c r="B13" s="302">
        <v>0.25</v>
      </c>
      <c r="C13" s="302">
        <v>0.6</v>
      </c>
      <c r="D13" s="302">
        <v>101.5</v>
      </c>
      <c r="E13" s="302">
        <f t="shared" si="0"/>
        <v>121.8</v>
      </c>
      <c r="F13" s="302">
        <f t="shared" si="1"/>
        <v>1.26875</v>
      </c>
      <c r="G13" s="302">
        <f t="shared" si="2"/>
        <v>1.26875</v>
      </c>
      <c r="H13" s="302">
        <f t="shared" si="3"/>
        <v>15.225</v>
      </c>
      <c r="I13" s="302">
        <v>0</v>
      </c>
      <c r="J13" s="302">
        <f>ROUNDDOWN(((D13/0.25)+1*((B13*2))+(C13*2)),0)</f>
        <v>407</v>
      </c>
      <c r="K13" s="302">
        <v>0</v>
      </c>
      <c r="L13" s="302">
        <v>0</v>
      </c>
      <c r="M13" s="302">
        <f>4*D13</f>
        <v>406</v>
      </c>
      <c r="N13" s="302"/>
      <c r="O13" s="301"/>
      <c r="P13" s="301"/>
    </row>
    <row r="14" spans="1:16">
      <c r="A14" s="300" t="s">
        <v>208</v>
      </c>
      <c r="B14" s="302">
        <v>0.25</v>
      </c>
      <c r="C14" s="302">
        <v>0.6</v>
      </c>
      <c r="D14" s="302">
        <v>21.75</v>
      </c>
      <c r="E14" s="302">
        <f t="shared" si="0"/>
        <v>26.099999999999998</v>
      </c>
      <c r="F14" s="302">
        <f t="shared" si="1"/>
        <v>0.27187500000000003</v>
      </c>
      <c r="G14" s="302">
        <f t="shared" si="2"/>
        <v>0.27187500000000003</v>
      </c>
      <c r="H14" s="302">
        <f t="shared" si="3"/>
        <v>3.2624999999999997</v>
      </c>
      <c r="I14" s="302">
        <v>0</v>
      </c>
      <c r="J14" s="302">
        <f>ROUNDDOWN(((D14/0.2)+1*((B14*2))+(C14*2)),0)</f>
        <v>110</v>
      </c>
      <c r="K14" s="302">
        <v>0</v>
      </c>
      <c r="L14" s="302">
        <v>0</v>
      </c>
      <c r="M14" s="302"/>
      <c r="N14" s="302">
        <f>4*D14</f>
        <v>87</v>
      </c>
      <c r="O14" s="301"/>
      <c r="P14" s="301"/>
    </row>
    <row r="15" spans="1:16">
      <c r="A15" s="300" t="s">
        <v>209</v>
      </c>
      <c r="B15" s="302">
        <v>0.25</v>
      </c>
      <c r="C15" s="302">
        <v>0.6</v>
      </c>
      <c r="D15" s="302">
        <v>3</v>
      </c>
      <c r="E15" s="302">
        <f t="shared" si="0"/>
        <v>3.5999999999999996</v>
      </c>
      <c r="F15" s="302">
        <f t="shared" si="1"/>
        <v>3.7500000000000006E-2</v>
      </c>
      <c r="G15" s="302">
        <f t="shared" si="2"/>
        <v>3.7500000000000006E-2</v>
      </c>
      <c r="H15" s="302">
        <f t="shared" si="3"/>
        <v>0.44999999999999996</v>
      </c>
      <c r="I15" s="302">
        <v>0</v>
      </c>
      <c r="J15" s="302">
        <f>ROUNDDOWN(((D15/0.15)+1*((B15*2))+(C15*2)),0)</f>
        <v>21</v>
      </c>
      <c r="K15" s="302">
        <v>0</v>
      </c>
      <c r="L15" s="302">
        <v>0</v>
      </c>
      <c r="M15" s="302"/>
      <c r="N15" s="302">
        <f>5*D15</f>
        <v>15</v>
      </c>
      <c r="O15" s="301"/>
      <c r="P15" s="305" t="s">
        <v>15</v>
      </c>
    </row>
    <row r="16" spans="1:16">
      <c r="A16" s="303" t="s">
        <v>222</v>
      </c>
      <c r="B16" s="302">
        <v>0.3</v>
      </c>
      <c r="C16" s="302">
        <v>0.3</v>
      </c>
      <c r="D16" s="302">
        <v>4.2</v>
      </c>
      <c r="E16" s="302">
        <f t="shared" si="0"/>
        <v>2.52</v>
      </c>
      <c r="F16" s="302"/>
      <c r="G16" s="302"/>
      <c r="H16" s="302">
        <f>B16*C16*D16*P16</f>
        <v>7.9379999999999997</v>
      </c>
      <c r="I16" s="302">
        <f>(ROUNDDOWN(((D16/0.2)+1*((B16*2))+(C16*2)),0))*2*P16</f>
        <v>924</v>
      </c>
      <c r="J16" s="302"/>
      <c r="K16" s="302"/>
      <c r="L16" s="302"/>
      <c r="M16" s="302">
        <f>8*D16*P16</f>
        <v>705.6</v>
      </c>
      <c r="N16" s="302"/>
      <c r="O16" s="301"/>
      <c r="P16">
        <v>21</v>
      </c>
    </row>
    <row r="17" spans="1:16">
      <c r="A17" s="303" t="s">
        <v>223</v>
      </c>
      <c r="B17" s="302">
        <v>0.3</v>
      </c>
      <c r="C17" s="302">
        <v>0.3</v>
      </c>
      <c r="D17" s="302">
        <v>4.2</v>
      </c>
      <c r="E17" s="302">
        <f t="shared" si="0"/>
        <v>2.52</v>
      </c>
      <c r="F17" s="302"/>
      <c r="G17" s="302"/>
      <c r="H17" s="302">
        <f>B17*C17*D17*P17</f>
        <v>9.8279999999999994</v>
      </c>
      <c r="I17" s="302">
        <f>(ROUNDDOWN(((D17/0.2)+1*((B17*2))+(C17*2)),0))*2*P17</f>
        <v>1144</v>
      </c>
      <c r="J17" s="302"/>
      <c r="K17" s="302"/>
      <c r="L17" s="302">
        <f>8*D17*P17</f>
        <v>873.6</v>
      </c>
      <c r="M17" s="302"/>
      <c r="N17" s="302"/>
      <c r="O17" s="301"/>
      <c r="P17" s="301">
        <v>26</v>
      </c>
    </row>
    <row r="18" spans="1:16">
      <c r="A18" s="303" t="s">
        <v>224</v>
      </c>
      <c r="B18" s="302"/>
      <c r="C18" s="302"/>
      <c r="D18" s="302"/>
      <c r="E18" s="302">
        <f t="shared" si="0"/>
        <v>0</v>
      </c>
      <c r="F18" s="302"/>
      <c r="G18" s="302"/>
      <c r="H18" s="302"/>
      <c r="I18" s="302"/>
      <c r="J18" s="302"/>
      <c r="K18" s="302"/>
      <c r="L18" s="302"/>
      <c r="M18" s="302"/>
      <c r="N18" s="302"/>
      <c r="O18" s="301"/>
      <c r="P18" s="301">
        <v>4</v>
      </c>
    </row>
    <row r="19" spans="1:16">
      <c r="A19" s="303" t="s">
        <v>228</v>
      </c>
      <c r="B19" s="307">
        <v>0.15</v>
      </c>
      <c r="C19" s="306">
        <v>1.7</v>
      </c>
      <c r="D19" s="306">
        <v>3.3</v>
      </c>
      <c r="E19" s="302">
        <f>C19*D19</f>
        <v>5.6099999999999994</v>
      </c>
      <c r="F19" s="306">
        <v>0</v>
      </c>
      <c r="G19" s="306">
        <v>0</v>
      </c>
      <c r="H19" s="306">
        <f>B19*C19*D19</f>
        <v>0.84149999999999991</v>
      </c>
      <c r="I19" s="306">
        <v>0</v>
      </c>
      <c r="J19" s="302">
        <f>ROUNDDOWN(((C19/0.15)+1)*((4)),0)</f>
        <v>49</v>
      </c>
      <c r="K19" s="306"/>
      <c r="L19" s="306"/>
      <c r="M19" s="306"/>
      <c r="N19" s="306"/>
      <c r="O19" s="301"/>
      <c r="P19" s="301"/>
    </row>
    <row r="20" spans="1:16" ht="21.6" thickBot="1">
      <c r="A20" s="303" t="s">
        <v>229</v>
      </c>
      <c r="B20" s="306">
        <v>1.7</v>
      </c>
      <c r="C20" s="306">
        <v>3.5</v>
      </c>
      <c r="D20" s="306"/>
      <c r="E20" s="306">
        <f>B20*C20</f>
        <v>5.95</v>
      </c>
      <c r="F20" s="306"/>
      <c r="G20" s="306"/>
      <c r="H20" s="306">
        <f>B20*C20*0.15</f>
        <v>0.89249999999999996</v>
      </c>
      <c r="I20" s="306"/>
      <c r="J20" s="302">
        <f>1.7*14</f>
        <v>23.8</v>
      </c>
      <c r="K20" s="306">
        <f>ROUNDDOWN(((C20/0.1)+1)*B20,0)*2</f>
        <v>122</v>
      </c>
      <c r="L20" s="306"/>
      <c r="M20" s="306"/>
      <c r="N20" s="306"/>
      <c r="O20" s="301"/>
      <c r="P20" s="301"/>
    </row>
    <row r="21" spans="1:16" ht="22.2" thickTop="1" thickBot="1">
      <c r="E21" s="304">
        <f t="shared" ref="E21:K21" si="7">SUM(E4:E20)</f>
        <v>404.58000000000004</v>
      </c>
      <c r="F21" s="304">
        <f t="shared" si="7"/>
        <v>4.1568749999999994</v>
      </c>
      <c r="G21" s="304">
        <f t="shared" si="7"/>
        <v>4.1568749999999994</v>
      </c>
      <c r="H21" s="304">
        <f t="shared" si="7"/>
        <v>66.612500000000011</v>
      </c>
      <c r="I21" s="304">
        <f t="shared" si="7"/>
        <v>2417</v>
      </c>
      <c r="J21" s="304">
        <f t="shared" si="7"/>
        <v>1620.8</v>
      </c>
      <c r="K21" s="304">
        <f t="shared" si="7"/>
        <v>122</v>
      </c>
      <c r="L21" s="304">
        <f t="shared" ref="L21:N21" si="8">SUM(L4:L18)</f>
        <v>1205.0999999999999</v>
      </c>
      <c r="M21" s="304">
        <f t="shared" si="8"/>
        <v>1351.6</v>
      </c>
      <c r="N21" s="304">
        <f t="shared" si="8"/>
        <v>648</v>
      </c>
    </row>
    <row r="22" spans="1:16" ht="21.6" thickTop="1"/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1"/>
  <sheetViews>
    <sheetView workbookViewId="0">
      <selection activeCell="J7" sqref="J7"/>
    </sheetView>
  </sheetViews>
  <sheetFormatPr defaultRowHeight="21"/>
  <cols>
    <col min="1" max="1" width="9.125" style="300"/>
    <col min="2" max="3" width="9.625" bestFit="1" customWidth="1"/>
    <col min="4" max="4" width="11.625" bestFit="1" customWidth="1"/>
    <col min="5" max="6" width="9.625" bestFit="1" customWidth="1"/>
    <col min="7" max="7" width="11.875" customWidth="1"/>
    <col min="8" max="8" width="10.625" bestFit="1" customWidth="1"/>
  </cols>
  <sheetData>
    <row r="1" spans="1:16">
      <c r="A1" s="797" t="s">
        <v>216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</row>
    <row r="2" spans="1:16">
      <c r="B2" t="s">
        <v>210</v>
      </c>
      <c r="C2" t="s">
        <v>215</v>
      </c>
      <c r="D2" t="s">
        <v>211</v>
      </c>
      <c r="E2" t="s">
        <v>212</v>
      </c>
      <c r="F2" t="s">
        <v>137</v>
      </c>
      <c r="G2" t="s">
        <v>217</v>
      </c>
      <c r="H2" t="s">
        <v>213</v>
      </c>
      <c r="I2" t="s">
        <v>90</v>
      </c>
      <c r="J2" t="s">
        <v>91</v>
      </c>
      <c r="K2" t="s">
        <v>92</v>
      </c>
      <c r="L2" t="s">
        <v>93</v>
      </c>
      <c r="M2" t="s">
        <v>214</v>
      </c>
      <c r="N2" t="s">
        <v>94</v>
      </c>
    </row>
    <row r="3" spans="1:16">
      <c r="A3" s="300" t="s">
        <v>198</v>
      </c>
    </row>
    <row r="4" spans="1:16">
      <c r="A4" s="300" t="s">
        <v>199</v>
      </c>
      <c r="B4" s="302">
        <v>0.1</v>
      </c>
      <c r="C4" s="302">
        <v>0.4</v>
      </c>
      <c r="D4" s="302">
        <v>2.4</v>
      </c>
      <c r="E4" s="302">
        <f>(C4+C4+B4)*D4</f>
        <v>2.16</v>
      </c>
      <c r="F4" s="302">
        <f>0.05*B4*D4</f>
        <v>1.2000000000000002E-2</v>
      </c>
      <c r="G4" s="302">
        <f>0.05*B4*D4</f>
        <v>1.2000000000000002E-2</v>
      </c>
      <c r="H4" s="302">
        <f>B4*C4*D4</f>
        <v>9.6000000000000016E-2</v>
      </c>
      <c r="I4" s="302">
        <v>0</v>
      </c>
      <c r="J4" s="302"/>
      <c r="K4" s="302"/>
      <c r="L4" s="302"/>
      <c r="M4" s="302"/>
      <c r="N4" s="302"/>
      <c r="O4" s="301"/>
      <c r="P4" s="301"/>
    </row>
    <row r="5" spans="1:16">
      <c r="A5" s="300" t="s">
        <v>200</v>
      </c>
      <c r="B5" s="302">
        <v>0.1</v>
      </c>
      <c r="C5" s="302">
        <v>0.7</v>
      </c>
      <c r="D5" s="302">
        <v>2</v>
      </c>
      <c r="E5" s="302">
        <f t="shared" ref="E5:E17" si="0">(C5+C5+B5)*D5</f>
        <v>3</v>
      </c>
      <c r="F5" s="302">
        <f t="shared" ref="F5:F17" si="1">0.05*B5*D5</f>
        <v>1.0000000000000002E-2</v>
      </c>
      <c r="G5" s="302">
        <f t="shared" ref="G5:G17" si="2">0.05*B5*D5</f>
        <v>1.0000000000000002E-2</v>
      </c>
      <c r="H5" s="302">
        <f t="shared" ref="H5:H15" si="3">B5*C5*D5</f>
        <v>0.13999999999999999</v>
      </c>
      <c r="I5" s="302">
        <v>0</v>
      </c>
      <c r="J5" s="302"/>
      <c r="K5" s="302"/>
      <c r="L5" s="302"/>
      <c r="M5" s="302"/>
      <c r="N5" s="302"/>
      <c r="O5" s="301"/>
      <c r="P5" s="301"/>
    </row>
    <row r="6" spans="1:16">
      <c r="A6" s="303" t="s">
        <v>218</v>
      </c>
      <c r="B6" s="302">
        <v>0.2</v>
      </c>
      <c r="C6" s="302">
        <v>0.4</v>
      </c>
      <c r="D6" s="302">
        <v>0</v>
      </c>
      <c r="E6" s="302">
        <f t="shared" si="0"/>
        <v>0</v>
      </c>
      <c r="F6" s="302">
        <f t="shared" si="1"/>
        <v>0</v>
      </c>
      <c r="G6" s="302">
        <f t="shared" si="2"/>
        <v>0</v>
      </c>
      <c r="H6" s="302">
        <f t="shared" si="3"/>
        <v>0</v>
      </c>
      <c r="I6" s="302">
        <v>0</v>
      </c>
      <c r="J6" s="302">
        <v>0</v>
      </c>
      <c r="K6" s="302">
        <v>0</v>
      </c>
      <c r="L6" s="302">
        <f>4*D6</f>
        <v>0</v>
      </c>
      <c r="M6" s="302"/>
      <c r="N6" s="302"/>
      <c r="O6" s="301"/>
      <c r="P6" s="301"/>
    </row>
    <row r="7" spans="1:16">
      <c r="A7" s="300" t="s">
        <v>201</v>
      </c>
      <c r="B7" s="302">
        <v>0.25</v>
      </c>
      <c r="C7" s="302">
        <v>0.6</v>
      </c>
      <c r="D7" s="302">
        <v>108</v>
      </c>
      <c r="E7" s="302">
        <f t="shared" si="0"/>
        <v>156.6</v>
      </c>
      <c r="F7" s="302">
        <f t="shared" si="1"/>
        <v>1.35</v>
      </c>
      <c r="G7" s="302">
        <f t="shared" si="2"/>
        <v>1.35</v>
      </c>
      <c r="H7" s="302">
        <f t="shared" si="3"/>
        <v>16.2</v>
      </c>
      <c r="I7" s="302">
        <v>0</v>
      </c>
      <c r="J7" s="302">
        <f>ROUNDDOWN(((D7/0.15)+1*((B7*2))+(C7*2)),0)</f>
        <v>721</v>
      </c>
      <c r="K7" s="302">
        <v>0</v>
      </c>
      <c r="L7" s="302">
        <v>0</v>
      </c>
      <c r="M7" s="302"/>
      <c r="N7" s="302">
        <f>5*D7</f>
        <v>540</v>
      </c>
      <c r="O7" s="301"/>
      <c r="P7" s="301"/>
    </row>
    <row r="8" spans="1:16">
      <c r="A8" s="300" t="s">
        <v>202</v>
      </c>
      <c r="B8" s="302">
        <v>0.25</v>
      </c>
      <c r="C8" s="302">
        <v>0.6</v>
      </c>
      <c r="D8" s="302"/>
      <c r="E8" s="302">
        <f t="shared" si="0"/>
        <v>0</v>
      </c>
      <c r="F8" s="302">
        <f t="shared" si="1"/>
        <v>0</v>
      </c>
      <c r="G8" s="302">
        <f t="shared" si="2"/>
        <v>0</v>
      </c>
      <c r="H8" s="302">
        <f t="shared" si="3"/>
        <v>0</v>
      </c>
      <c r="I8" s="302">
        <v>0</v>
      </c>
      <c r="J8" s="302">
        <f>ROUNDDOWN(((D8/0.15)+1*((B8*2))+(C8*2)),0)</f>
        <v>1</v>
      </c>
      <c r="K8" s="302">
        <v>0</v>
      </c>
      <c r="L8" s="302">
        <v>0</v>
      </c>
      <c r="M8" s="302"/>
      <c r="N8" s="302">
        <f>7*D8</f>
        <v>0</v>
      </c>
      <c r="O8" s="301"/>
      <c r="P8" s="301"/>
    </row>
    <row r="9" spans="1:16">
      <c r="A9" s="300" t="s">
        <v>203</v>
      </c>
      <c r="B9" s="302">
        <v>0.2</v>
      </c>
      <c r="C9" s="302">
        <v>0.4</v>
      </c>
      <c r="D9" s="302">
        <v>45</v>
      </c>
      <c r="E9" s="302">
        <f t="shared" si="0"/>
        <v>45</v>
      </c>
      <c r="F9" s="302">
        <f t="shared" si="1"/>
        <v>0.45000000000000007</v>
      </c>
      <c r="G9" s="302">
        <f t="shared" si="2"/>
        <v>0.45000000000000007</v>
      </c>
      <c r="H9" s="302">
        <f t="shared" si="3"/>
        <v>3.6000000000000005</v>
      </c>
      <c r="I9" s="302">
        <f>ROUNDDOWN(((D9/0.2)+1*((B9*2))+(C9*2)),0)</f>
        <v>226</v>
      </c>
      <c r="J9" s="302">
        <v>0</v>
      </c>
      <c r="K9" s="302">
        <v>0</v>
      </c>
      <c r="L9" s="302">
        <f>5*D9</f>
        <v>225</v>
      </c>
      <c r="M9" s="302"/>
      <c r="N9" s="302"/>
      <c r="O9" s="301"/>
      <c r="P9" s="301"/>
    </row>
    <row r="10" spans="1:16">
      <c r="A10" s="300" t="s">
        <v>204</v>
      </c>
      <c r="B10" s="302">
        <v>0.25</v>
      </c>
      <c r="C10" s="302">
        <v>0.6</v>
      </c>
      <c r="D10" s="302">
        <v>4.5</v>
      </c>
      <c r="E10" s="302">
        <f t="shared" si="0"/>
        <v>6.5249999999999995</v>
      </c>
      <c r="F10" s="302">
        <f t="shared" si="1"/>
        <v>5.6250000000000001E-2</v>
      </c>
      <c r="G10" s="302">
        <f t="shared" si="2"/>
        <v>5.6250000000000001E-2</v>
      </c>
      <c r="H10" s="302">
        <f t="shared" si="3"/>
        <v>0.67499999999999993</v>
      </c>
      <c r="I10" s="302">
        <v>0</v>
      </c>
      <c r="J10" s="302">
        <f>ROUNDDOWN(((D10/0.15)+1*((B10*2))+(C10*2)),0)</f>
        <v>31</v>
      </c>
      <c r="K10" s="302">
        <v>0</v>
      </c>
      <c r="L10" s="302">
        <v>0</v>
      </c>
      <c r="M10" s="302">
        <f>4*D10</f>
        <v>18</v>
      </c>
      <c r="N10" s="302"/>
      <c r="O10" s="301"/>
      <c r="P10" s="301"/>
    </row>
    <row r="11" spans="1:16">
      <c r="A11" s="300" t="s">
        <v>205</v>
      </c>
      <c r="B11" s="302">
        <v>0.25</v>
      </c>
      <c r="C11" s="302">
        <v>0.6</v>
      </c>
      <c r="D11" s="302">
        <v>52.15</v>
      </c>
      <c r="E11" s="302">
        <f t="shared" si="0"/>
        <v>75.617499999999993</v>
      </c>
      <c r="F11" s="302">
        <f t="shared" si="1"/>
        <v>0.65187499999999998</v>
      </c>
      <c r="G11" s="302">
        <f t="shared" si="2"/>
        <v>0.65187499999999998</v>
      </c>
      <c r="H11" s="302">
        <f t="shared" si="3"/>
        <v>7.8224999999999998</v>
      </c>
      <c r="I11" s="302">
        <v>0</v>
      </c>
      <c r="J11" s="302">
        <f>ROUNDDOWN(((D11/0.15)+1*((B11*2))+(C11*2)),0)</f>
        <v>349</v>
      </c>
      <c r="K11" s="302">
        <v>0</v>
      </c>
      <c r="L11" s="302">
        <v>0</v>
      </c>
      <c r="M11" s="302">
        <f>5*D11</f>
        <v>260.75</v>
      </c>
      <c r="N11" s="302"/>
      <c r="O11" s="301"/>
      <c r="P11" s="301"/>
    </row>
    <row r="12" spans="1:16">
      <c r="A12" s="300" t="s">
        <v>206</v>
      </c>
      <c r="B12" s="302">
        <v>0.2</v>
      </c>
      <c r="C12" s="302">
        <v>0.4</v>
      </c>
      <c r="D12" s="302">
        <v>5.8</v>
      </c>
      <c r="E12" s="302">
        <f t="shared" si="0"/>
        <v>5.8</v>
      </c>
      <c r="F12" s="302">
        <f t="shared" si="1"/>
        <v>5.800000000000001E-2</v>
      </c>
      <c r="G12" s="302">
        <f t="shared" si="2"/>
        <v>5.800000000000001E-2</v>
      </c>
      <c r="H12" s="302">
        <f t="shared" si="3"/>
        <v>0.46400000000000008</v>
      </c>
      <c r="I12" s="302">
        <f>ROUNDDOWN(((D12/0.2)+1*((B12*2))+(C12*2)),0)</f>
        <v>30</v>
      </c>
      <c r="J12" s="302">
        <v>0</v>
      </c>
      <c r="K12" s="302">
        <v>0</v>
      </c>
      <c r="L12" s="302">
        <f>6*D12</f>
        <v>34.799999999999997</v>
      </c>
      <c r="M12" s="302"/>
      <c r="N12" s="302"/>
      <c r="O12" s="301"/>
      <c r="P12" s="301"/>
    </row>
    <row r="13" spans="1:16">
      <c r="A13" s="300" t="s">
        <v>207</v>
      </c>
      <c r="B13" s="302">
        <v>0.25</v>
      </c>
      <c r="C13" s="302">
        <v>0.6</v>
      </c>
      <c r="D13" s="302">
        <v>95.5</v>
      </c>
      <c r="E13" s="302">
        <f t="shared" si="0"/>
        <v>138.47499999999999</v>
      </c>
      <c r="F13" s="302">
        <f t="shared" si="1"/>
        <v>1.1937500000000001</v>
      </c>
      <c r="G13" s="302">
        <f t="shared" si="2"/>
        <v>1.1937500000000001</v>
      </c>
      <c r="H13" s="302">
        <f t="shared" si="3"/>
        <v>14.324999999999999</v>
      </c>
      <c r="I13" s="302">
        <v>0</v>
      </c>
      <c r="J13" s="302">
        <f>ROUNDDOWN(((D13/0.25)+1*((B13*2))+(C13*2)),0)</f>
        <v>383</v>
      </c>
      <c r="K13" s="302">
        <v>0</v>
      </c>
      <c r="L13" s="302">
        <v>0</v>
      </c>
      <c r="M13" s="302">
        <f>4*D13</f>
        <v>382</v>
      </c>
      <c r="N13" s="302"/>
      <c r="O13" s="301"/>
      <c r="P13" s="301"/>
    </row>
    <row r="14" spans="1:16">
      <c r="A14" s="300" t="s">
        <v>208</v>
      </c>
      <c r="B14" s="302">
        <v>0.25</v>
      </c>
      <c r="C14" s="302">
        <v>0.6</v>
      </c>
      <c r="D14" s="302">
        <v>31</v>
      </c>
      <c r="E14" s="302">
        <f t="shared" si="0"/>
        <v>44.949999999999996</v>
      </c>
      <c r="F14" s="302">
        <f t="shared" si="1"/>
        <v>0.38750000000000001</v>
      </c>
      <c r="G14" s="302">
        <f t="shared" si="2"/>
        <v>0.38750000000000001</v>
      </c>
      <c r="H14" s="302">
        <f t="shared" si="3"/>
        <v>4.6499999999999995</v>
      </c>
      <c r="I14" s="302">
        <v>0</v>
      </c>
      <c r="J14" s="302">
        <f>ROUNDDOWN(((D14/0.2)+1*((B14*2))+(C14*2)),0)</f>
        <v>156</v>
      </c>
      <c r="K14" s="302">
        <v>0</v>
      </c>
      <c r="L14" s="302">
        <v>0</v>
      </c>
      <c r="M14" s="302"/>
      <c r="N14" s="302">
        <f>4*D14</f>
        <v>124</v>
      </c>
      <c r="O14" s="301"/>
      <c r="P14" s="301"/>
    </row>
    <row r="15" spans="1:16">
      <c r="A15" s="300" t="s">
        <v>209</v>
      </c>
      <c r="B15" s="302">
        <v>0.25</v>
      </c>
      <c r="C15" s="302">
        <v>0.6</v>
      </c>
      <c r="D15" s="302">
        <v>7.8</v>
      </c>
      <c r="E15" s="302">
        <f t="shared" si="0"/>
        <v>11.309999999999999</v>
      </c>
      <c r="F15" s="302">
        <f t="shared" si="1"/>
        <v>9.7500000000000003E-2</v>
      </c>
      <c r="G15" s="302">
        <f t="shared" si="2"/>
        <v>9.7500000000000003E-2</v>
      </c>
      <c r="H15" s="302">
        <f t="shared" si="3"/>
        <v>1.17</v>
      </c>
      <c r="I15" s="302">
        <v>0</v>
      </c>
      <c r="J15" s="302">
        <f>ROUNDDOWN(((D15/0.15)+1*((B15*2))+(C15*2)),0)</f>
        <v>53</v>
      </c>
      <c r="K15" s="302">
        <v>0</v>
      </c>
      <c r="L15" s="302">
        <v>0</v>
      </c>
      <c r="M15" s="302"/>
      <c r="N15" s="302">
        <f>5*D15</f>
        <v>39</v>
      </c>
      <c r="O15" s="301"/>
      <c r="P15" s="305" t="s">
        <v>15</v>
      </c>
    </row>
    <row r="16" spans="1:16">
      <c r="A16" s="303" t="s">
        <v>222</v>
      </c>
      <c r="B16" s="302">
        <v>0.3</v>
      </c>
      <c r="C16" s="302">
        <v>0.3</v>
      </c>
      <c r="D16" s="302">
        <v>3.4</v>
      </c>
      <c r="E16" s="302">
        <f t="shared" si="0"/>
        <v>3.0599999999999996</v>
      </c>
      <c r="F16" s="302">
        <f t="shared" si="1"/>
        <v>5.0999999999999997E-2</v>
      </c>
      <c r="G16" s="302">
        <f t="shared" si="2"/>
        <v>5.0999999999999997E-2</v>
      </c>
      <c r="H16" s="302">
        <f>B16*C16*D16*P16</f>
        <v>6.4260000000000002</v>
      </c>
      <c r="I16" s="302">
        <f>(ROUNDDOWN(((D16/0.2)+1*((B16*2))+(C16*2)),0))*2*P16</f>
        <v>756</v>
      </c>
      <c r="J16" s="302"/>
      <c r="K16" s="302"/>
      <c r="L16" s="302"/>
      <c r="M16" s="302">
        <f>8*D16*P16</f>
        <v>571.19999999999993</v>
      </c>
      <c r="N16" s="302"/>
      <c r="O16" s="301"/>
      <c r="P16">
        <v>21</v>
      </c>
    </row>
    <row r="17" spans="1:16">
      <c r="A17" s="303" t="s">
        <v>223</v>
      </c>
      <c r="B17" s="302">
        <v>0.3</v>
      </c>
      <c r="C17" s="302">
        <v>0.3</v>
      </c>
      <c r="D17" s="302">
        <v>3.4</v>
      </c>
      <c r="E17" s="302">
        <f t="shared" si="0"/>
        <v>3.0599999999999996</v>
      </c>
      <c r="F17" s="302">
        <f t="shared" si="1"/>
        <v>5.0999999999999997E-2</v>
      </c>
      <c r="G17" s="302">
        <f t="shared" si="2"/>
        <v>5.0999999999999997E-2</v>
      </c>
      <c r="H17" s="302">
        <f>B17*C17*D17*P17</f>
        <v>7.9559999999999995</v>
      </c>
      <c r="I17" s="302">
        <f>(ROUNDDOWN(((D17/0.2)+1*((B17*2))+(C17*2)),0))*2*P17</f>
        <v>936</v>
      </c>
      <c r="J17" s="302"/>
      <c r="K17" s="302"/>
      <c r="L17" s="302">
        <f>8*D17*P17</f>
        <v>707.19999999999993</v>
      </c>
      <c r="M17" s="302"/>
      <c r="N17" s="302"/>
      <c r="O17" s="301"/>
      <c r="P17" s="301">
        <v>26</v>
      </c>
    </row>
    <row r="18" spans="1:16">
      <c r="A18" s="303" t="s">
        <v>224</v>
      </c>
      <c r="B18" s="302"/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1"/>
      <c r="P18" s="301">
        <v>4</v>
      </c>
    </row>
    <row r="19" spans="1:16" ht="21.6" thickBot="1">
      <c r="A19" s="303" t="s">
        <v>228</v>
      </c>
      <c r="B19" s="307">
        <v>0.15</v>
      </c>
      <c r="C19" s="306">
        <v>1.7</v>
      </c>
      <c r="D19" s="306">
        <v>3.3</v>
      </c>
      <c r="E19" s="302">
        <f>C19*D19</f>
        <v>5.6099999999999994</v>
      </c>
      <c r="F19" s="306">
        <v>0</v>
      </c>
      <c r="G19" s="306">
        <v>0</v>
      </c>
      <c r="H19" s="306">
        <f>B19*C19*D19</f>
        <v>0.84149999999999991</v>
      </c>
      <c r="I19" s="306">
        <v>0</v>
      </c>
      <c r="J19" s="302">
        <f>ROUNDDOWN(((C19/0.15)+1)*((4)),0)</f>
        <v>49</v>
      </c>
      <c r="K19" s="306"/>
      <c r="L19" s="306"/>
      <c r="M19" s="306"/>
      <c r="N19" s="306"/>
      <c r="O19" s="301"/>
      <c r="P19" s="301"/>
    </row>
    <row r="20" spans="1:16" ht="22.2" thickTop="1" thickBot="1">
      <c r="E20" s="304">
        <f>SUM(E4:E19)</f>
        <v>501.16750000000002</v>
      </c>
      <c r="F20" s="304">
        <f>SUM(F4:F19)</f>
        <v>4.3688750000000001</v>
      </c>
      <c r="G20" s="304">
        <f>SUM(G4:G19)</f>
        <v>4.3688750000000001</v>
      </c>
      <c r="H20" s="304">
        <f>SUM(H4:H19)</f>
        <v>64.366</v>
      </c>
      <c r="I20" s="304">
        <f t="shared" ref="I20:N20" si="4">SUM(I4:I19)</f>
        <v>1948</v>
      </c>
      <c r="J20" s="304">
        <f>SUM(J4:J19)</f>
        <v>1743</v>
      </c>
      <c r="K20" s="304">
        <f t="shared" si="4"/>
        <v>0</v>
      </c>
      <c r="L20" s="304">
        <f t="shared" si="4"/>
        <v>967</v>
      </c>
      <c r="M20" s="304">
        <f t="shared" si="4"/>
        <v>1231.9499999999998</v>
      </c>
      <c r="N20" s="304">
        <f t="shared" si="4"/>
        <v>703</v>
      </c>
    </row>
    <row r="21" spans="1:16" ht="21.6" thickTop="1"/>
  </sheetData>
  <mergeCells count="1">
    <mergeCell ref="A1:O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8"/>
  <sheetViews>
    <sheetView workbookViewId="0">
      <selection activeCell="I5" sqref="I5"/>
    </sheetView>
  </sheetViews>
  <sheetFormatPr defaultRowHeight="21"/>
  <cols>
    <col min="1" max="1" width="9.125" style="300"/>
    <col min="2" max="3" width="9.625" bestFit="1" customWidth="1"/>
    <col min="4" max="4" width="11.625" bestFit="1" customWidth="1"/>
    <col min="5" max="6" width="9.625" bestFit="1" customWidth="1"/>
    <col min="7" max="7" width="11.875" customWidth="1"/>
    <col min="8" max="8" width="10.625" bestFit="1" customWidth="1"/>
  </cols>
  <sheetData>
    <row r="1" spans="1:16">
      <c r="A1" s="797" t="s">
        <v>216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</row>
    <row r="2" spans="1:16">
      <c r="B2" t="s">
        <v>210</v>
      </c>
      <c r="C2" t="s">
        <v>215</v>
      </c>
      <c r="D2" t="s">
        <v>211</v>
      </c>
      <c r="E2" t="s">
        <v>212</v>
      </c>
      <c r="F2" t="s">
        <v>137</v>
      </c>
      <c r="G2" t="s">
        <v>217</v>
      </c>
      <c r="H2" t="s">
        <v>213</v>
      </c>
      <c r="I2" t="s">
        <v>90</v>
      </c>
      <c r="J2" t="s">
        <v>91</v>
      </c>
      <c r="K2" t="s">
        <v>92</v>
      </c>
      <c r="L2" t="s">
        <v>93</v>
      </c>
      <c r="M2" t="s">
        <v>214</v>
      </c>
      <c r="N2" t="s">
        <v>94</v>
      </c>
    </row>
    <row r="3" spans="1:16">
      <c r="A3" s="300" t="s">
        <v>198</v>
      </c>
    </row>
    <row r="4" spans="1:16">
      <c r="A4" s="300" t="s">
        <v>232</v>
      </c>
      <c r="B4" s="302">
        <v>0.2</v>
      </c>
      <c r="C4" s="302">
        <v>0.4</v>
      </c>
      <c r="D4" s="302">
        <v>244</v>
      </c>
      <c r="E4" s="302">
        <f>(C4+C4+B4)*D4</f>
        <v>244</v>
      </c>
      <c r="F4" s="302">
        <v>0</v>
      </c>
      <c r="G4" s="302">
        <v>0</v>
      </c>
      <c r="H4" s="302">
        <f>B4*C4*D4</f>
        <v>19.520000000000003</v>
      </c>
      <c r="I4" s="302">
        <f>ROUNDDOWN(((D4/0.2)+1*((B4*2))+(C4*2)),0)</f>
        <v>1221</v>
      </c>
      <c r="J4" s="302"/>
      <c r="K4" s="302"/>
      <c r="L4" s="302">
        <f>6*D4</f>
        <v>1464</v>
      </c>
      <c r="M4" s="302"/>
      <c r="N4" s="302"/>
      <c r="O4" s="301"/>
      <c r="P4" s="301"/>
    </row>
    <row r="5" spans="1:16">
      <c r="A5" s="300" t="s">
        <v>233</v>
      </c>
      <c r="B5" s="302">
        <v>0.25</v>
      </c>
      <c r="C5" s="302">
        <v>0.6</v>
      </c>
      <c r="D5" s="302">
        <v>48</v>
      </c>
      <c r="E5" s="302">
        <f>(C5+C5+B5)*D5</f>
        <v>69.599999999999994</v>
      </c>
      <c r="F5" s="302">
        <v>0</v>
      </c>
      <c r="G5" s="302">
        <v>0</v>
      </c>
      <c r="H5" s="302">
        <f t="shared" ref="H5" si="0">B5*C5*D5</f>
        <v>7.1999999999999993</v>
      </c>
      <c r="I5" s="302">
        <v>0</v>
      </c>
      <c r="J5" s="302">
        <f>ROUNDDOWN(((D5/0.2)+1*((B5*2))+(C5*2)),0)</f>
        <v>241</v>
      </c>
      <c r="K5" s="302"/>
      <c r="L5" s="302">
        <f>6*D5</f>
        <v>288</v>
      </c>
      <c r="M5" s="302"/>
      <c r="N5" s="302"/>
      <c r="O5" s="301"/>
      <c r="P5" s="301"/>
    </row>
    <row r="6" spans="1:16">
      <c r="A6" s="303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1"/>
      <c r="P6" s="301"/>
    </row>
    <row r="7" spans="1:16"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1"/>
      <c r="P7" s="301"/>
    </row>
    <row r="8" spans="1:16"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1"/>
      <c r="P8" s="301"/>
    </row>
    <row r="9" spans="1:16"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1"/>
      <c r="P9" s="301"/>
    </row>
    <row r="10" spans="1:16"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1"/>
      <c r="P10" s="301"/>
    </row>
    <row r="11" spans="1:16"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1"/>
      <c r="P11" s="301"/>
    </row>
    <row r="12" spans="1:16"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1"/>
      <c r="P12" s="301"/>
    </row>
    <row r="13" spans="1:16"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1"/>
      <c r="P13" s="301"/>
    </row>
    <row r="14" spans="1:16"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1"/>
      <c r="P14" s="301"/>
    </row>
    <row r="15" spans="1:16"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1"/>
      <c r="P15" s="305" t="s">
        <v>15</v>
      </c>
    </row>
    <row r="16" spans="1:16" ht="21.6" thickBot="1">
      <c r="A16" s="303"/>
      <c r="B16" s="306"/>
      <c r="C16" s="306"/>
      <c r="D16" s="306"/>
      <c r="E16" s="306"/>
      <c r="F16" s="306"/>
      <c r="G16" s="306"/>
      <c r="H16" s="306"/>
      <c r="I16" s="306"/>
      <c r="J16" s="302"/>
      <c r="K16" s="306"/>
      <c r="L16" s="306"/>
      <c r="M16" s="306"/>
      <c r="N16" s="306"/>
      <c r="O16" s="301"/>
      <c r="P16" s="301"/>
    </row>
    <row r="17" spans="5:14" ht="22.2" thickTop="1" thickBot="1">
      <c r="E17" s="304">
        <f t="shared" ref="E17:K17" si="1">SUM(E4:E16)</f>
        <v>313.60000000000002</v>
      </c>
      <c r="F17" s="304">
        <f t="shared" si="1"/>
        <v>0</v>
      </c>
      <c r="G17" s="304">
        <f t="shared" si="1"/>
        <v>0</v>
      </c>
      <c r="H17" s="304">
        <f t="shared" si="1"/>
        <v>26.720000000000002</v>
      </c>
      <c r="I17" s="304">
        <f t="shared" si="1"/>
        <v>1221</v>
      </c>
      <c r="J17" s="304">
        <f t="shared" si="1"/>
        <v>241</v>
      </c>
      <c r="K17" s="304">
        <f t="shared" si="1"/>
        <v>0</v>
      </c>
      <c r="L17" s="304">
        <f>SUM(L4:L15)</f>
        <v>1752</v>
      </c>
      <c r="M17" s="304">
        <f>SUM(M4:M15)</f>
        <v>0</v>
      </c>
      <c r="N17" s="304">
        <f>SUM(N4:N15)</f>
        <v>0</v>
      </c>
    </row>
    <row r="18" spans="5:14" ht="21.6" thickTop="1"/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I37"/>
  <sheetViews>
    <sheetView showGridLines="0" view="pageBreakPreview" zoomScaleSheetLayoutView="100" workbookViewId="0">
      <selection activeCell="IX10" sqref="IX10"/>
    </sheetView>
  </sheetViews>
  <sheetFormatPr defaultColWidth="0" defaultRowHeight="19.95" customHeight="1"/>
  <cols>
    <col min="1" max="1" width="8.25" style="73" customWidth="1"/>
    <col min="2" max="2" width="52.375" style="73" customWidth="1"/>
    <col min="3" max="4" width="19" style="73" customWidth="1"/>
    <col min="5" max="5" width="4" style="73" hidden="1" customWidth="1"/>
    <col min="6" max="255" width="0" style="73" hidden="1"/>
    <col min="256" max="256" width="4.375" style="73" customWidth="1"/>
    <col min="257" max="257" width="7.875" style="73" customWidth="1"/>
    <col min="258" max="258" width="45" style="73" customWidth="1"/>
    <col min="259" max="259" width="16.625" style="73" customWidth="1"/>
    <col min="260" max="260" width="17.375" style="73" customWidth="1"/>
    <col min="261" max="261" width="2.375" style="73" customWidth="1"/>
    <col min="262" max="512" width="0" style="73" hidden="1"/>
    <col min="513" max="513" width="7.875" style="73" customWidth="1"/>
    <col min="514" max="514" width="45" style="73" customWidth="1"/>
    <col min="515" max="515" width="16.625" style="73" customWidth="1"/>
    <col min="516" max="516" width="17.375" style="73" customWidth="1"/>
    <col min="517" max="517" width="2.375" style="73" customWidth="1"/>
    <col min="518" max="768" width="0" style="73" hidden="1"/>
    <col min="769" max="769" width="7.875" style="73" customWidth="1"/>
    <col min="770" max="770" width="45" style="73" customWidth="1"/>
    <col min="771" max="771" width="16.625" style="73" customWidth="1"/>
    <col min="772" max="772" width="17.375" style="73" customWidth="1"/>
    <col min="773" max="773" width="2.375" style="73" customWidth="1"/>
    <col min="774" max="1024" width="0" style="73" hidden="1"/>
    <col min="1025" max="1025" width="7.875" style="73" customWidth="1"/>
    <col min="1026" max="1026" width="45" style="73" customWidth="1"/>
    <col min="1027" max="1027" width="16.625" style="73" customWidth="1"/>
    <col min="1028" max="1028" width="17.375" style="73" customWidth="1"/>
    <col min="1029" max="1029" width="2.375" style="73" customWidth="1"/>
    <col min="1030" max="1280" width="0" style="73" hidden="1"/>
    <col min="1281" max="1281" width="7.875" style="73" customWidth="1"/>
    <col min="1282" max="1282" width="45" style="73" customWidth="1"/>
    <col min="1283" max="1283" width="16.625" style="73" customWidth="1"/>
    <col min="1284" max="1284" width="17.375" style="73" customWidth="1"/>
    <col min="1285" max="1285" width="2.375" style="73" customWidth="1"/>
    <col min="1286" max="1536" width="0" style="73" hidden="1"/>
    <col min="1537" max="1537" width="7.875" style="73" customWidth="1"/>
    <col min="1538" max="1538" width="45" style="73" customWidth="1"/>
    <col min="1539" max="1539" width="16.625" style="73" customWidth="1"/>
    <col min="1540" max="1540" width="17.375" style="73" customWidth="1"/>
    <col min="1541" max="1541" width="2.375" style="73" customWidth="1"/>
    <col min="1542" max="1792" width="0" style="73" hidden="1"/>
    <col min="1793" max="1793" width="7.875" style="73" customWidth="1"/>
    <col min="1794" max="1794" width="45" style="73" customWidth="1"/>
    <col min="1795" max="1795" width="16.625" style="73" customWidth="1"/>
    <col min="1796" max="1796" width="17.375" style="73" customWidth="1"/>
    <col min="1797" max="1797" width="2.375" style="73" customWidth="1"/>
    <col min="1798" max="2048" width="0" style="73" hidden="1"/>
    <col min="2049" max="2049" width="7.875" style="73" customWidth="1"/>
    <col min="2050" max="2050" width="45" style="73" customWidth="1"/>
    <col min="2051" max="2051" width="16.625" style="73" customWidth="1"/>
    <col min="2052" max="2052" width="17.375" style="73" customWidth="1"/>
    <col min="2053" max="2053" width="2.375" style="73" customWidth="1"/>
    <col min="2054" max="2304" width="0" style="73" hidden="1"/>
    <col min="2305" max="2305" width="7.875" style="73" customWidth="1"/>
    <col min="2306" max="2306" width="45" style="73" customWidth="1"/>
    <col min="2307" max="2307" width="16.625" style="73" customWidth="1"/>
    <col min="2308" max="2308" width="17.375" style="73" customWidth="1"/>
    <col min="2309" max="2309" width="2.375" style="73" customWidth="1"/>
    <col min="2310" max="2560" width="0" style="73" hidden="1"/>
    <col min="2561" max="2561" width="7.875" style="73" customWidth="1"/>
    <col min="2562" max="2562" width="45" style="73" customWidth="1"/>
    <col min="2563" max="2563" width="16.625" style="73" customWidth="1"/>
    <col min="2564" max="2564" width="17.375" style="73" customWidth="1"/>
    <col min="2565" max="2565" width="2.375" style="73" customWidth="1"/>
    <col min="2566" max="2816" width="0" style="73" hidden="1"/>
    <col min="2817" max="2817" width="7.875" style="73" customWidth="1"/>
    <col min="2818" max="2818" width="45" style="73" customWidth="1"/>
    <col min="2819" max="2819" width="16.625" style="73" customWidth="1"/>
    <col min="2820" max="2820" width="17.375" style="73" customWidth="1"/>
    <col min="2821" max="2821" width="2.375" style="73" customWidth="1"/>
    <col min="2822" max="3072" width="0" style="73" hidden="1"/>
    <col min="3073" max="3073" width="7.875" style="73" customWidth="1"/>
    <col min="3074" max="3074" width="45" style="73" customWidth="1"/>
    <col min="3075" max="3075" width="16.625" style="73" customWidth="1"/>
    <col min="3076" max="3076" width="17.375" style="73" customWidth="1"/>
    <col min="3077" max="3077" width="2.375" style="73" customWidth="1"/>
    <col min="3078" max="3328" width="0" style="73" hidden="1"/>
    <col min="3329" max="3329" width="7.875" style="73" customWidth="1"/>
    <col min="3330" max="3330" width="45" style="73" customWidth="1"/>
    <col min="3331" max="3331" width="16.625" style="73" customWidth="1"/>
    <col min="3332" max="3332" width="17.375" style="73" customWidth="1"/>
    <col min="3333" max="3333" width="2.375" style="73" customWidth="1"/>
    <col min="3334" max="3584" width="0" style="73" hidden="1"/>
    <col min="3585" max="3585" width="7.875" style="73" customWidth="1"/>
    <col min="3586" max="3586" width="45" style="73" customWidth="1"/>
    <col min="3587" max="3587" width="16.625" style="73" customWidth="1"/>
    <col min="3588" max="3588" width="17.375" style="73" customWidth="1"/>
    <col min="3589" max="3589" width="2.375" style="73" customWidth="1"/>
    <col min="3590" max="3840" width="0" style="73" hidden="1"/>
    <col min="3841" max="3841" width="7.875" style="73" customWidth="1"/>
    <col min="3842" max="3842" width="45" style="73" customWidth="1"/>
    <col min="3843" max="3843" width="16.625" style="73" customWidth="1"/>
    <col min="3844" max="3844" width="17.375" style="73" customWidth="1"/>
    <col min="3845" max="3845" width="2.375" style="73" customWidth="1"/>
    <col min="3846" max="4096" width="0" style="73" hidden="1"/>
    <col min="4097" max="4097" width="7.875" style="73" customWidth="1"/>
    <col min="4098" max="4098" width="45" style="73" customWidth="1"/>
    <col min="4099" max="4099" width="16.625" style="73" customWidth="1"/>
    <col min="4100" max="4100" width="17.375" style="73" customWidth="1"/>
    <col min="4101" max="4101" width="2.375" style="73" customWidth="1"/>
    <col min="4102" max="4352" width="0" style="73" hidden="1"/>
    <col min="4353" max="4353" width="7.875" style="73" customWidth="1"/>
    <col min="4354" max="4354" width="45" style="73" customWidth="1"/>
    <col min="4355" max="4355" width="16.625" style="73" customWidth="1"/>
    <col min="4356" max="4356" width="17.375" style="73" customWidth="1"/>
    <col min="4357" max="4357" width="2.375" style="73" customWidth="1"/>
    <col min="4358" max="4608" width="0" style="73" hidden="1"/>
    <col min="4609" max="4609" width="7.875" style="73" customWidth="1"/>
    <col min="4610" max="4610" width="45" style="73" customWidth="1"/>
    <col min="4611" max="4611" width="16.625" style="73" customWidth="1"/>
    <col min="4612" max="4612" width="17.375" style="73" customWidth="1"/>
    <col min="4613" max="4613" width="2.375" style="73" customWidth="1"/>
    <col min="4614" max="4864" width="0" style="73" hidden="1"/>
    <col min="4865" max="4865" width="7.875" style="73" customWidth="1"/>
    <col min="4866" max="4866" width="45" style="73" customWidth="1"/>
    <col min="4867" max="4867" width="16.625" style="73" customWidth="1"/>
    <col min="4868" max="4868" width="17.375" style="73" customWidth="1"/>
    <col min="4869" max="4869" width="2.375" style="73" customWidth="1"/>
    <col min="4870" max="5120" width="0" style="73" hidden="1"/>
    <col min="5121" max="5121" width="7.875" style="73" customWidth="1"/>
    <col min="5122" max="5122" width="45" style="73" customWidth="1"/>
    <col min="5123" max="5123" width="16.625" style="73" customWidth="1"/>
    <col min="5124" max="5124" width="17.375" style="73" customWidth="1"/>
    <col min="5125" max="5125" width="2.375" style="73" customWidth="1"/>
    <col min="5126" max="5376" width="0" style="73" hidden="1"/>
    <col min="5377" max="5377" width="7.875" style="73" customWidth="1"/>
    <col min="5378" max="5378" width="45" style="73" customWidth="1"/>
    <col min="5379" max="5379" width="16.625" style="73" customWidth="1"/>
    <col min="5380" max="5380" width="17.375" style="73" customWidth="1"/>
    <col min="5381" max="5381" width="2.375" style="73" customWidth="1"/>
    <col min="5382" max="5632" width="0" style="73" hidden="1"/>
    <col min="5633" max="5633" width="7.875" style="73" customWidth="1"/>
    <col min="5634" max="5634" width="45" style="73" customWidth="1"/>
    <col min="5635" max="5635" width="16.625" style="73" customWidth="1"/>
    <col min="5636" max="5636" width="17.375" style="73" customWidth="1"/>
    <col min="5637" max="5637" width="2.375" style="73" customWidth="1"/>
    <col min="5638" max="5888" width="0" style="73" hidden="1"/>
    <col min="5889" max="5889" width="7.875" style="73" customWidth="1"/>
    <col min="5890" max="5890" width="45" style="73" customWidth="1"/>
    <col min="5891" max="5891" width="16.625" style="73" customWidth="1"/>
    <col min="5892" max="5892" width="17.375" style="73" customWidth="1"/>
    <col min="5893" max="5893" width="2.375" style="73" customWidth="1"/>
    <col min="5894" max="6144" width="0" style="73" hidden="1"/>
    <col min="6145" max="6145" width="7.875" style="73" customWidth="1"/>
    <col min="6146" max="6146" width="45" style="73" customWidth="1"/>
    <col min="6147" max="6147" width="16.625" style="73" customWidth="1"/>
    <col min="6148" max="6148" width="17.375" style="73" customWidth="1"/>
    <col min="6149" max="6149" width="2.375" style="73" customWidth="1"/>
    <col min="6150" max="6400" width="0" style="73" hidden="1"/>
    <col min="6401" max="6401" width="7.875" style="73" customWidth="1"/>
    <col min="6402" max="6402" width="45" style="73" customWidth="1"/>
    <col min="6403" max="6403" width="16.625" style="73" customWidth="1"/>
    <col min="6404" max="6404" width="17.375" style="73" customWidth="1"/>
    <col min="6405" max="6405" width="2.375" style="73" customWidth="1"/>
    <col min="6406" max="6656" width="0" style="73" hidden="1"/>
    <col min="6657" max="6657" width="7.875" style="73" customWidth="1"/>
    <col min="6658" max="6658" width="45" style="73" customWidth="1"/>
    <col min="6659" max="6659" width="16.625" style="73" customWidth="1"/>
    <col min="6660" max="6660" width="17.375" style="73" customWidth="1"/>
    <col min="6661" max="6661" width="2.375" style="73" customWidth="1"/>
    <col min="6662" max="6912" width="0" style="73" hidden="1"/>
    <col min="6913" max="6913" width="7.875" style="73" customWidth="1"/>
    <col min="6914" max="6914" width="45" style="73" customWidth="1"/>
    <col min="6915" max="6915" width="16.625" style="73" customWidth="1"/>
    <col min="6916" max="6916" width="17.375" style="73" customWidth="1"/>
    <col min="6917" max="6917" width="2.375" style="73" customWidth="1"/>
    <col min="6918" max="7168" width="0" style="73" hidden="1"/>
    <col min="7169" max="7169" width="7.875" style="73" customWidth="1"/>
    <col min="7170" max="7170" width="45" style="73" customWidth="1"/>
    <col min="7171" max="7171" width="16.625" style="73" customWidth="1"/>
    <col min="7172" max="7172" width="17.375" style="73" customWidth="1"/>
    <col min="7173" max="7173" width="2.375" style="73" customWidth="1"/>
    <col min="7174" max="7424" width="0" style="73" hidden="1"/>
    <col min="7425" max="7425" width="7.875" style="73" customWidth="1"/>
    <col min="7426" max="7426" width="45" style="73" customWidth="1"/>
    <col min="7427" max="7427" width="16.625" style="73" customWidth="1"/>
    <col min="7428" max="7428" width="17.375" style="73" customWidth="1"/>
    <col min="7429" max="7429" width="2.375" style="73" customWidth="1"/>
    <col min="7430" max="7680" width="0" style="73" hidden="1"/>
    <col min="7681" max="7681" width="7.875" style="73" customWidth="1"/>
    <col min="7682" max="7682" width="45" style="73" customWidth="1"/>
    <col min="7683" max="7683" width="16.625" style="73" customWidth="1"/>
    <col min="7684" max="7684" width="17.375" style="73" customWidth="1"/>
    <col min="7685" max="7685" width="2.375" style="73" customWidth="1"/>
    <col min="7686" max="7936" width="0" style="73" hidden="1"/>
    <col min="7937" max="7937" width="7.875" style="73" customWidth="1"/>
    <col min="7938" max="7938" width="45" style="73" customWidth="1"/>
    <col min="7939" max="7939" width="16.625" style="73" customWidth="1"/>
    <col min="7940" max="7940" width="17.375" style="73" customWidth="1"/>
    <col min="7941" max="7941" width="2.375" style="73" customWidth="1"/>
    <col min="7942" max="8192" width="0" style="73" hidden="1"/>
    <col min="8193" max="8193" width="7.875" style="73" customWidth="1"/>
    <col min="8194" max="8194" width="45" style="73" customWidth="1"/>
    <col min="8195" max="8195" width="16.625" style="73" customWidth="1"/>
    <col min="8196" max="8196" width="17.375" style="73" customWidth="1"/>
    <col min="8197" max="8197" width="2.375" style="73" customWidth="1"/>
    <col min="8198" max="8448" width="0" style="73" hidden="1"/>
    <col min="8449" max="8449" width="7.875" style="73" customWidth="1"/>
    <col min="8450" max="8450" width="45" style="73" customWidth="1"/>
    <col min="8451" max="8451" width="16.625" style="73" customWidth="1"/>
    <col min="8452" max="8452" width="17.375" style="73" customWidth="1"/>
    <col min="8453" max="8453" width="2.375" style="73" customWidth="1"/>
    <col min="8454" max="8704" width="0" style="73" hidden="1"/>
    <col min="8705" max="8705" width="7.875" style="73" customWidth="1"/>
    <col min="8706" max="8706" width="45" style="73" customWidth="1"/>
    <col min="8707" max="8707" width="16.625" style="73" customWidth="1"/>
    <col min="8708" max="8708" width="17.375" style="73" customWidth="1"/>
    <col min="8709" max="8709" width="2.375" style="73" customWidth="1"/>
    <col min="8710" max="8960" width="0" style="73" hidden="1"/>
    <col min="8961" max="8961" width="7.875" style="73" customWidth="1"/>
    <col min="8962" max="8962" width="45" style="73" customWidth="1"/>
    <col min="8963" max="8963" width="16.625" style="73" customWidth="1"/>
    <col min="8964" max="8964" width="17.375" style="73" customWidth="1"/>
    <col min="8965" max="8965" width="2.375" style="73" customWidth="1"/>
    <col min="8966" max="9216" width="0" style="73" hidden="1"/>
    <col min="9217" max="9217" width="7.875" style="73" customWidth="1"/>
    <col min="9218" max="9218" width="45" style="73" customWidth="1"/>
    <col min="9219" max="9219" width="16.625" style="73" customWidth="1"/>
    <col min="9220" max="9220" width="17.375" style="73" customWidth="1"/>
    <col min="9221" max="9221" width="2.375" style="73" customWidth="1"/>
    <col min="9222" max="9472" width="0" style="73" hidden="1"/>
    <col min="9473" max="9473" width="7.875" style="73" customWidth="1"/>
    <col min="9474" max="9474" width="45" style="73" customWidth="1"/>
    <col min="9475" max="9475" width="16.625" style="73" customWidth="1"/>
    <col min="9476" max="9476" width="17.375" style="73" customWidth="1"/>
    <col min="9477" max="9477" width="2.375" style="73" customWidth="1"/>
    <col min="9478" max="9728" width="0" style="73" hidden="1"/>
    <col min="9729" max="9729" width="7.875" style="73" customWidth="1"/>
    <col min="9730" max="9730" width="45" style="73" customWidth="1"/>
    <col min="9731" max="9731" width="16.625" style="73" customWidth="1"/>
    <col min="9732" max="9732" width="17.375" style="73" customWidth="1"/>
    <col min="9733" max="9733" width="2.375" style="73" customWidth="1"/>
    <col min="9734" max="9984" width="0" style="73" hidden="1"/>
    <col min="9985" max="9985" width="7.875" style="73" customWidth="1"/>
    <col min="9986" max="9986" width="45" style="73" customWidth="1"/>
    <col min="9987" max="9987" width="16.625" style="73" customWidth="1"/>
    <col min="9988" max="9988" width="17.375" style="73" customWidth="1"/>
    <col min="9989" max="9989" width="2.375" style="73" customWidth="1"/>
    <col min="9990" max="10240" width="0" style="73" hidden="1"/>
    <col min="10241" max="10241" width="7.875" style="73" customWidth="1"/>
    <col min="10242" max="10242" width="45" style="73" customWidth="1"/>
    <col min="10243" max="10243" width="16.625" style="73" customWidth="1"/>
    <col min="10244" max="10244" width="17.375" style="73" customWidth="1"/>
    <col min="10245" max="10245" width="2.375" style="73" customWidth="1"/>
    <col min="10246" max="10496" width="0" style="73" hidden="1"/>
    <col min="10497" max="10497" width="7.875" style="73" customWidth="1"/>
    <col min="10498" max="10498" width="45" style="73" customWidth="1"/>
    <col min="10499" max="10499" width="16.625" style="73" customWidth="1"/>
    <col min="10500" max="10500" width="17.375" style="73" customWidth="1"/>
    <col min="10501" max="10501" width="2.375" style="73" customWidth="1"/>
    <col min="10502" max="10752" width="0" style="73" hidden="1"/>
    <col min="10753" max="10753" width="7.875" style="73" customWidth="1"/>
    <col min="10754" max="10754" width="45" style="73" customWidth="1"/>
    <col min="10755" max="10755" width="16.625" style="73" customWidth="1"/>
    <col min="10756" max="10756" width="17.375" style="73" customWidth="1"/>
    <col min="10757" max="10757" width="2.375" style="73" customWidth="1"/>
    <col min="10758" max="11008" width="0" style="73" hidden="1"/>
    <col min="11009" max="11009" width="7.875" style="73" customWidth="1"/>
    <col min="11010" max="11010" width="45" style="73" customWidth="1"/>
    <col min="11011" max="11011" width="16.625" style="73" customWidth="1"/>
    <col min="11012" max="11012" width="17.375" style="73" customWidth="1"/>
    <col min="11013" max="11013" width="2.375" style="73" customWidth="1"/>
    <col min="11014" max="11264" width="0" style="73" hidden="1"/>
    <col min="11265" max="11265" width="7.875" style="73" customWidth="1"/>
    <col min="11266" max="11266" width="45" style="73" customWidth="1"/>
    <col min="11267" max="11267" width="16.625" style="73" customWidth="1"/>
    <col min="11268" max="11268" width="17.375" style="73" customWidth="1"/>
    <col min="11269" max="11269" width="2.375" style="73" customWidth="1"/>
    <col min="11270" max="11520" width="0" style="73" hidden="1"/>
    <col min="11521" max="11521" width="7.875" style="73" customWidth="1"/>
    <col min="11522" max="11522" width="45" style="73" customWidth="1"/>
    <col min="11523" max="11523" width="16.625" style="73" customWidth="1"/>
    <col min="11524" max="11524" width="17.375" style="73" customWidth="1"/>
    <col min="11525" max="11525" width="2.375" style="73" customWidth="1"/>
    <col min="11526" max="11776" width="0" style="73" hidden="1"/>
    <col min="11777" max="11777" width="7.875" style="73" customWidth="1"/>
    <col min="11778" max="11778" width="45" style="73" customWidth="1"/>
    <col min="11779" max="11779" width="16.625" style="73" customWidth="1"/>
    <col min="11780" max="11780" width="17.375" style="73" customWidth="1"/>
    <col min="11781" max="11781" width="2.375" style="73" customWidth="1"/>
    <col min="11782" max="12032" width="0" style="73" hidden="1"/>
    <col min="12033" max="12033" width="7.875" style="73" customWidth="1"/>
    <col min="12034" max="12034" width="45" style="73" customWidth="1"/>
    <col min="12035" max="12035" width="16.625" style="73" customWidth="1"/>
    <col min="12036" max="12036" width="17.375" style="73" customWidth="1"/>
    <col min="12037" max="12037" width="2.375" style="73" customWidth="1"/>
    <col min="12038" max="12288" width="0" style="73" hidden="1"/>
    <col min="12289" max="12289" width="7.875" style="73" customWidth="1"/>
    <col min="12290" max="12290" width="45" style="73" customWidth="1"/>
    <col min="12291" max="12291" width="16.625" style="73" customWidth="1"/>
    <col min="12292" max="12292" width="17.375" style="73" customWidth="1"/>
    <col min="12293" max="12293" width="2.375" style="73" customWidth="1"/>
    <col min="12294" max="12544" width="0" style="73" hidden="1"/>
    <col min="12545" max="12545" width="7.875" style="73" customWidth="1"/>
    <col min="12546" max="12546" width="45" style="73" customWidth="1"/>
    <col min="12547" max="12547" width="16.625" style="73" customWidth="1"/>
    <col min="12548" max="12548" width="17.375" style="73" customWidth="1"/>
    <col min="12549" max="12549" width="2.375" style="73" customWidth="1"/>
    <col min="12550" max="12800" width="0" style="73" hidden="1"/>
    <col min="12801" max="12801" width="7.875" style="73" customWidth="1"/>
    <col min="12802" max="12802" width="45" style="73" customWidth="1"/>
    <col min="12803" max="12803" width="16.625" style="73" customWidth="1"/>
    <col min="12804" max="12804" width="17.375" style="73" customWidth="1"/>
    <col min="12805" max="12805" width="2.375" style="73" customWidth="1"/>
    <col min="12806" max="13056" width="0" style="73" hidden="1"/>
    <col min="13057" max="13057" width="7.875" style="73" customWidth="1"/>
    <col min="13058" max="13058" width="45" style="73" customWidth="1"/>
    <col min="13059" max="13059" width="16.625" style="73" customWidth="1"/>
    <col min="13060" max="13060" width="17.375" style="73" customWidth="1"/>
    <col min="13061" max="13061" width="2.375" style="73" customWidth="1"/>
    <col min="13062" max="13312" width="0" style="73" hidden="1"/>
    <col min="13313" max="13313" width="7.875" style="73" customWidth="1"/>
    <col min="13314" max="13314" width="45" style="73" customWidth="1"/>
    <col min="13315" max="13315" width="16.625" style="73" customWidth="1"/>
    <col min="13316" max="13316" width="17.375" style="73" customWidth="1"/>
    <col min="13317" max="13317" width="2.375" style="73" customWidth="1"/>
    <col min="13318" max="13568" width="0" style="73" hidden="1"/>
    <col min="13569" max="13569" width="7.875" style="73" customWidth="1"/>
    <col min="13570" max="13570" width="45" style="73" customWidth="1"/>
    <col min="13571" max="13571" width="16.625" style="73" customWidth="1"/>
    <col min="13572" max="13572" width="17.375" style="73" customWidth="1"/>
    <col min="13573" max="13573" width="2.375" style="73" customWidth="1"/>
    <col min="13574" max="13824" width="0" style="73" hidden="1"/>
    <col min="13825" max="13825" width="7.875" style="73" customWidth="1"/>
    <col min="13826" max="13826" width="45" style="73" customWidth="1"/>
    <col min="13827" max="13827" width="16.625" style="73" customWidth="1"/>
    <col min="13828" max="13828" width="17.375" style="73" customWidth="1"/>
    <col min="13829" max="13829" width="2.375" style="73" customWidth="1"/>
    <col min="13830" max="14080" width="0" style="73" hidden="1"/>
    <col min="14081" max="14081" width="7.875" style="73" customWidth="1"/>
    <col min="14082" max="14082" width="45" style="73" customWidth="1"/>
    <col min="14083" max="14083" width="16.625" style="73" customWidth="1"/>
    <col min="14084" max="14084" width="17.375" style="73" customWidth="1"/>
    <col min="14085" max="14085" width="2.375" style="73" customWidth="1"/>
    <col min="14086" max="14336" width="0" style="73" hidden="1"/>
    <col min="14337" max="14337" width="7.875" style="73" customWidth="1"/>
    <col min="14338" max="14338" width="45" style="73" customWidth="1"/>
    <col min="14339" max="14339" width="16.625" style="73" customWidth="1"/>
    <col min="14340" max="14340" width="17.375" style="73" customWidth="1"/>
    <col min="14341" max="14341" width="2.375" style="73" customWidth="1"/>
    <col min="14342" max="14592" width="0" style="73" hidden="1"/>
    <col min="14593" max="14593" width="7.875" style="73" customWidth="1"/>
    <col min="14594" max="14594" width="45" style="73" customWidth="1"/>
    <col min="14595" max="14595" width="16.625" style="73" customWidth="1"/>
    <col min="14596" max="14596" width="17.375" style="73" customWidth="1"/>
    <col min="14597" max="14597" width="2.375" style="73" customWidth="1"/>
    <col min="14598" max="14848" width="0" style="73" hidden="1"/>
    <col min="14849" max="14849" width="7.875" style="73" customWidth="1"/>
    <col min="14850" max="14850" width="45" style="73" customWidth="1"/>
    <col min="14851" max="14851" width="16.625" style="73" customWidth="1"/>
    <col min="14852" max="14852" width="17.375" style="73" customWidth="1"/>
    <col min="14853" max="14853" width="2.375" style="73" customWidth="1"/>
    <col min="14854" max="15104" width="0" style="73" hidden="1"/>
    <col min="15105" max="15105" width="7.875" style="73" customWidth="1"/>
    <col min="15106" max="15106" width="45" style="73" customWidth="1"/>
    <col min="15107" max="15107" width="16.625" style="73" customWidth="1"/>
    <col min="15108" max="15108" width="17.375" style="73" customWidth="1"/>
    <col min="15109" max="15109" width="2.375" style="73" customWidth="1"/>
    <col min="15110" max="15360" width="0" style="73" hidden="1"/>
    <col min="15361" max="15361" width="7.875" style="73" customWidth="1"/>
    <col min="15362" max="15362" width="45" style="73" customWidth="1"/>
    <col min="15363" max="15363" width="16.625" style="73" customWidth="1"/>
    <col min="15364" max="15364" width="17.375" style="73" customWidth="1"/>
    <col min="15365" max="15365" width="2.375" style="73" customWidth="1"/>
    <col min="15366" max="15616" width="0" style="73" hidden="1"/>
    <col min="15617" max="15617" width="7.875" style="73" customWidth="1"/>
    <col min="15618" max="15618" width="45" style="73" customWidth="1"/>
    <col min="15619" max="15619" width="16.625" style="73" customWidth="1"/>
    <col min="15620" max="15620" width="17.375" style="73" customWidth="1"/>
    <col min="15621" max="15621" width="2.375" style="73" customWidth="1"/>
    <col min="15622" max="15872" width="0" style="73" hidden="1"/>
    <col min="15873" max="15873" width="7.875" style="73" customWidth="1"/>
    <col min="15874" max="15874" width="45" style="73" customWidth="1"/>
    <col min="15875" max="15875" width="16.625" style="73" customWidth="1"/>
    <col min="15876" max="15876" width="17.375" style="73" customWidth="1"/>
    <col min="15877" max="15877" width="2.375" style="73" customWidth="1"/>
    <col min="15878" max="16128" width="0" style="73" hidden="1"/>
    <col min="16129" max="16129" width="7.875" style="73" customWidth="1"/>
    <col min="16130" max="16130" width="45" style="73" customWidth="1"/>
    <col min="16131" max="16131" width="16.625" style="73" customWidth="1"/>
    <col min="16132" max="16132" width="17.375" style="73" customWidth="1"/>
    <col min="16133" max="16133" width="2.375" style="73" customWidth="1"/>
    <col min="16134" max="16384" width="0" style="73" hidden="1"/>
  </cols>
  <sheetData>
    <row r="1" spans="1:6" ht="19.95" customHeight="1">
      <c r="A1" s="742" t="s">
        <v>620</v>
      </c>
      <c r="B1" s="742"/>
      <c r="C1" s="742"/>
      <c r="D1" s="742"/>
      <c r="E1" s="742"/>
    </row>
    <row r="2" spans="1:6" ht="19.95" customHeight="1">
      <c r="A2" s="612" t="s">
        <v>621</v>
      </c>
      <c r="B2" s="612"/>
      <c r="C2" s="612"/>
      <c r="D2" s="612"/>
      <c r="E2" s="613"/>
      <c r="F2" s="293"/>
    </row>
    <row r="3" spans="1:6" ht="19.95" customHeight="1">
      <c r="A3" s="614" t="s">
        <v>618</v>
      </c>
      <c r="B3" s="613"/>
      <c r="C3" s="613"/>
      <c r="D3" s="613"/>
      <c r="E3" s="613"/>
      <c r="F3" s="293"/>
    </row>
    <row r="4" spans="1:6" ht="19.95" customHeight="1">
      <c r="A4" s="614" t="s">
        <v>619</v>
      </c>
      <c r="B4" s="613"/>
      <c r="C4" s="613"/>
      <c r="D4" s="613"/>
      <c r="E4" s="613"/>
      <c r="F4" s="293"/>
    </row>
    <row r="5" spans="1:6" ht="19.95" customHeight="1">
      <c r="A5" s="614" t="s">
        <v>616</v>
      </c>
      <c r="B5" s="613"/>
      <c r="C5" s="613"/>
      <c r="D5" s="613"/>
      <c r="E5" s="613"/>
      <c r="F5" s="293"/>
    </row>
    <row r="6" spans="1:6" ht="19.95" customHeight="1" thickBot="1">
      <c r="A6" s="617" t="s">
        <v>617</v>
      </c>
      <c r="B6" s="617"/>
      <c r="C6" s="617"/>
      <c r="D6" s="617"/>
      <c r="E6" s="618"/>
    </row>
    <row r="7" spans="1:6" ht="19.95" customHeight="1" thickTop="1">
      <c r="A7" s="743" t="s">
        <v>6</v>
      </c>
      <c r="B7" s="743" t="s">
        <v>0</v>
      </c>
      <c r="C7" s="82" t="s">
        <v>112</v>
      </c>
      <c r="D7" s="743" t="s">
        <v>4</v>
      </c>
    </row>
    <row r="8" spans="1:6" ht="19.95" customHeight="1">
      <c r="A8" s="744"/>
      <c r="B8" s="744"/>
      <c r="C8" s="83" t="s">
        <v>113</v>
      </c>
      <c r="D8" s="744"/>
    </row>
    <row r="9" spans="1:6" ht="19.95" customHeight="1">
      <c r="A9" s="408">
        <v>1</v>
      </c>
      <c r="B9" s="409" t="s">
        <v>605</v>
      </c>
      <c r="C9" s="592">
        <f>SUM(ปร.5!E17)</f>
        <v>1305987.8485000001</v>
      </c>
      <c r="D9" s="427"/>
    </row>
    <row r="10" spans="1:6" ht="19.95" customHeight="1">
      <c r="A10" s="428"/>
      <c r="B10" s="429"/>
      <c r="C10" s="593"/>
      <c r="D10" s="428"/>
    </row>
    <row r="11" spans="1:6" ht="19.95" customHeight="1">
      <c r="A11" s="428"/>
      <c r="B11" s="429"/>
      <c r="C11" s="593"/>
      <c r="D11" s="428"/>
    </row>
    <row r="12" spans="1:6" ht="19.95" customHeight="1">
      <c r="A12" s="428"/>
      <c r="B12" s="429"/>
      <c r="C12" s="593"/>
      <c r="D12" s="428"/>
    </row>
    <row r="13" spans="1:6" ht="19.95" customHeight="1">
      <c r="A13" s="428"/>
      <c r="B13" s="428"/>
      <c r="C13" s="593"/>
      <c r="D13" s="428"/>
    </row>
    <row r="14" spans="1:6" ht="19.95" customHeight="1">
      <c r="A14" s="428"/>
      <c r="B14" s="430"/>
      <c r="C14" s="593"/>
      <c r="D14" s="428"/>
    </row>
    <row r="15" spans="1:6" ht="19.95" customHeight="1">
      <c r="A15" s="431"/>
      <c r="B15" s="432"/>
      <c r="C15" s="594"/>
      <c r="D15" s="431"/>
    </row>
    <row r="16" spans="1:6" ht="19.95" customHeight="1" thickBot="1">
      <c r="A16" s="745" t="s">
        <v>119</v>
      </c>
      <c r="B16" s="433"/>
      <c r="C16" s="595">
        <f>SUM(C9:C15)</f>
        <v>1305987.8485000001</v>
      </c>
      <c r="D16" s="294"/>
    </row>
    <row r="17" spans="1:9" ht="19.95" customHeight="1" thickTop="1">
      <c r="A17" s="746"/>
      <c r="B17" s="434" t="s">
        <v>445</v>
      </c>
      <c r="C17" s="435" t="s">
        <v>114</v>
      </c>
      <c r="D17" s="436"/>
    </row>
    <row r="18" spans="1:9" ht="19.95" customHeight="1">
      <c r="A18" s="86"/>
      <c r="B18" s="86"/>
      <c r="C18" s="86"/>
      <c r="D18" s="86"/>
    </row>
    <row r="19" spans="1:9" s="622" customFormat="1" ht="20.100000000000001" customHeight="1">
      <c r="A19" s="619" t="s">
        <v>626</v>
      </c>
      <c r="B19" s="619"/>
      <c r="C19" s="619"/>
      <c r="D19" s="619"/>
      <c r="E19" s="619"/>
      <c r="F19" s="619"/>
      <c r="G19" s="619"/>
      <c r="H19" s="620"/>
      <c r="I19" s="621"/>
    </row>
    <row r="20" spans="1:9" ht="19.95" customHeight="1">
      <c r="A20" s="449"/>
      <c r="B20" s="315"/>
      <c r="C20" s="449"/>
      <c r="D20" s="449"/>
      <c r="E20" s="449"/>
      <c r="F20" s="449"/>
      <c r="G20" s="449"/>
    </row>
    <row r="21" spans="1:9" ht="19.95" customHeight="1">
      <c r="A21" s="450"/>
      <c r="B21" s="315"/>
      <c r="C21" s="449"/>
      <c r="D21" s="449"/>
      <c r="E21" s="449"/>
      <c r="F21" s="449"/>
      <c r="G21" s="450"/>
    </row>
    <row r="22" spans="1:9" ht="19.95" customHeight="1">
      <c r="A22" s="741" t="s">
        <v>630</v>
      </c>
      <c r="B22" s="741"/>
      <c r="C22" s="741"/>
      <c r="D22" s="741"/>
      <c r="E22" s="741"/>
      <c r="F22" s="741"/>
      <c r="G22" s="741"/>
    </row>
    <row r="23" spans="1:9" ht="19.95" customHeight="1">
      <c r="A23" s="741" t="s">
        <v>613</v>
      </c>
      <c r="B23" s="741"/>
      <c r="C23" s="741"/>
      <c r="D23" s="741"/>
      <c r="E23" s="741"/>
      <c r="F23" s="741"/>
      <c r="G23" s="741"/>
    </row>
    <row r="24" spans="1:9" ht="19.95" customHeight="1">
      <c r="A24" s="741" t="s">
        <v>611</v>
      </c>
      <c r="B24" s="741"/>
      <c r="C24" s="741"/>
      <c r="D24" s="741"/>
      <c r="E24" s="741"/>
      <c r="F24" s="741"/>
      <c r="G24" s="741"/>
    </row>
    <row r="25" spans="1:9" ht="19.95" customHeight="1">
      <c r="A25" s="437"/>
      <c r="B25" s="437"/>
      <c r="C25" s="437"/>
      <c r="D25" s="437"/>
      <c r="E25" s="437"/>
      <c r="F25" s="437"/>
      <c r="G25" s="437"/>
    </row>
    <row r="26" spans="1:9" ht="19.95" customHeight="1">
      <c r="A26" s="741" t="s">
        <v>631</v>
      </c>
      <c r="B26" s="741"/>
      <c r="C26" s="741"/>
      <c r="D26" s="741"/>
      <c r="E26" s="741"/>
      <c r="F26" s="741"/>
      <c r="G26" s="741"/>
    </row>
    <row r="27" spans="1:9" ht="19.95" customHeight="1">
      <c r="A27" s="741" t="s">
        <v>614</v>
      </c>
      <c r="B27" s="741"/>
      <c r="C27" s="741"/>
      <c r="D27" s="741"/>
      <c r="E27" s="741"/>
      <c r="F27" s="741"/>
      <c r="G27" s="741"/>
    </row>
    <row r="28" spans="1:9" ht="19.95" customHeight="1">
      <c r="A28" s="741" t="s">
        <v>615</v>
      </c>
      <c r="B28" s="741"/>
      <c r="C28" s="741"/>
      <c r="D28" s="741"/>
      <c r="E28" s="741"/>
      <c r="F28" s="741"/>
      <c r="G28" s="741"/>
    </row>
    <row r="29" spans="1:9" ht="19.95" customHeight="1">
      <c r="A29" s="424"/>
      <c r="B29" s="424"/>
      <c r="C29" s="424"/>
      <c r="D29" s="424"/>
      <c r="E29" s="424"/>
      <c r="F29" s="424"/>
      <c r="G29" s="425"/>
    </row>
    <row r="30" spans="1:9" ht="19.95" customHeight="1">
      <c r="A30" s="741" t="s">
        <v>631</v>
      </c>
      <c r="B30" s="741"/>
      <c r="C30" s="741"/>
      <c r="D30" s="741"/>
      <c r="E30" s="741"/>
      <c r="F30" s="741"/>
      <c r="G30" s="741"/>
    </row>
    <row r="31" spans="1:9" ht="19.95" customHeight="1">
      <c r="A31" s="741" t="s">
        <v>628</v>
      </c>
      <c r="B31" s="741"/>
      <c r="C31" s="741"/>
      <c r="D31" s="741"/>
      <c r="E31" s="741"/>
      <c r="F31" s="741"/>
      <c r="G31" s="741"/>
    </row>
    <row r="32" spans="1:9" ht="19.95" customHeight="1">
      <c r="A32" s="741" t="s">
        <v>629</v>
      </c>
      <c r="B32" s="741"/>
      <c r="C32" s="741"/>
      <c r="D32" s="741"/>
      <c r="E32" s="741"/>
      <c r="F32" s="741"/>
      <c r="G32" s="741"/>
    </row>
    <row r="33" spans="1:6" ht="19.95" customHeight="1">
      <c r="A33" s="81"/>
      <c r="F33" s="81"/>
    </row>
    <row r="34" spans="1:6" ht="19.95" customHeight="1">
      <c r="F34" s="81"/>
    </row>
    <row r="35" spans="1:6" ht="19.95" customHeight="1">
      <c r="F35" s="81"/>
    </row>
    <row r="36" spans="1:6" ht="19.95" customHeight="1">
      <c r="B36" s="81"/>
    </row>
    <row r="37" spans="1:6" ht="19.95" customHeight="1">
      <c r="B37" s="81"/>
    </row>
  </sheetData>
  <mergeCells count="14">
    <mergeCell ref="A30:G30"/>
    <mergeCell ref="A31:G31"/>
    <mergeCell ref="A32:G32"/>
    <mergeCell ref="A1:E1"/>
    <mergeCell ref="A7:A8"/>
    <mergeCell ref="B7:B8"/>
    <mergeCell ref="D7:D8"/>
    <mergeCell ref="A28:G28"/>
    <mergeCell ref="A22:G22"/>
    <mergeCell ref="A23:G23"/>
    <mergeCell ref="A24:G24"/>
    <mergeCell ref="A26:G26"/>
    <mergeCell ref="A27:G27"/>
    <mergeCell ref="A16:A17"/>
  </mergeCells>
  <printOptions horizontalCentered="1"/>
  <pageMargins left="0.51181102362204722" right="0.51181102362204722" top="0.59055118110236227" bottom="0.39370078740157483" header="0.31496062992125984" footer="0.31496062992125984"/>
  <pageSetup paperSize="9" orientation="portrait" horizontalDpi="180" verticalDpi="180" r:id="rId1"/>
  <headerFooter alignWithMargins="0">
    <oddHeader>&amp;Rปร.6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2"/>
  <sheetViews>
    <sheetView topLeftCell="A127" workbookViewId="0">
      <selection activeCell="B138" sqref="B138"/>
    </sheetView>
  </sheetViews>
  <sheetFormatPr defaultColWidth="9.125" defaultRowHeight="21.75" customHeight="1"/>
  <cols>
    <col min="1" max="1" width="5" style="142" customWidth="1"/>
    <col min="2" max="2" width="57.75" style="89" customWidth="1"/>
    <col min="3" max="3" width="10" style="89" customWidth="1"/>
    <col min="4" max="4" width="8.375" style="89" customWidth="1"/>
    <col min="5" max="5" width="14" style="89" customWidth="1"/>
    <col min="6" max="6" width="13" style="89" customWidth="1"/>
    <col min="7" max="7" width="12.625" style="96" customWidth="1"/>
    <col min="8" max="8" width="13.375" style="89" customWidth="1"/>
    <col min="9" max="9" width="16.375" style="89" customWidth="1"/>
    <col min="10" max="10" width="15.125" style="89" customWidth="1"/>
    <col min="11" max="11" width="15" style="89" bestFit="1" customWidth="1"/>
    <col min="12" max="12" width="12.375" style="117" bestFit="1" customWidth="1"/>
    <col min="13" max="13" width="12.75" style="89" customWidth="1"/>
    <col min="14" max="16384" width="9.125" style="89"/>
  </cols>
  <sheetData>
    <row r="1" spans="1:12" s="111" customFormat="1" ht="21.75" customHeight="1">
      <c r="A1" s="747" t="s">
        <v>106</v>
      </c>
      <c r="B1" s="747"/>
      <c r="C1" s="747"/>
      <c r="D1" s="747"/>
      <c r="E1" s="747"/>
      <c r="F1" s="747"/>
      <c r="G1" s="747"/>
      <c r="H1" s="747"/>
      <c r="I1" s="747"/>
      <c r="J1" s="747"/>
      <c r="L1" s="112"/>
    </row>
    <row r="2" spans="1:12" s="111" customFormat="1" ht="21.75" customHeight="1" thickBot="1">
      <c r="A2" s="133" t="s">
        <v>107</v>
      </c>
      <c r="B2" s="85"/>
      <c r="C2" s="85"/>
      <c r="D2" s="85"/>
      <c r="E2" s="85"/>
      <c r="F2" s="85"/>
      <c r="G2" s="101"/>
      <c r="H2" s="85"/>
      <c r="I2" s="85"/>
      <c r="J2" s="308" t="s">
        <v>251</v>
      </c>
      <c r="L2" s="112"/>
    </row>
    <row r="3" spans="1:12" s="111" customFormat="1" ht="21.75" customHeight="1" thickBot="1">
      <c r="A3" s="133" t="s">
        <v>191</v>
      </c>
      <c r="B3" s="85"/>
      <c r="C3" s="85"/>
      <c r="D3" s="85"/>
      <c r="E3" s="85"/>
      <c r="F3" s="85"/>
      <c r="G3" s="101"/>
      <c r="H3" s="85"/>
      <c r="I3" s="85"/>
      <c r="J3" s="85"/>
      <c r="K3" s="111" t="s">
        <v>5</v>
      </c>
      <c r="L3" s="295"/>
    </row>
    <row r="4" spans="1:12" s="111" customFormat="1" ht="21.75" customHeight="1">
      <c r="A4" s="133" t="s">
        <v>192</v>
      </c>
      <c r="B4" s="85"/>
      <c r="C4" s="85"/>
      <c r="D4" s="85"/>
      <c r="E4" s="85"/>
      <c r="F4" s="114" t="s">
        <v>108</v>
      </c>
      <c r="G4" s="310" t="s">
        <v>195</v>
      </c>
      <c r="H4" s="115"/>
      <c r="I4" s="85"/>
      <c r="J4" s="85"/>
      <c r="L4" s="112"/>
    </row>
    <row r="5" spans="1:12" s="111" customFormat="1" ht="21.75" customHeight="1">
      <c r="A5" s="133" t="s">
        <v>194</v>
      </c>
      <c r="B5" s="85"/>
      <c r="C5" s="85"/>
      <c r="D5" s="85"/>
      <c r="E5" s="85"/>
      <c r="F5" s="85"/>
      <c r="G5" s="101"/>
      <c r="H5" s="85"/>
      <c r="I5" s="85"/>
      <c r="J5" s="85"/>
      <c r="L5" s="112"/>
    </row>
    <row r="6" spans="1:12" s="111" customFormat="1" ht="21.75" customHeight="1" thickBot="1">
      <c r="A6" s="133" t="s">
        <v>193</v>
      </c>
      <c r="B6" s="85"/>
      <c r="C6" s="85"/>
      <c r="D6" s="85"/>
      <c r="E6" s="85"/>
      <c r="F6" s="113" t="s">
        <v>196</v>
      </c>
      <c r="G6" s="101"/>
      <c r="H6" s="85"/>
      <c r="I6" s="85"/>
      <c r="J6" s="85"/>
      <c r="L6" s="112"/>
    </row>
    <row r="7" spans="1:12" ht="18" customHeight="1" thickTop="1">
      <c r="A7" s="134" t="s">
        <v>10</v>
      </c>
      <c r="B7" s="748" t="s">
        <v>0</v>
      </c>
      <c r="C7" s="748" t="s">
        <v>1</v>
      </c>
      <c r="D7" s="748" t="s">
        <v>2</v>
      </c>
      <c r="E7" s="750" t="s">
        <v>11</v>
      </c>
      <c r="F7" s="751"/>
      <c r="G7" s="750" t="s">
        <v>3</v>
      </c>
      <c r="H7" s="751"/>
      <c r="I7" s="107" t="s">
        <v>7</v>
      </c>
      <c r="J7" s="748" t="s">
        <v>4</v>
      </c>
    </row>
    <row r="8" spans="1:12" ht="18" customHeight="1" thickBot="1">
      <c r="A8" s="135" t="s">
        <v>12</v>
      </c>
      <c r="B8" s="754"/>
      <c r="C8" s="754"/>
      <c r="D8" s="754"/>
      <c r="E8" s="108" t="s">
        <v>8</v>
      </c>
      <c r="F8" s="108" t="s">
        <v>9</v>
      </c>
      <c r="G8" s="311" t="s">
        <v>8</v>
      </c>
      <c r="H8" s="108" t="s">
        <v>9</v>
      </c>
      <c r="I8" s="109" t="s">
        <v>13</v>
      </c>
      <c r="J8" s="754"/>
    </row>
    <row r="9" spans="1:12" ht="21.75" customHeight="1" thickTop="1">
      <c r="A9" s="136"/>
      <c r="B9" s="87" t="s">
        <v>111</v>
      </c>
      <c r="C9" s="88"/>
      <c r="D9" s="88"/>
      <c r="E9" s="71"/>
      <c r="F9" s="71"/>
      <c r="G9" s="72"/>
      <c r="H9" s="71"/>
      <c r="I9" s="71"/>
      <c r="J9" s="88"/>
    </row>
    <row r="10" spans="1:12" ht="21.75" customHeight="1">
      <c r="A10" s="90">
        <v>1</v>
      </c>
      <c r="B10" s="91" t="s">
        <v>14</v>
      </c>
      <c r="C10" s="92"/>
      <c r="D10" s="71"/>
      <c r="E10" s="71"/>
      <c r="F10" s="71"/>
      <c r="G10" s="72"/>
      <c r="H10" s="71"/>
      <c r="I10" s="71"/>
      <c r="J10" s="92"/>
    </row>
    <row r="11" spans="1:12" ht="21.75" customHeight="1">
      <c r="A11" s="137"/>
      <c r="B11" s="91" t="s">
        <v>64</v>
      </c>
      <c r="C11" s="92"/>
      <c r="D11" s="71"/>
      <c r="E11" s="71"/>
      <c r="F11" s="71"/>
      <c r="G11" s="72"/>
      <c r="H11" s="71"/>
      <c r="I11" s="71"/>
      <c r="J11" s="92"/>
    </row>
    <row r="12" spans="1:12" ht="21.75" customHeight="1">
      <c r="A12" s="137"/>
      <c r="B12" s="92" t="s">
        <v>186</v>
      </c>
      <c r="C12" s="92">
        <v>2</v>
      </c>
      <c r="D12" s="71" t="s">
        <v>105</v>
      </c>
      <c r="E12" s="71">
        <v>15000</v>
      </c>
      <c r="F12" s="93">
        <f t="shared" ref="F12:F20" si="0">C12*E12</f>
        <v>30000</v>
      </c>
      <c r="G12" s="72">
        <v>0</v>
      </c>
      <c r="H12" s="93">
        <f t="shared" ref="H12:H20" si="1">C12*G12</f>
        <v>0</v>
      </c>
      <c r="I12" s="93">
        <f t="shared" ref="I12" si="2">F12+H12</f>
        <v>30000</v>
      </c>
      <c r="J12" s="92" t="s">
        <v>125</v>
      </c>
    </row>
    <row r="13" spans="1:12" ht="21.75" customHeight="1">
      <c r="A13" s="137"/>
      <c r="B13" s="92" t="s">
        <v>244</v>
      </c>
      <c r="C13" s="92">
        <f>(ฐานราก!P4+ฐานราก!P6)*2</f>
        <v>20</v>
      </c>
      <c r="D13" s="71" t="s">
        <v>15</v>
      </c>
      <c r="E13" s="71">
        <f>(7607.48/21)*12</f>
        <v>4347.1314285714279</v>
      </c>
      <c r="F13" s="93">
        <f t="shared" si="0"/>
        <v>86942.628571428562</v>
      </c>
      <c r="G13" s="72">
        <v>885</v>
      </c>
      <c r="H13" s="93">
        <f t="shared" si="1"/>
        <v>17700</v>
      </c>
      <c r="I13" s="93">
        <f>F13+H13</f>
        <v>104642.62857142856</v>
      </c>
      <c r="J13" s="92"/>
    </row>
    <row r="14" spans="1:12" ht="21.75" customHeight="1">
      <c r="A14" s="137"/>
      <c r="B14" s="92" t="s">
        <v>245</v>
      </c>
      <c r="C14" s="92">
        <f>C13</f>
        <v>20</v>
      </c>
      <c r="D14" s="71" t="s">
        <v>15</v>
      </c>
      <c r="E14" s="71">
        <v>0</v>
      </c>
      <c r="F14" s="93">
        <f t="shared" si="0"/>
        <v>0</v>
      </c>
      <c r="G14" s="72">
        <v>250</v>
      </c>
      <c r="H14" s="93">
        <f t="shared" si="1"/>
        <v>5000</v>
      </c>
      <c r="I14" s="93">
        <f>F14+H14</f>
        <v>5000</v>
      </c>
      <c r="J14" s="92"/>
    </row>
    <row r="15" spans="1:12" ht="21.75" customHeight="1">
      <c r="A15" s="137"/>
      <c r="B15" s="92" t="s">
        <v>246</v>
      </c>
      <c r="C15" s="92">
        <f>ฐานราก!P5</f>
        <v>0</v>
      </c>
      <c r="D15" s="71" t="s">
        <v>15</v>
      </c>
      <c r="E15" s="71">
        <f>(9411.21/21)*12</f>
        <v>5377.8342857142852</v>
      </c>
      <c r="F15" s="93">
        <f t="shared" si="0"/>
        <v>0</v>
      </c>
      <c r="G15" s="72">
        <v>885</v>
      </c>
      <c r="H15" s="93">
        <f t="shared" si="1"/>
        <v>0</v>
      </c>
      <c r="I15" s="93">
        <f t="shared" ref="I15:I30" si="3">F15+H15</f>
        <v>0</v>
      </c>
      <c r="J15" s="92"/>
    </row>
    <row r="16" spans="1:12" ht="21.75" customHeight="1">
      <c r="A16" s="137"/>
      <c r="B16" s="92" t="s">
        <v>247</v>
      </c>
      <c r="C16" s="92">
        <f>C15</f>
        <v>0</v>
      </c>
      <c r="D16" s="71" t="s">
        <v>15</v>
      </c>
      <c r="E16" s="71">
        <v>0</v>
      </c>
      <c r="F16" s="93">
        <f t="shared" si="0"/>
        <v>0</v>
      </c>
      <c r="G16" s="72">
        <v>280</v>
      </c>
      <c r="H16" s="93">
        <f t="shared" si="1"/>
        <v>0</v>
      </c>
      <c r="I16" s="93">
        <f t="shared" si="3"/>
        <v>0</v>
      </c>
      <c r="J16" s="92"/>
    </row>
    <row r="17" spans="1:14" ht="21.75" customHeight="1">
      <c r="A17" s="137"/>
      <c r="B17" s="92" t="s">
        <v>62</v>
      </c>
      <c r="C17" s="92">
        <f>SUM(K17:M17)</f>
        <v>65.039999999999992</v>
      </c>
      <c r="D17" s="71" t="s">
        <v>16</v>
      </c>
      <c r="E17" s="71">
        <v>0</v>
      </c>
      <c r="F17" s="93">
        <f t="shared" si="0"/>
        <v>0</v>
      </c>
      <c r="G17" s="72">
        <v>125</v>
      </c>
      <c r="H17" s="93">
        <f t="shared" si="1"/>
        <v>8129.9999999999991</v>
      </c>
      <c r="I17" s="93">
        <f t="shared" si="3"/>
        <v>8129.9999999999991</v>
      </c>
      <c r="J17" s="92"/>
      <c r="K17" s="89">
        <f>1.4*0.7*1.5*20</f>
        <v>29.399999999999995</v>
      </c>
      <c r="L17" s="117">
        <f>0.8*0.8*31*1.5</f>
        <v>29.760000000000005</v>
      </c>
      <c r="M17" s="89">
        <f>0.7*1.4*1.5*4</f>
        <v>5.879999999999999</v>
      </c>
    </row>
    <row r="18" spans="1:14" ht="21.75" customHeight="1">
      <c r="A18" s="137"/>
      <c r="B18" s="92" t="s">
        <v>63</v>
      </c>
      <c r="C18" s="92">
        <f>SUM(K18:N18)</f>
        <v>2.2880000000000003</v>
      </c>
      <c r="D18" s="71" t="s">
        <v>16</v>
      </c>
      <c r="E18" s="71">
        <v>453.27</v>
      </c>
      <c r="F18" s="93">
        <f t="shared" si="0"/>
        <v>1037.08176</v>
      </c>
      <c r="G18" s="72">
        <v>99</v>
      </c>
      <c r="H18" s="93">
        <f t="shared" si="1"/>
        <v>226.51200000000003</v>
      </c>
      <c r="I18" s="93">
        <f t="shared" si="3"/>
        <v>1263.59376</v>
      </c>
      <c r="J18" s="92"/>
      <c r="K18" s="89">
        <f>0.05*1.4*0.7*20</f>
        <v>0.97999999999999987</v>
      </c>
      <c r="L18" s="89">
        <f>0.05*0.8*0.8*31</f>
        <v>0.99200000000000021</v>
      </c>
      <c r="M18" s="89">
        <f>0.05*1.4*0.7*4</f>
        <v>0.19599999999999998</v>
      </c>
      <c r="N18" s="89">
        <v>0.12</v>
      </c>
    </row>
    <row r="19" spans="1:14" s="96" customFormat="1" ht="21.75" customHeight="1">
      <c r="A19" s="138"/>
      <c r="B19" s="94" t="s">
        <v>65</v>
      </c>
      <c r="C19" s="92">
        <f>SUM(K19:N19)</f>
        <v>2.2880000000000003</v>
      </c>
      <c r="D19" s="72" t="s">
        <v>16</v>
      </c>
      <c r="E19" s="72">
        <v>1424</v>
      </c>
      <c r="F19" s="95">
        <f t="shared" si="0"/>
        <v>3258.1120000000005</v>
      </c>
      <c r="G19" s="72">
        <v>398</v>
      </c>
      <c r="H19" s="95">
        <f t="shared" si="1"/>
        <v>910.62400000000014</v>
      </c>
      <c r="I19" s="95">
        <f t="shared" si="3"/>
        <v>4168.7360000000008</v>
      </c>
      <c r="J19" s="94"/>
      <c r="K19" s="89">
        <f>0.05*1.4*0.7*20</f>
        <v>0.97999999999999987</v>
      </c>
      <c r="L19" s="89">
        <f>0.05*0.8*0.8*31</f>
        <v>0.99200000000000021</v>
      </c>
      <c r="M19" s="89">
        <f>0.05*1.4*0.7*4</f>
        <v>0.19599999999999998</v>
      </c>
      <c r="N19" s="89">
        <v>0.12</v>
      </c>
    </row>
    <row r="20" spans="1:14" ht="21.75" customHeight="1">
      <c r="A20" s="137"/>
      <c r="B20" s="309" t="s">
        <v>197</v>
      </c>
      <c r="C20" s="92">
        <f>ฐานราก!H11</f>
        <v>2.8200000000000003</v>
      </c>
      <c r="D20" s="71" t="s">
        <v>16</v>
      </c>
      <c r="E20" s="72">
        <v>2004.68</v>
      </c>
      <c r="F20" s="71">
        <f t="shared" si="0"/>
        <v>5653.1976000000004</v>
      </c>
      <c r="G20" s="72">
        <v>485</v>
      </c>
      <c r="H20" s="71">
        <f t="shared" si="1"/>
        <v>1367.7</v>
      </c>
      <c r="I20" s="71">
        <f t="shared" si="3"/>
        <v>7020.8976000000002</v>
      </c>
      <c r="J20" s="92"/>
      <c r="L20" s="89"/>
      <c r="N20" s="89">
        <v>0.96</v>
      </c>
    </row>
    <row r="21" spans="1:14" s="100" customFormat="1" ht="21.15" customHeight="1">
      <c r="A21" s="103"/>
      <c r="B21" s="97" t="s">
        <v>66</v>
      </c>
      <c r="C21" s="97">
        <f>C22*0.7</f>
        <v>19.88</v>
      </c>
      <c r="D21" s="98" t="s">
        <v>67</v>
      </c>
      <c r="E21" s="97">
        <v>380</v>
      </c>
      <c r="F21" s="97">
        <f>ROUND(C21*E21,0)</f>
        <v>7554</v>
      </c>
      <c r="G21" s="97"/>
      <c r="H21" s="97">
        <f>ROUND(C21*G21,0)</f>
        <v>0</v>
      </c>
      <c r="I21" s="97">
        <f t="shared" si="3"/>
        <v>7554</v>
      </c>
      <c r="J21" s="99"/>
      <c r="L21" s="119"/>
    </row>
    <row r="22" spans="1:14" s="100" customFormat="1" ht="21.15" customHeight="1">
      <c r="A22" s="103"/>
      <c r="B22" s="97" t="s">
        <v>68</v>
      </c>
      <c r="C22" s="97">
        <f>ฐานราก!E11</f>
        <v>28.400000000000002</v>
      </c>
      <c r="D22" s="98" t="s">
        <v>20</v>
      </c>
      <c r="E22" s="97">
        <v>0</v>
      </c>
      <c r="F22" s="97">
        <f>ROUND(C22*E22,0)</f>
        <v>0</v>
      </c>
      <c r="G22" s="97">
        <v>133</v>
      </c>
      <c r="H22" s="97">
        <f>ROUND(C22*G22,0)</f>
        <v>3777</v>
      </c>
      <c r="I22" s="97">
        <f t="shared" si="3"/>
        <v>3777</v>
      </c>
      <c r="J22" s="99"/>
      <c r="K22" s="89">
        <f>88.2+26.46</f>
        <v>114.66</v>
      </c>
      <c r="L22" s="89">
        <f>83.2+32.76</f>
        <v>115.96000000000001</v>
      </c>
      <c r="M22" s="89">
        <f>16.8+8.64</f>
        <v>25.44</v>
      </c>
      <c r="N22" s="100">
        <v>4.8</v>
      </c>
    </row>
    <row r="23" spans="1:14" s="100" customFormat="1" ht="21.15" customHeight="1">
      <c r="A23" s="103"/>
      <c r="B23" s="97" t="s">
        <v>95</v>
      </c>
      <c r="C23" s="97">
        <f>C21*0.3</f>
        <v>5.9639999999999995</v>
      </c>
      <c r="D23" s="98" t="s">
        <v>69</v>
      </c>
      <c r="E23" s="97">
        <v>280</v>
      </c>
      <c r="F23" s="97">
        <f>ROUND(C23*E23,0)</f>
        <v>1670</v>
      </c>
      <c r="G23" s="97">
        <v>0</v>
      </c>
      <c r="H23" s="97">
        <f>ROUND(C23*G23,0)</f>
        <v>0</v>
      </c>
      <c r="I23" s="97">
        <f t="shared" si="3"/>
        <v>1670</v>
      </c>
      <c r="J23" s="99"/>
      <c r="L23" s="119"/>
    </row>
    <row r="24" spans="1:14" s="100" customFormat="1" ht="21.15" customHeight="1">
      <c r="A24" s="103"/>
      <c r="B24" s="97" t="s">
        <v>70</v>
      </c>
      <c r="C24" s="97">
        <f t="shared" ref="C24:C29" si="4">(K24*L24*M24)/1000</f>
        <v>0</v>
      </c>
      <c r="D24" s="98" t="s">
        <v>71</v>
      </c>
      <c r="E24" s="97">
        <v>25635.75</v>
      </c>
      <c r="F24" s="97">
        <f t="shared" ref="F24:F30" si="5">C24*E24</f>
        <v>0</v>
      </c>
      <c r="G24" s="97">
        <v>3401</v>
      </c>
      <c r="H24" s="97">
        <f t="shared" ref="H24:H29" si="6">C24*G24</f>
        <v>0</v>
      </c>
      <c r="I24" s="97">
        <f t="shared" si="3"/>
        <v>0</v>
      </c>
      <c r="J24" s="99"/>
      <c r="K24" s="101">
        <v>0.222</v>
      </c>
      <c r="L24" s="104">
        <v>1.05</v>
      </c>
      <c r="M24" s="102">
        <f>ฐานราก!I11</f>
        <v>0</v>
      </c>
    </row>
    <row r="25" spans="1:14" s="100" customFormat="1" ht="21.15" customHeight="1">
      <c r="A25" s="103"/>
      <c r="B25" s="97" t="s">
        <v>72</v>
      </c>
      <c r="C25" s="97">
        <f t="shared" si="4"/>
        <v>2.13572E-2</v>
      </c>
      <c r="D25" s="98" t="s">
        <v>71</v>
      </c>
      <c r="E25" s="97">
        <v>23972.9</v>
      </c>
      <c r="F25" s="97">
        <f t="shared" si="5"/>
        <v>511.99401988000005</v>
      </c>
      <c r="G25" s="97">
        <f>G24</f>
        <v>3401</v>
      </c>
      <c r="H25" s="97">
        <f t="shared" si="6"/>
        <v>72.635837199999997</v>
      </c>
      <c r="I25" s="97">
        <f t="shared" si="3"/>
        <v>584.62985708000008</v>
      </c>
      <c r="J25" s="99"/>
      <c r="K25" s="101">
        <v>0.499</v>
      </c>
      <c r="L25" s="104">
        <v>1.07</v>
      </c>
      <c r="M25" s="102">
        <f>ฐานราก!J11</f>
        <v>40</v>
      </c>
    </row>
    <row r="26" spans="1:14" s="100" customFormat="1" ht="21.15" customHeight="1">
      <c r="A26" s="103"/>
      <c r="B26" s="97" t="s">
        <v>73</v>
      </c>
      <c r="C26" s="97">
        <f t="shared" si="4"/>
        <v>0.15428999999999998</v>
      </c>
      <c r="D26" s="98" t="s">
        <v>71</v>
      </c>
      <c r="E26" s="97">
        <v>24203.74</v>
      </c>
      <c r="F26" s="97">
        <f t="shared" si="5"/>
        <v>3734.3950445999999</v>
      </c>
      <c r="G26" s="97">
        <f>G25</f>
        <v>3401</v>
      </c>
      <c r="H26" s="97">
        <f t="shared" si="6"/>
        <v>524.74028999999996</v>
      </c>
      <c r="I26" s="97">
        <f t="shared" si="3"/>
        <v>4259.1353345999996</v>
      </c>
      <c r="J26" s="99"/>
      <c r="K26" s="101">
        <v>1.39</v>
      </c>
      <c r="L26" s="104">
        <v>1.1100000000000001</v>
      </c>
      <c r="M26" s="102">
        <f>ฐานราก!K11</f>
        <v>100</v>
      </c>
    </row>
    <row r="27" spans="1:14" s="100" customFormat="1" ht="21.15" customHeight="1">
      <c r="A27" s="103"/>
      <c r="B27" s="97" t="s">
        <v>74</v>
      </c>
      <c r="C27" s="97">
        <f t="shared" si="4"/>
        <v>0</v>
      </c>
      <c r="D27" s="98" t="s">
        <v>71</v>
      </c>
      <c r="E27" s="97">
        <v>23700.93</v>
      </c>
      <c r="F27" s="97">
        <f t="shared" si="5"/>
        <v>0</v>
      </c>
      <c r="G27" s="97">
        <f>G26</f>
        <v>3401</v>
      </c>
      <c r="H27" s="97">
        <f t="shared" si="6"/>
        <v>0</v>
      </c>
      <c r="I27" s="97">
        <f t="shared" si="3"/>
        <v>0</v>
      </c>
      <c r="J27" s="99"/>
      <c r="K27" s="101">
        <v>1.58</v>
      </c>
      <c r="L27" s="104">
        <v>1.1299999999999999</v>
      </c>
      <c r="M27" s="102">
        <f>ฐานราก!L11</f>
        <v>0</v>
      </c>
    </row>
    <row r="28" spans="1:14" s="100" customFormat="1" ht="21.15" customHeight="1">
      <c r="A28" s="103"/>
      <c r="B28" s="97" t="s">
        <v>75</v>
      </c>
      <c r="C28" s="97">
        <f t="shared" si="4"/>
        <v>0</v>
      </c>
      <c r="D28" s="98" t="s">
        <v>71</v>
      </c>
      <c r="E28" s="97">
        <v>23714.95</v>
      </c>
      <c r="F28" s="97">
        <f t="shared" si="5"/>
        <v>0</v>
      </c>
      <c r="G28" s="97">
        <f>G27</f>
        <v>3401</v>
      </c>
      <c r="H28" s="97">
        <f t="shared" si="6"/>
        <v>0</v>
      </c>
      <c r="I28" s="97">
        <f t="shared" si="3"/>
        <v>0</v>
      </c>
      <c r="J28" s="99"/>
      <c r="K28" s="101">
        <v>2.4660000000000002</v>
      </c>
      <c r="L28" s="104">
        <v>1.1499999999999999</v>
      </c>
      <c r="M28" s="102">
        <f>ฐานราก!M11</f>
        <v>0</v>
      </c>
    </row>
    <row r="29" spans="1:14" s="100" customFormat="1" ht="21.15" customHeight="1">
      <c r="A29" s="103"/>
      <c r="B29" s="97" t="s">
        <v>76</v>
      </c>
      <c r="C29" s="97">
        <f t="shared" si="4"/>
        <v>0</v>
      </c>
      <c r="D29" s="98" t="s">
        <v>71</v>
      </c>
      <c r="E29" s="97">
        <v>24056.07</v>
      </c>
      <c r="F29" s="97">
        <f t="shared" si="5"/>
        <v>0</v>
      </c>
      <c r="G29" s="97">
        <f>G28</f>
        <v>3401</v>
      </c>
      <c r="H29" s="97">
        <f t="shared" si="6"/>
        <v>0</v>
      </c>
      <c r="I29" s="97">
        <f t="shared" si="3"/>
        <v>0</v>
      </c>
      <c r="J29" s="99"/>
      <c r="K29" s="101">
        <v>3.8530000000000002</v>
      </c>
      <c r="L29" s="104">
        <v>1.1499999999999999</v>
      </c>
      <c r="M29" s="102">
        <f>ฐานราก!J15</f>
        <v>0</v>
      </c>
    </row>
    <row r="30" spans="1:14" s="100" customFormat="1" ht="21.15" customHeight="1">
      <c r="A30" s="103"/>
      <c r="B30" s="97" t="s">
        <v>77</v>
      </c>
      <c r="C30" s="97">
        <f>(SUM(C24:C29)*1000)*0.03</f>
        <v>5.2694159999999988</v>
      </c>
      <c r="D30" s="98" t="s">
        <v>78</v>
      </c>
      <c r="E30" s="97">
        <v>42.06</v>
      </c>
      <c r="F30" s="97">
        <f t="shared" si="5"/>
        <v>221.63163695999995</v>
      </c>
      <c r="G30" s="97">
        <v>0</v>
      </c>
      <c r="H30" s="97">
        <f>C30*G30</f>
        <v>0</v>
      </c>
      <c r="I30" s="97">
        <f t="shared" si="3"/>
        <v>221.63163695999995</v>
      </c>
      <c r="J30" s="99"/>
      <c r="K30" s="105">
        <f>SUM(I11:I30)</f>
        <v>178292.25276006854</v>
      </c>
      <c r="L30" s="120"/>
      <c r="M30" s="101"/>
    </row>
    <row r="31" spans="1:14" s="100" customFormat="1" ht="21.15" customHeight="1">
      <c r="A31" s="103"/>
      <c r="B31" s="110" t="s">
        <v>18</v>
      </c>
      <c r="C31" s="97"/>
      <c r="D31" s="98"/>
      <c r="E31" s="97"/>
      <c r="F31" s="97"/>
      <c r="G31" s="97"/>
      <c r="H31" s="97"/>
      <c r="I31" s="97">
        <f>SUM(I9:I30)</f>
        <v>178292.25276006854</v>
      </c>
      <c r="J31" s="99"/>
      <c r="K31" s="105"/>
      <c r="L31" s="120"/>
      <c r="M31" s="101"/>
    </row>
    <row r="32" spans="1:14" s="111" customFormat="1" ht="21.75" customHeight="1">
      <c r="A32" s="747" t="s">
        <v>106</v>
      </c>
      <c r="B32" s="747"/>
      <c r="C32" s="747"/>
      <c r="D32" s="747"/>
      <c r="E32" s="747"/>
      <c r="F32" s="747"/>
      <c r="G32" s="747"/>
      <c r="H32" s="747"/>
      <c r="I32" s="747"/>
      <c r="J32" s="747"/>
      <c r="L32" s="112"/>
    </row>
    <row r="33" spans="1:14" s="111" customFormat="1" ht="21.75" customHeight="1">
      <c r="A33" s="133" t="s">
        <v>107</v>
      </c>
      <c r="B33" s="85"/>
      <c r="C33" s="85"/>
      <c r="D33" s="85"/>
      <c r="E33" s="85"/>
      <c r="F33" s="85"/>
      <c r="G33" s="101"/>
      <c r="H33" s="85"/>
      <c r="I33" s="85"/>
      <c r="J33" s="308" t="s">
        <v>252</v>
      </c>
      <c r="L33" s="112"/>
    </row>
    <row r="34" spans="1:14" s="111" customFormat="1" ht="21.75" customHeight="1">
      <c r="A34" s="133" t="s">
        <v>191</v>
      </c>
      <c r="B34" s="85"/>
      <c r="C34" s="85"/>
      <c r="D34" s="85"/>
      <c r="E34" s="85"/>
      <c r="F34" s="85"/>
      <c r="G34" s="101"/>
      <c r="H34" s="85"/>
      <c r="I34" s="85"/>
      <c r="J34" s="85"/>
      <c r="L34" s="112"/>
    </row>
    <row r="35" spans="1:14" s="111" customFormat="1" ht="21.75" customHeight="1">
      <c r="A35" s="133" t="s">
        <v>192</v>
      </c>
      <c r="B35" s="85"/>
      <c r="C35" s="85"/>
      <c r="D35" s="85"/>
      <c r="E35" s="85"/>
      <c r="F35" s="114" t="s">
        <v>108</v>
      </c>
      <c r="G35" s="310" t="s">
        <v>195</v>
      </c>
      <c r="H35" s="115"/>
      <c r="I35" s="85"/>
      <c r="J35" s="85"/>
      <c r="L35" s="112"/>
    </row>
    <row r="36" spans="1:14" s="111" customFormat="1" ht="21.75" customHeight="1">
      <c r="A36" s="133" t="s">
        <v>194</v>
      </c>
      <c r="B36" s="85"/>
      <c r="C36" s="85"/>
      <c r="D36" s="85"/>
      <c r="E36" s="85"/>
      <c r="F36" s="85"/>
      <c r="G36" s="101"/>
      <c r="H36" s="85"/>
      <c r="I36" s="85"/>
      <c r="J36" s="85"/>
      <c r="L36" s="112"/>
    </row>
    <row r="37" spans="1:14" s="111" customFormat="1" ht="21.75" customHeight="1">
      <c r="A37" s="133" t="s">
        <v>193</v>
      </c>
      <c r="B37" s="85"/>
      <c r="C37" s="85"/>
      <c r="D37" s="85"/>
      <c r="E37" s="85"/>
      <c r="F37" s="113" t="s">
        <v>196</v>
      </c>
      <c r="G37" s="101"/>
      <c r="H37" s="85"/>
      <c r="I37" s="85"/>
      <c r="J37" s="85"/>
      <c r="L37" s="112"/>
    </row>
    <row r="38" spans="1:14" s="111" customFormat="1" ht="21.75" customHeight="1" thickBot="1">
      <c r="A38" s="133"/>
      <c r="B38" s="85"/>
      <c r="C38" s="85"/>
      <c r="D38" s="85"/>
      <c r="E38" s="85"/>
      <c r="F38" s="85"/>
      <c r="G38" s="101"/>
      <c r="H38" s="85"/>
      <c r="I38" s="85"/>
      <c r="J38" s="116" t="s">
        <v>109</v>
      </c>
      <c r="L38" s="112" t="s">
        <v>124</v>
      </c>
    </row>
    <row r="39" spans="1:14" s="100" customFormat="1" ht="16.5" customHeight="1" thickTop="1">
      <c r="A39" s="134" t="s">
        <v>10</v>
      </c>
      <c r="B39" s="748" t="s">
        <v>0</v>
      </c>
      <c r="C39" s="748" t="s">
        <v>1</v>
      </c>
      <c r="D39" s="748" t="s">
        <v>2</v>
      </c>
      <c r="E39" s="750" t="s">
        <v>11</v>
      </c>
      <c r="F39" s="751"/>
      <c r="G39" s="750" t="s">
        <v>3</v>
      </c>
      <c r="H39" s="751"/>
      <c r="I39" s="107" t="s">
        <v>7</v>
      </c>
      <c r="J39" s="748" t="s">
        <v>4</v>
      </c>
      <c r="K39" s="105"/>
      <c r="L39" s="120"/>
      <c r="M39" s="101"/>
    </row>
    <row r="40" spans="1:14" s="100" customFormat="1" ht="16.5" customHeight="1" thickBot="1">
      <c r="A40" s="135" t="s">
        <v>12</v>
      </c>
      <c r="B40" s="749"/>
      <c r="C40" s="749"/>
      <c r="D40" s="749"/>
      <c r="E40" s="121" t="s">
        <v>8</v>
      </c>
      <c r="F40" s="121" t="s">
        <v>9</v>
      </c>
      <c r="G40" s="312" t="s">
        <v>8</v>
      </c>
      <c r="H40" s="121" t="s">
        <v>9</v>
      </c>
      <c r="I40" s="122" t="s">
        <v>13</v>
      </c>
      <c r="J40" s="749"/>
      <c r="K40" s="105"/>
      <c r="L40" s="120"/>
      <c r="M40" s="101"/>
    </row>
    <row r="41" spans="1:14" s="100" customFormat="1" ht="21.15" customHeight="1" thickTop="1">
      <c r="A41" s="139"/>
      <c r="B41" s="124" t="s">
        <v>19</v>
      </c>
      <c r="C41" s="106"/>
      <c r="D41" s="123"/>
      <c r="E41" s="106"/>
      <c r="F41" s="106"/>
      <c r="G41" s="106"/>
      <c r="H41" s="106"/>
      <c r="I41" s="106">
        <f>I31</f>
        <v>178292.25276006854</v>
      </c>
      <c r="J41" s="125"/>
      <c r="K41" s="105"/>
      <c r="L41" s="120"/>
      <c r="M41" s="101"/>
    </row>
    <row r="42" spans="1:14" s="128" customFormat="1" ht="21.75" customHeight="1">
      <c r="A42" s="140"/>
      <c r="B42" s="127" t="s">
        <v>80</v>
      </c>
      <c r="C42" s="126"/>
      <c r="D42" s="95"/>
      <c r="E42" s="95"/>
      <c r="F42" s="95"/>
      <c r="G42" s="95"/>
      <c r="H42" s="95"/>
      <c r="I42" s="95"/>
      <c r="J42" s="126"/>
      <c r="L42" s="117"/>
    </row>
    <row r="43" spans="1:14" ht="21.75" customHeight="1">
      <c r="A43" s="137"/>
      <c r="B43" s="92" t="s">
        <v>63</v>
      </c>
      <c r="C43" s="92">
        <f>ชั้น1!F21</f>
        <v>4.1568749999999994</v>
      </c>
      <c r="D43" s="71" t="s">
        <v>16</v>
      </c>
      <c r="E43" s="71">
        <f>E18</f>
        <v>453.27</v>
      </c>
      <c r="F43" s="93">
        <f t="shared" ref="F43:F44" si="7">C43*E43</f>
        <v>1884.1867312499996</v>
      </c>
      <c r="G43" s="72">
        <f>G18</f>
        <v>99</v>
      </c>
      <c r="H43" s="93">
        <f t="shared" ref="H43:H44" si="8">C43*G43</f>
        <v>411.53062499999993</v>
      </c>
      <c r="I43" s="93">
        <f t="shared" ref="I43:I44" si="9">F43+H43</f>
        <v>2295.7173562499997</v>
      </c>
      <c r="J43" s="92"/>
    </row>
    <row r="44" spans="1:14" s="96" customFormat="1" ht="21.75" customHeight="1">
      <c r="A44" s="138"/>
      <c r="B44" s="94" t="s">
        <v>65</v>
      </c>
      <c r="C44" s="92">
        <f>ชั้น1!G21</f>
        <v>4.1568749999999994</v>
      </c>
      <c r="D44" s="72" t="s">
        <v>16</v>
      </c>
      <c r="E44" s="72">
        <f>E19</f>
        <v>1424</v>
      </c>
      <c r="F44" s="95">
        <f t="shared" si="7"/>
        <v>5919.3899999999994</v>
      </c>
      <c r="G44" s="72">
        <f>G19</f>
        <v>398</v>
      </c>
      <c r="H44" s="95">
        <f t="shared" si="8"/>
        <v>1654.4362499999997</v>
      </c>
      <c r="I44" s="95">
        <f t="shared" si="9"/>
        <v>7573.8262499999992</v>
      </c>
      <c r="J44" s="94"/>
      <c r="K44" s="89"/>
      <c r="L44" s="117" t="s">
        <v>219</v>
      </c>
      <c r="M44" s="96" t="s">
        <v>220</v>
      </c>
      <c r="N44" s="96" t="s">
        <v>231</v>
      </c>
    </row>
    <row r="45" spans="1:14" ht="21.75" customHeight="1">
      <c r="A45" s="137"/>
      <c r="B45" s="309" t="s">
        <v>197</v>
      </c>
      <c r="C45" s="92">
        <f>ชั้น1!H21+L45+N45</f>
        <v>132.51750000000001</v>
      </c>
      <c r="D45" s="71" t="s">
        <v>16</v>
      </c>
      <c r="E45" s="71">
        <f>E20</f>
        <v>2004.68</v>
      </c>
      <c r="F45" s="93">
        <f>C45*E45</f>
        <v>265655.18190000003</v>
      </c>
      <c r="G45" s="72">
        <f>G20</f>
        <v>485</v>
      </c>
      <c r="H45" s="93">
        <f>C45*G45</f>
        <v>64270.987500000003</v>
      </c>
      <c r="I45" s="93">
        <f>F45+H45</f>
        <v>329926.16940000001</v>
      </c>
      <c r="J45" s="92"/>
      <c r="L45" s="96">
        <f>432.7*0.15</f>
        <v>64.905000000000001</v>
      </c>
      <c r="M45" s="89">
        <f>30.25*0.15</f>
        <v>4.5374999999999996</v>
      </c>
      <c r="N45" s="89">
        <v>1</v>
      </c>
    </row>
    <row r="46" spans="1:14" s="100" customFormat="1" ht="21.15" customHeight="1">
      <c r="A46" s="103"/>
      <c r="B46" s="97" t="s">
        <v>101</v>
      </c>
      <c r="C46" s="97">
        <f>C47*0.7</f>
        <v>283.20600000000002</v>
      </c>
      <c r="D46" s="98" t="s">
        <v>67</v>
      </c>
      <c r="E46" s="97">
        <f>E21</f>
        <v>380</v>
      </c>
      <c r="F46" s="97">
        <f>ROUND(C46*E46,0)</f>
        <v>107618</v>
      </c>
      <c r="G46" s="97">
        <v>0</v>
      </c>
      <c r="H46" s="97">
        <f>ROUND(C46*G46,0)</f>
        <v>0</v>
      </c>
      <c r="I46" s="97">
        <f t="shared" ref="I46:I65" si="10">F46+H46</f>
        <v>107618</v>
      </c>
      <c r="J46" s="99"/>
      <c r="L46" s="119"/>
    </row>
    <row r="47" spans="1:14" s="100" customFormat="1" ht="21.15" customHeight="1">
      <c r="A47" s="103"/>
      <c r="B47" s="97" t="s">
        <v>102</v>
      </c>
      <c r="C47" s="97">
        <f>ชั้น1!E21</f>
        <v>404.58000000000004</v>
      </c>
      <c r="D47" s="98" t="s">
        <v>20</v>
      </c>
      <c r="E47" s="97">
        <v>0</v>
      </c>
      <c r="F47" s="97">
        <f>ROUND(C47*E47,0)</f>
        <v>0</v>
      </c>
      <c r="G47" s="97">
        <f>G22</f>
        <v>133</v>
      </c>
      <c r="H47" s="97">
        <f>ROUND(C47*G47,0)</f>
        <v>53809</v>
      </c>
      <c r="I47" s="97">
        <f t="shared" si="10"/>
        <v>53809</v>
      </c>
      <c r="J47" s="99"/>
      <c r="L47" s="119"/>
    </row>
    <row r="48" spans="1:14" s="100" customFormat="1" ht="21.15" customHeight="1">
      <c r="A48" s="103"/>
      <c r="B48" s="97" t="s">
        <v>95</v>
      </c>
      <c r="C48" s="97">
        <f>C46*0.3</f>
        <v>84.961799999999997</v>
      </c>
      <c r="D48" s="98" t="s">
        <v>69</v>
      </c>
      <c r="E48" s="97">
        <f>E23</f>
        <v>280</v>
      </c>
      <c r="F48" s="97">
        <f>ROUND(C48*E48,0)</f>
        <v>23789</v>
      </c>
      <c r="G48" s="97">
        <v>0</v>
      </c>
      <c r="H48" s="97">
        <f>ROUND(C48*G48,0)</f>
        <v>0</v>
      </c>
      <c r="I48" s="97">
        <f t="shared" si="10"/>
        <v>23789</v>
      </c>
      <c r="J48" s="99"/>
      <c r="L48" s="119"/>
    </row>
    <row r="49" spans="1:15" ht="21.75" customHeight="1">
      <c r="A49" s="137"/>
      <c r="B49" s="92" t="s">
        <v>88</v>
      </c>
      <c r="C49" s="92">
        <f>C47*0.25</f>
        <v>101.14500000000001</v>
      </c>
      <c r="D49" s="88" t="s">
        <v>17</v>
      </c>
      <c r="E49" s="71">
        <v>27</v>
      </c>
      <c r="F49" s="93">
        <f t="shared" ref="F49:F65" si="11">C49*E49</f>
        <v>2730.9150000000004</v>
      </c>
      <c r="G49" s="72">
        <v>0</v>
      </c>
      <c r="H49" s="93">
        <f t="shared" ref="H49:H65" si="12">C49*G49</f>
        <v>0</v>
      </c>
      <c r="I49" s="93">
        <f t="shared" si="10"/>
        <v>2730.9150000000004</v>
      </c>
      <c r="J49" s="129"/>
    </row>
    <row r="50" spans="1:15" ht="21.75" customHeight="1">
      <c r="A50" s="137"/>
      <c r="B50" s="92" t="s">
        <v>81</v>
      </c>
      <c r="C50" s="92"/>
      <c r="D50" s="71"/>
      <c r="E50" s="71">
        <v>0</v>
      </c>
      <c r="F50" s="93">
        <f t="shared" si="11"/>
        <v>0</v>
      </c>
      <c r="G50" s="72">
        <v>0</v>
      </c>
      <c r="H50" s="93">
        <f t="shared" si="12"/>
        <v>0</v>
      </c>
      <c r="I50" s="93">
        <f t="shared" si="10"/>
        <v>0</v>
      </c>
      <c r="J50" s="92"/>
      <c r="N50" s="89" t="s">
        <v>220</v>
      </c>
      <c r="O50" s="89" t="s">
        <v>221</v>
      </c>
    </row>
    <row r="51" spans="1:15" s="100" customFormat="1" ht="21.15" customHeight="1">
      <c r="A51" s="103"/>
      <c r="B51" s="97" t="s">
        <v>82</v>
      </c>
      <c r="C51" s="97">
        <f>(K51*L51*(M51+N51))/1000</f>
        <v>0.56340270000000003</v>
      </c>
      <c r="D51" s="98" t="s">
        <v>71</v>
      </c>
      <c r="E51" s="97">
        <f t="shared" ref="E51:E56" si="13">E24</f>
        <v>25635.75</v>
      </c>
      <c r="F51" s="97">
        <f t="shared" si="11"/>
        <v>14443.250766525001</v>
      </c>
      <c r="G51" s="97">
        <f>G29</f>
        <v>3401</v>
      </c>
      <c r="H51" s="97">
        <f t="shared" si="12"/>
        <v>1916.1325827000001</v>
      </c>
      <c r="I51" s="97">
        <f t="shared" si="10"/>
        <v>16359.383349225001</v>
      </c>
      <c r="J51" s="99"/>
      <c r="K51" s="101">
        <v>0.222</v>
      </c>
      <c r="L51" s="120">
        <v>1.05</v>
      </c>
      <c r="M51" s="92">
        <f>ชั้น1!I21</f>
        <v>2417</v>
      </c>
    </row>
    <row r="52" spans="1:15" s="100" customFormat="1" ht="21.15" customHeight="1">
      <c r="A52" s="103"/>
      <c r="B52" s="97" t="s">
        <v>83</v>
      </c>
      <c r="C52" s="97">
        <f>(K52*L52*M52)/1000</f>
        <v>1.371025454</v>
      </c>
      <c r="D52" s="98" t="s">
        <v>71</v>
      </c>
      <c r="E52" s="97">
        <f t="shared" si="13"/>
        <v>23972.9</v>
      </c>
      <c r="F52" s="97">
        <f t="shared" si="11"/>
        <v>32867.456106196601</v>
      </c>
      <c r="G52" s="97">
        <f>G51</f>
        <v>3401</v>
      </c>
      <c r="H52" s="97">
        <f t="shared" si="12"/>
        <v>4662.8575690540001</v>
      </c>
      <c r="I52" s="97">
        <f t="shared" si="10"/>
        <v>37530.313675250603</v>
      </c>
      <c r="J52" s="99"/>
      <c r="K52" s="101">
        <v>0.499</v>
      </c>
      <c r="L52" s="120">
        <v>1.07</v>
      </c>
      <c r="M52" s="92">
        <f>ชั้น1!J21+N52+O52</f>
        <v>2567.8000000000002</v>
      </c>
      <c r="N52" s="100">
        <v>370</v>
      </c>
      <c r="O52" s="100">
        <v>577</v>
      </c>
    </row>
    <row r="53" spans="1:15" s="100" customFormat="1" ht="21.15" customHeight="1">
      <c r="A53" s="103"/>
      <c r="B53" s="97" t="s">
        <v>84</v>
      </c>
      <c r="C53" s="97">
        <f>(K53*L53*M53)/1000</f>
        <v>0</v>
      </c>
      <c r="D53" s="98" t="s">
        <v>71</v>
      </c>
      <c r="E53" s="97">
        <f t="shared" si="13"/>
        <v>24203.74</v>
      </c>
      <c r="F53" s="97">
        <f t="shared" si="11"/>
        <v>0</v>
      </c>
      <c r="G53" s="97">
        <f>G52</f>
        <v>3401</v>
      </c>
      <c r="H53" s="97">
        <f t="shared" si="12"/>
        <v>0</v>
      </c>
      <c r="I53" s="97">
        <f t="shared" si="10"/>
        <v>0</v>
      </c>
      <c r="J53" s="99"/>
      <c r="K53" s="101">
        <v>1.39</v>
      </c>
      <c r="L53" s="120">
        <v>1.1100000000000001</v>
      </c>
      <c r="M53" s="92">
        <v>0</v>
      </c>
    </row>
    <row r="54" spans="1:15" s="100" customFormat="1" ht="21.15" customHeight="1">
      <c r="A54" s="103"/>
      <c r="B54" s="97" t="s">
        <v>85</v>
      </c>
      <c r="C54" s="97">
        <f>(K54*L54*M54)/1000</f>
        <v>2.1515855399999997</v>
      </c>
      <c r="D54" s="98" t="s">
        <v>71</v>
      </c>
      <c r="E54" s="97">
        <f t="shared" si="13"/>
        <v>23700.93</v>
      </c>
      <c r="F54" s="97">
        <f t="shared" si="11"/>
        <v>50994.578272552193</v>
      </c>
      <c r="G54" s="97">
        <f>G53</f>
        <v>3401</v>
      </c>
      <c r="H54" s="97">
        <f t="shared" si="12"/>
        <v>7317.5424215399989</v>
      </c>
      <c r="I54" s="97">
        <f t="shared" si="10"/>
        <v>58312.120694092191</v>
      </c>
      <c r="J54" s="99"/>
      <c r="K54" s="101">
        <v>1.58</v>
      </c>
      <c r="L54" s="120">
        <v>1.1299999999999999</v>
      </c>
      <c r="M54" s="92">
        <f>ชั้น1!L21</f>
        <v>1205.0999999999999</v>
      </c>
    </row>
    <row r="55" spans="1:15" s="100" customFormat="1" ht="21.15" customHeight="1">
      <c r="A55" s="103"/>
      <c r="B55" s="97" t="s">
        <v>86</v>
      </c>
      <c r="C55" s="97">
        <f>(K55*L55*M55)/1000</f>
        <v>3.8330024399999996</v>
      </c>
      <c r="D55" s="98" t="s">
        <v>71</v>
      </c>
      <c r="E55" s="97">
        <f t="shared" si="13"/>
        <v>23714.95</v>
      </c>
      <c r="F55" s="97">
        <f t="shared" si="11"/>
        <v>90899.461214477997</v>
      </c>
      <c r="G55" s="97">
        <f>G54</f>
        <v>3401</v>
      </c>
      <c r="H55" s="97">
        <f t="shared" si="12"/>
        <v>13036.041298439999</v>
      </c>
      <c r="I55" s="97">
        <f t="shared" si="10"/>
        <v>103935.502512918</v>
      </c>
      <c r="J55" s="99"/>
      <c r="K55" s="101">
        <v>2.4660000000000002</v>
      </c>
      <c r="L55" s="120">
        <v>1.1499999999999999</v>
      </c>
      <c r="M55" s="102">
        <f>ชั้น1!M21</f>
        <v>1351.6</v>
      </c>
    </row>
    <row r="56" spans="1:15" s="100" customFormat="1" ht="21.15" customHeight="1">
      <c r="A56" s="103"/>
      <c r="B56" s="97" t="s">
        <v>87</v>
      </c>
      <c r="C56" s="97">
        <f>(K56*L56*M56)/1000</f>
        <v>2.8712556</v>
      </c>
      <c r="D56" s="98" t="s">
        <v>71</v>
      </c>
      <c r="E56" s="97">
        <f t="shared" si="13"/>
        <v>24056.07</v>
      </c>
      <c r="F56" s="97">
        <f t="shared" si="11"/>
        <v>69071.125701491997</v>
      </c>
      <c r="G56" s="97">
        <f>G55</f>
        <v>3401</v>
      </c>
      <c r="H56" s="97">
        <f t="shared" si="12"/>
        <v>9765.1402956000002</v>
      </c>
      <c r="I56" s="97">
        <f t="shared" si="10"/>
        <v>78836.265997091992</v>
      </c>
      <c r="J56" s="99"/>
      <c r="K56" s="101">
        <v>3.8530000000000002</v>
      </c>
      <c r="L56" s="120">
        <v>1.1499999999999999</v>
      </c>
      <c r="M56" s="92">
        <f>ชั้น1!N21</f>
        <v>648</v>
      </c>
    </row>
    <row r="57" spans="1:15" s="100" customFormat="1" ht="21.15" customHeight="1">
      <c r="A57" s="103"/>
      <c r="B57" s="97" t="s">
        <v>79</v>
      </c>
      <c r="C57" s="97">
        <f>(SUM(C51:C56)*1000)*0.03</f>
        <v>323.70815202</v>
      </c>
      <c r="D57" s="98" t="s">
        <v>78</v>
      </c>
      <c r="E57" s="97">
        <v>42.06</v>
      </c>
      <c r="F57" s="97">
        <f t="shared" si="11"/>
        <v>13615.164873961201</v>
      </c>
      <c r="G57" s="97">
        <v>0</v>
      </c>
      <c r="H57" s="97">
        <f t="shared" si="12"/>
        <v>0</v>
      </c>
      <c r="I57" s="97">
        <f t="shared" si="10"/>
        <v>13615.164873961201</v>
      </c>
      <c r="J57" s="99"/>
      <c r="K57" s="101"/>
      <c r="L57" s="120"/>
      <c r="M57" s="101"/>
    </row>
    <row r="58" spans="1:15" s="100" customFormat="1" ht="21.15" customHeight="1">
      <c r="A58" s="103"/>
      <c r="B58" s="92" t="s">
        <v>99</v>
      </c>
      <c r="C58" s="92">
        <f>163.59+40.87+158.58</f>
        <v>363.04</v>
      </c>
      <c r="D58" s="71" t="s">
        <v>20</v>
      </c>
      <c r="E58" s="71">
        <v>345</v>
      </c>
      <c r="F58" s="93">
        <f t="shared" si="11"/>
        <v>125248.8</v>
      </c>
      <c r="G58" s="72">
        <v>25</v>
      </c>
      <c r="H58" s="93">
        <f t="shared" si="12"/>
        <v>9076</v>
      </c>
      <c r="I58" s="93">
        <f t="shared" si="10"/>
        <v>134324.79999999999</v>
      </c>
      <c r="J58" s="125"/>
      <c r="K58" s="101"/>
      <c r="L58" s="120"/>
      <c r="M58" s="101"/>
    </row>
    <row r="59" spans="1:15" s="100" customFormat="1" ht="21.15" customHeight="1">
      <c r="A59" s="103"/>
      <c r="B59" s="92" t="s">
        <v>89</v>
      </c>
      <c r="C59" s="92">
        <f>C58*0.05</f>
        <v>18.152000000000001</v>
      </c>
      <c r="D59" s="71" t="s">
        <v>23</v>
      </c>
      <c r="E59" s="71">
        <f>E45</f>
        <v>2004.68</v>
      </c>
      <c r="F59" s="93">
        <f t="shared" si="11"/>
        <v>36388.951360000006</v>
      </c>
      <c r="G59" s="72">
        <v>485</v>
      </c>
      <c r="H59" s="93">
        <f t="shared" si="12"/>
        <v>8803.7200000000012</v>
      </c>
      <c r="I59" s="93">
        <f t="shared" si="10"/>
        <v>45192.671360000008</v>
      </c>
      <c r="J59" s="125"/>
      <c r="K59" s="101"/>
      <c r="L59" s="120"/>
      <c r="M59" s="101"/>
    </row>
    <row r="60" spans="1:15" s="100" customFormat="1" ht="21.15" customHeight="1">
      <c r="A60" s="103"/>
      <c r="B60" s="92" t="s">
        <v>250</v>
      </c>
      <c r="C60" s="92">
        <f>(L45/0.15)</f>
        <v>432.70000000000005</v>
      </c>
      <c r="D60" s="71" t="s">
        <v>20</v>
      </c>
      <c r="E60" s="71">
        <v>86</v>
      </c>
      <c r="F60" s="93">
        <f t="shared" si="11"/>
        <v>37212.200000000004</v>
      </c>
      <c r="G60" s="72">
        <v>5</v>
      </c>
      <c r="H60" s="93">
        <f t="shared" si="12"/>
        <v>2163.5</v>
      </c>
      <c r="I60" s="93">
        <f t="shared" si="10"/>
        <v>39375.700000000004</v>
      </c>
      <c r="J60" s="314" t="s">
        <v>248</v>
      </c>
      <c r="K60" s="101"/>
      <c r="L60" s="120"/>
      <c r="M60" s="101"/>
    </row>
    <row r="61" spans="1:15" s="100" customFormat="1" ht="21.15" customHeight="1">
      <c r="A61" s="103"/>
      <c r="B61" s="92" t="s">
        <v>249</v>
      </c>
      <c r="C61" s="92">
        <f>C58+(L45/0.15)</f>
        <v>795.74</v>
      </c>
      <c r="D61" s="71" t="s">
        <v>20</v>
      </c>
      <c r="E61" s="71">
        <v>65</v>
      </c>
      <c r="F61" s="93">
        <f t="shared" si="11"/>
        <v>51723.1</v>
      </c>
      <c r="G61" s="72">
        <v>5</v>
      </c>
      <c r="H61" s="93">
        <f t="shared" si="12"/>
        <v>3978.7</v>
      </c>
      <c r="I61" s="93">
        <f t="shared" si="10"/>
        <v>55701.799999999996</v>
      </c>
      <c r="J61" s="125"/>
      <c r="K61" s="101"/>
      <c r="L61" s="120"/>
      <c r="M61" s="101"/>
    </row>
    <row r="62" spans="1:15" s="100" customFormat="1" ht="21.15" customHeight="1">
      <c r="A62" s="103"/>
      <c r="B62" s="92" t="s">
        <v>225</v>
      </c>
      <c r="C62" s="92">
        <v>16</v>
      </c>
      <c r="D62" s="71" t="s">
        <v>25</v>
      </c>
      <c r="E62" s="71">
        <v>210</v>
      </c>
      <c r="F62" s="93">
        <f t="shared" si="11"/>
        <v>3360</v>
      </c>
      <c r="G62" s="72">
        <v>25</v>
      </c>
      <c r="H62" s="93">
        <f t="shared" si="12"/>
        <v>400</v>
      </c>
      <c r="I62" s="93">
        <f t="shared" si="10"/>
        <v>3760</v>
      </c>
      <c r="J62" s="125"/>
      <c r="K62" s="101"/>
      <c r="L62" s="120"/>
      <c r="M62" s="101"/>
    </row>
    <row r="63" spans="1:15" s="100" customFormat="1" ht="21.15" customHeight="1">
      <c r="A63" s="103"/>
      <c r="B63" s="92" t="s">
        <v>239</v>
      </c>
      <c r="C63" s="92">
        <f>16*4</f>
        <v>64</v>
      </c>
      <c r="D63" s="71" t="s">
        <v>25</v>
      </c>
      <c r="E63" s="71">
        <v>65</v>
      </c>
      <c r="F63" s="93">
        <f t="shared" si="11"/>
        <v>4160</v>
      </c>
      <c r="G63" s="72">
        <v>8.5</v>
      </c>
      <c r="H63" s="93">
        <f t="shared" si="12"/>
        <v>544</v>
      </c>
      <c r="I63" s="93">
        <f t="shared" si="10"/>
        <v>4704</v>
      </c>
      <c r="J63" s="125"/>
      <c r="K63" s="101"/>
      <c r="L63" s="120"/>
      <c r="M63" s="101"/>
    </row>
    <row r="64" spans="1:15" s="100" customFormat="1" ht="21.15" customHeight="1">
      <c r="A64" s="103"/>
      <c r="B64" s="92" t="s">
        <v>227</v>
      </c>
      <c r="C64" s="92">
        <f>10.7*1.6*4</f>
        <v>68.48</v>
      </c>
      <c r="D64" s="71" t="s">
        <v>17</v>
      </c>
      <c r="E64" s="71">
        <v>29.9</v>
      </c>
      <c r="F64" s="93">
        <f t="shared" si="11"/>
        <v>2047.5520000000001</v>
      </c>
      <c r="G64" s="72">
        <v>8.5</v>
      </c>
      <c r="H64" s="93">
        <f t="shared" si="12"/>
        <v>582.08000000000004</v>
      </c>
      <c r="I64" s="93">
        <f t="shared" si="10"/>
        <v>2629.6320000000001</v>
      </c>
      <c r="J64" s="125"/>
      <c r="K64" s="101"/>
      <c r="L64" s="120"/>
      <c r="M64" s="101"/>
    </row>
    <row r="65" spans="1:13" s="100" customFormat="1" ht="21.15" customHeight="1">
      <c r="A65" s="103"/>
      <c r="B65" s="92" t="s">
        <v>230</v>
      </c>
      <c r="C65" s="92">
        <f>5.54</f>
        <v>5.54</v>
      </c>
      <c r="D65" s="71" t="s">
        <v>20</v>
      </c>
      <c r="E65" s="71">
        <v>330</v>
      </c>
      <c r="F65" s="93">
        <f t="shared" si="11"/>
        <v>1828.2</v>
      </c>
      <c r="G65" s="72">
        <v>144</v>
      </c>
      <c r="H65" s="93">
        <f t="shared" si="12"/>
        <v>797.76</v>
      </c>
      <c r="I65" s="93">
        <f t="shared" si="10"/>
        <v>2625.96</v>
      </c>
      <c r="J65" s="125"/>
      <c r="K65" s="101"/>
      <c r="L65" s="120"/>
      <c r="M65" s="101"/>
    </row>
    <row r="66" spans="1:13" ht="21.75" customHeight="1">
      <c r="A66" s="137"/>
      <c r="B66" s="71" t="s">
        <v>18</v>
      </c>
      <c r="C66" s="92"/>
      <c r="D66" s="71"/>
      <c r="E66" s="71"/>
      <c r="F66" s="93"/>
      <c r="G66" s="72"/>
      <c r="H66" s="93"/>
      <c r="I66" s="93">
        <f>SUM(I41:I65)</f>
        <v>1302938.1952288577</v>
      </c>
      <c r="J66" s="129"/>
    </row>
    <row r="67" spans="1:13" s="96" customFormat="1" ht="21.75" customHeight="1">
      <c r="A67" s="747" t="s">
        <v>106</v>
      </c>
      <c r="B67" s="747"/>
      <c r="C67" s="747"/>
      <c r="D67" s="747"/>
      <c r="E67" s="747"/>
      <c r="F67" s="747"/>
      <c r="G67" s="747"/>
      <c r="H67" s="747"/>
      <c r="I67" s="747"/>
      <c r="J67" s="747"/>
      <c r="K67" s="96">
        <f>SUM(I43:I65)</f>
        <v>1124645.9424687892</v>
      </c>
      <c r="L67" s="117" t="e">
        <f>SUM(#REF!)</f>
        <v>#REF!</v>
      </c>
      <c r="M67" s="96" t="e">
        <f>SUM(K67:L67)</f>
        <v>#REF!</v>
      </c>
    </row>
    <row r="68" spans="1:13" s="96" customFormat="1" ht="21.75" customHeight="1">
      <c r="A68" s="133" t="s">
        <v>107</v>
      </c>
      <c r="B68" s="85"/>
      <c r="C68" s="85"/>
      <c r="D68" s="85"/>
      <c r="E68" s="85"/>
      <c r="F68" s="85"/>
      <c r="G68" s="101"/>
      <c r="H68" s="85"/>
      <c r="I68" s="85"/>
      <c r="J68" s="308" t="s">
        <v>253</v>
      </c>
      <c r="L68" s="117"/>
    </row>
    <row r="69" spans="1:13" s="96" customFormat="1" ht="21.75" customHeight="1">
      <c r="A69" s="133" t="s">
        <v>191</v>
      </c>
      <c r="B69" s="85"/>
      <c r="C69" s="85"/>
      <c r="D69" s="85"/>
      <c r="E69" s="85"/>
      <c r="F69" s="85"/>
      <c r="G69" s="101"/>
      <c r="H69" s="85"/>
      <c r="I69" s="85"/>
      <c r="J69" s="85"/>
      <c r="L69" s="117"/>
    </row>
    <row r="70" spans="1:13" ht="21.75" customHeight="1">
      <c r="A70" s="133" t="s">
        <v>192</v>
      </c>
      <c r="B70" s="85"/>
      <c r="C70" s="85"/>
      <c r="D70" s="85"/>
      <c r="E70" s="85"/>
      <c r="F70" s="114" t="s">
        <v>108</v>
      </c>
      <c r="G70" s="310" t="s">
        <v>195</v>
      </c>
      <c r="H70" s="115"/>
      <c r="I70" s="85"/>
      <c r="J70" s="85"/>
    </row>
    <row r="71" spans="1:13" ht="21.75" customHeight="1">
      <c r="A71" s="133" t="s">
        <v>194</v>
      </c>
      <c r="B71" s="85"/>
      <c r="C71" s="85"/>
      <c r="D71" s="85"/>
      <c r="E71" s="85"/>
      <c r="F71" s="85"/>
      <c r="G71" s="101"/>
      <c r="H71" s="85"/>
      <c r="I71" s="85"/>
      <c r="J71" s="85"/>
    </row>
    <row r="72" spans="1:13" s="111" customFormat="1" ht="21.75" customHeight="1">
      <c r="A72" s="133" t="s">
        <v>193</v>
      </c>
      <c r="B72" s="85"/>
      <c r="C72" s="85"/>
      <c r="D72" s="85"/>
      <c r="E72" s="85"/>
      <c r="F72" s="113" t="s">
        <v>196</v>
      </c>
      <c r="G72" s="101"/>
      <c r="H72" s="85"/>
      <c r="I72" s="85"/>
      <c r="J72" s="85"/>
      <c r="L72" s="112"/>
    </row>
    <row r="73" spans="1:13" s="111" customFormat="1" ht="21.75" customHeight="1" thickBot="1">
      <c r="A73" s="133"/>
      <c r="B73" s="85"/>
      <c r="C73" s="85"/>
      <c r="D73" s="85"/>
      <c r="E73" s="85"/>
      <c r="F73" s="85"/>
      <c r="G73" s="101"/>
      <c r="H73" s="85"/>
      <c r="I73" s="85"/>
      <c r="J73" s="116" t="s">
        <v>109</v>
      </c>
      <c r="L73" s="112" t="s">
        <v>124</v>
      </c>
    </row>
    <row r="74" spans="1:13" s="96" customFormat="1" ht="18.75" customHeight="1" thickTop="1">
      <c r="A74" s="146" t="s">
        <v>10</v>
      </c>
      <c r="B74" s="748" t="s">
        <v>0</v>
      </c>
      <c r="C74" s="748" t="s">
        <v>1</v>
      </c>
      <c r="D74" s="748" t="s">
        <v>2</v>
      </c>
      <c r="E74" s="752" t="s">
        <v>11</v>
      </c>
      <c r="F74" s="753"/>
      <c r="G74" s="752" t="s">
        <v>3</v>
      </c>
      <c r="H74" s="753"/>
      <c r="I74" s="147" t="s">
        <v>7</v>
      </c>
      <c r="J74" s="748" t="s">
        <v>4</v>
      </c>
      <c r="L74" s="148"/>
    </row>
    <row r="75" spans="1:13" ht="18.75" customHeight="1" thickBot="1">
      <c r="A75" s="135" t="s">
        <v>12</v>
      </c>
      <c r="B75" s="749"/>
      <c r="C75" s="749"/>
      <c r="D75" s="749"/>
      <c r="E75" s="121" t="s">
        <v>8</v>
      </c>
      <c r="F75" s="121" t="s">
        <v>9</v>
      </c>
      <c r="G75" s="312" t="s">
        <v>8</v>
      </c>
      <c r="H75" s="121" t="s">
        <v>9</v>
      </c>
      <c r="I75" s="122" t="s">
        <v>13</v>
      </c>
      <c r="J75" s="749"/>
    </row>
    <row r="76" spans="1:13" ht="21.75" customHeight="1" thickTop="1">
      <c r="A76" s="136"/>
      <c r="B76" s="118" t="s">
        <v>19</v>
      </c>
      <c r="C76" s="118"/>
      <c r="D76" s="118"/>
      <c r="E76" s="93"/>
      <c r="F76" s="93"/>
      <c r="G76" s="95"/>
      <c r="H76" s="93"/>
      <c r="I76" s="93">
        <f>I66</f>
        <v>1302938.1952288577</v>
      </c>
      <c r="J76" s="118"/>
    </row>
    <row r="77" spans="1:13" s="128" customFormat="1" ht="21.75" customHeight="1">
      <c r="A77" s="140"/>
      <c r="B77" s="127" t="s">
        <v>96</v>
      </c>
      <c r="C77" s="126"/>
      <c r="D77" s="95"/>
      <c r="E77" s="95"/>
      <c r="F77" s="95"/>
      <c r="G77" s="95"/>
      <c r="H77" s="95"/>
      <c r="I77" s="95"/>
      <c r="J77" s="126"/>
      <c r="L77" s="117"/>
    </row>
    <row r="78" spans="1:13" s="100" customFormat="1" ht="21.15" customHeight="1">
      <c r="A78" s="103"/>
      <c r="B78" s="97" t="s">
        <v>101</v>
      </c>
      <c r="C78" s="97">
        <f>C79*0.7</f>
        <v>350.81725</v>
      </c>
      <c r="D78" s="98" t="s">
        <v>67</v>
      </c>
      <c r="E78" s="97">
        <f>E46</f>
        <v>380</v>
      </c>
      <c r="F78" s="97">
        <f>ROUND(C78*E78,0)</f>
        <v>133311</v>
      </c>
      <c r="G78" s="97">
        <v>0</v>
      </c>
      <c r="H78" s="97">
        <f>ROUND(C78*G78,0)</f>
        <v>0</v>
      </c>
      <c r="I78" s="97">
        <f t="shared" ref="I78:I82" si="14">F78+H78</f>
        <v>133311</v>
      </c>
      <c r="J78" s="99"/>
      <c r="L78" s="119" t="s">
        <v>98</v>
      </c>
      <c r="M78" s="89"/>
    </row>
    <row r="79" spans="1:13" s="100" customFormat="1" ht="21.15" customHeight="1">
      <c r="A79" s="103"/>
      <c r="B79" s="97" t="s">
        <v>102</v>
      </c>
      <c r="C79" s="97">
        <f>ชั้น2!E20</f>
        <v>501.16750000000002</v>
      </c>
      <c r="D79" s="98" t="s">
        <v>20</v>
      </c>
      <c r="E79" s="97">
        <f>E47</f>
        <v>0</v>
      </c>
      <c r="F79" s="97">
        <f>ROUND(C79*E79,0)</f>
        <v>0</v>
      </c>
      <c r="G79" s="97">
        <f>G47</f>
        <v>133</v>
      </c>
      <c r="H79" s="97">
        <f>ROUND(C79*G79,0)</f>
        <v>66655</v>
      </c>
      <c r="I79" s="97">
        <f t="shared" si="14"/>
        <v>66655</v>
      </c>
      <c r="J79" s="99"/>
      <c r="L79" s="119"/>
    </row>
    <row r="80" spans="1:13" s="100" customFormat="1" ht="21.15" customHeight="1">
      <c r="A80" s="103"/>
      <c r="B80" s="97" t="s">
        <v>95</v>
      </c>
      <c r="C80" s="97">
        <v>300</v>
      </c>
      <c r="D80" s="98" t="s">
        <v>69</v>
      </c>
      <c r="E80" s="97">
        <f>E48</f>
        <v>280</v>
      </c>
      <c r="F80" s="97">
        <f>ROUND(C80*E80,0)</f>
        <v>84000</v>
      </c>
      <c r="G80" s="97">
        <v>0</v>
      </c>
      <c r="H80" s="97">
        <f>ROUND(C80*G80,0)</f>
        <v>0</v>
      </c>
      <c r="I80" s="97">
        <f t="shared" si="14"/>
        <v>84000</v>
      </c>
      <c r="J80" s="99"/>
      <c r="L80" s="119"/>
    </row>
    <row r="81" spans="1:14" s="100" customFormat="1" ht="21.15" customHeight="1">
      <c r="A81" s="103"/>
      <c r="B81" s="97" t="s">
        <v>103</v>
      </c>
      <c r="C81" s="97">
        <v>346</v>
      </c>
      <c r="D81" s="98" t="s">
        <v>15</v>
      </c>
      <c r="E81" s="97">
        <v>38</v>
      </c>
      <c r="F81" s="97">
        <f>ROUND(C81*E81,0)</f>
        <v>13148</v>
      </c>
      <c r="G81" s="97">
        <v>0</v>
      </c>
      <c r="H81" s="97">
        <f>ROUND(C81*G81,0)</f>
        <v>0</v>
      </c>
      <c r="I81" s="97">
        <f t="shared" si="14"/>
        <v>13148</v>
      </c>
      <c r="J81" s="99"/>
      <c r="L81" s="119"/>
    </row>
    <row r="82" spans="1:14" ht="21.75" customHeight="1">
      <c r="A82" s="137"/>
      <c r="B82" s="92" t="s">
        <v>88</v>
      </c>
      <c r="C82" s="92">
        <f>C80*0.25</f>
        <v>75</v>
      </c>
      <c r="D82" s="88" t="s">
        <v>17</v>
      </c>
      <c r="E82" s="97">
        <f>E49</f>
        <v>27</v>
      </c>
      <c r="F82" s="93">
        <f>C82*E82</f>
        <v>2025</v>
      </c>
      <c r="G82" s="72">
        <v>0</v>
      </c>
      <c r="H82" s="93">
        <f>C82*G82</f>
        <v>0</v>
      </c>
      <c r="I82" s="93">
        <f t="shared" si="14"/>
        <v>2025</v>
      </c>
      <c r="J82" s="129"/>
    </row>
    <row r="83" spans="1:14" ht="21.75" customHeight="1">
      <c r="A83" s="137"/>
      <c r="B83" s="309" t="s">
        <v>197</v>
      </c>
      <c r="C83" s="92">
        <f>ชั้น2!H20</f>
        <v>64.366</v>
      </c>
      <c r="D83" s="71" t="s">
        <v>16</v>
      </c>
      <c r="E83" s="97">
        <f>E45</f>
        <v>2004.68</v>
      </c>
      <c r="F83" s="93">
        <f t="shared" ref="F83:F91" si="15">C83*E83</f>
        <v>129033.23288000001</v>
      </c>
      <c r="G83" s="72">
        <f>G45</f>
        <v>485</v>
      </c>
      <c r="H83" s="93">
        <f t="shared" ref="H83:H91" si="16">C83*G83</f>
        <v>31217.51</v>
      </c>
      <c r="I83" s="93">
        <f>F83+H83</f>
        <v>160250.74288000001</v>
      </c>
      <c r="J83" s="92"/>
    </row>
    <row r="84" spans="1:14" ht="21.75" customHeight="1">
      <c r="A84" s="137"/>
      <c r="B84" s="92" t="s">
        <v>81</v>
      </c>
      <c r="C84" s="92"/>
      <c r="D84" s="71"/>
      <c r="E84" s="97"/>
      <c r="F84" s="93"/>
      <c r="G84" s="72"/>
      <c r="H84" s="93"/>
      <c r="I84" s="93"/>
      <c r="J84" s="92"/>
      <c r="N84" s="89" t="s">
        <v>220</v>
      </c>
    </row>
    <row r="85" spans="1:14" s="100" customFormat="1" ht="21.15" customHeight="1">
      <c r="A85" s="103"/>
      <c r="B85" s="97" t="s">
        <v>82</v>
      </c>
      <c r="C85" s="97">
        <f>(K85*L85*M85)/1000</f>
        <v>0.4540788</v>
      </c>
      <c r="D85" s="98" t="s">
        <v>71</v>
      </c>
      <c r="E85" s="97">
        <f>E51</f>
        <v>25635.75</v>
      </c>
      <c r="F85" s="97">
        <f t="shared" si="15"/>
        <v>11640.650597100001</v>
      </c>
      <c r="G85" s="97">
        <f>G51</f>
        <v>3401</v>
      </c>
      <c r="H85" s="97">
        <f>C85*G85</f>
        <v>1544.3219988000001</v>
      </c>
      <c r="I85" s="97">
        <f t="shared" ref="I85:I91" si="17">F85+H85</f>
        <v>13184.972595900001</v>
      </c>
      <c r="J85" s="99"/>
      <c r="K85" s="101">
        <v>0.222</v>
      </c>
      <c r="L85" s="120">
        <v>1.05</v>
      </c>
      <c r="M85" s="92">
        <f>ชั้น2!I20</f>
        <v>1948</v>
      </c>
    </row>
    <row r="86" spans="1:14" s="100" customFormat="1" ht="21.15" customHeight="1">
      <c r="A86" s="103"/>
      <c r="B86" s="97" t="s">
        <v>83</v>
      </c>
      <c r="C86" s="97">
        <f>(K86*L86*M86)/1000</f>
        <v>1.12819409</v>
      </c>
      <c r="D86" s="98" t="s">
        <v>71</v>
      </c>
      <c r="E86" s="97">
        <f t="shared" ref="E86:E91" si="18">E52</f>
        <v>23972.9</v>
      </c>
      <c r="F86" s="97">
        <f t="shared" si="15"/>
        <v>27046.084100161002</v>
      </c>
      <c r="G86" s="97">
        <f>G85</f>
        <v>3401</v>
      </c>
      <c r="H86" s="97">
        <f>C86*G86</f>
        <v>3836.98810009</v>
      </c>
      <c r="I86" s="97">
        <f>F86+H86</f>
        <v>30883.072200251001</v>
      </c>
      <c r="J86" s="99"/>
      <c r="K86" s="101">
        <v>0.499</v>
      </c>
      <c r="L86" s="120">
        <v>1.07</v>
      </c>
      <c r="M86" s="94">
        <f>ชั้น2!J20+N86</f>
        <v>2113</v>
      </c>
      <c r="N86" s="100">
        <v>370</v>
      </c>
    </row>
    <row r="87" spans="1:14" s="100" customFormat="1" ht="21.15" customHeight="1">
      <c r="A87" s="103"/>
      <c r="B87" s="97" t="s">
        <v>84</v>
      </c>
      <c r="C87" s="97">
        <f t="shared" ref="C87:C90" si="19">(K87*L87*M87)/1000</f>
        <v>0</v>
      </c>
      <c r="D87" s="98" t="s">
        <v>71</v>
      </c>
      <c r="E87" s="97">
        <f t="shared" si="18"/>
        <v>24203.74</v>
      </c>
      <c r="F87" s="97">
        <f t="shared" si="15"/>
        <v>0</v>
      </c>
      <c r="G87" s="97">
        <f>G86</f>
        <v>3401</v>
      </c>
      <c r="H87" s="97">
        <f t="shared" si="16"/>
        <v>0</v>
      </c>
      <c r="I87" s="97">
        <f t="shared" si="17"/>
        <v>0</v>
      </c>
      <c r="J87" s="99"/>
      <c r="K87" s="101">
        <v>1.39</v>
      </c>
      <c r="L87" s="120">
        <v>1.1100000000000001</v>
      </c>
      <c r="M87" s="92">
        <f>ชั้น2!K20</f>
        <v>0</v>
      </c>
    </row>
    <row r="88" spans="1:14" s="100" customFormat="1" ht="21.15" customHeight="1">
      <c r="A88" s="103"/>
      <c r="B88" s="97" t="s">
        <v>85</v>
      </c>
      <c r="C88" s="97">
        <f t="shared" si="19"/>
        <v>1.7264817999999997</v>
      </c>
      <c r="D88" s="98" t="s">
        <v>71</v>
      </c>
      <c r="E88" s="97">
        <f t="shared" si="18"/>
        <v>23700.93</v>
      </c>
      <c r="F88" s="97">
        <f t="shared" si="15"/>
        <v>40919.224288073994</v>
      </c>
      <c r="G88" s="97">
        <f>G87</f>
        <v>3401</v>
      </c>
      <c r="H88" s="97">
        <f t="shared" si="16"/>
        <v>5871.7646017999987</v>
      </c>
      <c r="I88" s="97">
        <f t="shared" si="17"/>
        <v>46790.988889873996</v>
      </c>
      <c r="J88" s="99"/>
      <c r="K88" s="101">
        <v>1.58</v>
      </c>
      <c r="L88" s="120">
        <v>1.1299999999999999</v>
      </c>
      <c r="M88" s="94">
        <f>ชั้น2!L20</f>
        <v>967</v>
      </c>
    </row>
    <row r="89" spans="1:14" s="100" customFormat="1" ht="21.15" customHeight="1">
      <c r="A89" s="103"/>
      <c r="B89" s="97" t="s">
        <v>86</v>
      </c>
      <c r="C89" s="97">
        <f t="shared" si="19"/>
        <v>3.493687005</v>
      </c>
      <c r="D89" s="98" t="s">
        <v>71</v>
      </c>
      <c r="E89" s="97">
        <f t="shared" si="18"/>
        <v>23714.95</v>
      </c>
      <c r="F89" s="97">
        <f t="shared" si="15"/>
        <v>82852.612639224753</v>
      </c>
      <c r="G89" s="97">
        <f>G88</f>
        <v>3401</v>
      </c>
      <c r="H89" s="97">
        <f t="shared" si="16"/>
        <v>11882.029504005</v>
      </c>
      <c r="I89" s="97">
        <f t="shared" si="17"/>
        <v>94734.64214322975</v>
      </c>
      <c r="J89" s="99"/>
      <c r="K89" s="101">
        <v>2.4660000000000002</v>
      </c>
      <c r="L89" s="120">
        <v>1.1499999999999999</v>
      </c>
      <c r="M89" s="92">
        <f>ชั้น2!M20</f>
        <v>1231.9499999999998</v>
      </c>
    </row>
    <row r="90" spans="1:14" s="100" customFormat="1" ht="21.15" customHeight="1">
      <c r="A90" s="103"/>
      <c r="B90" s="97" t="s">
        <v>87</v>
      </c>
      <c r="C90" s="97">
        <f t="shared" si="19"/>
        <v>3.1149578500000001</v>
      </c>
      <c r="D90" s="98" t="s">
        <v>71</v>
      </c>
      <c r="E90" s="97">
        <f t="shared" si="18"/>
        <v>24056.07</v>
      </c>
      <c r="F90" s="97">
        <f t="shared" si="15"/>
        <v>74933.644086649496</v>
      </c>
      <c r="G90" s="97">
        <f>G89</f>
        <v>3401</v>
      </c>
      <c r="H90" s="97">
        <f t="shared" si="16"/>
        <v>10593.971647850001</v>
      </c>
      <c r="I90" s="97">
        <f>F90+H90</f>
        <v>85527.615734499501</v>
      </c>
      <c r="J90" s="99"/>
      <c r="K90" s="101">
        <v>3.8530000000000002</v>
      </c>
      <c r="L90" s="120">
        <v>1.1499999999999999</v>
      </c>
      <c r="M90" s="94">
        <f>ชั้น2!N20</f>
        <v>703</v>
      </c>
    </row>
    <row r="91" spans="1:14" s="100" customFormat="1" ht="21.15" customHeight="1">
      <c r="A91" s="103"/>
      <c r="B91" s="97" t="s">
        <v>79</v>
      </c>
      <c r="C91" s="97">
        <f>(SUM(C85:C90)*1000)*0.03</f>
        <v>297.52198635000002</v>
      </c>
      <c r="D91" s="98" t="s">
        <v>78</v>
      </c>
      <c r="E91" s="97">
        <f t="shared" si="18"/>
        <v>42.06</v>
      </c>
      <c r="F91" s="97">
        <f t="shared" si="15"/>
        <v>12513.774745881001</v>
      </c>
      <c r="G91" s="97">
        <v>0</v>
      </c>
      <c r="H91" s="97">
        <f t="shared" si="16"/>
        <v>0</v>
      </c>
      <c r="I91" s="97">
        <f t="shared" si="17"/>
        <v>12513.774745881001</v>
      </c>
      <c r="J91" s="99"/>
      <c r="K91" s="101"/>
      <c r="L91" s="120"/>
      <c r="M91" s="101"/>
    </row>
    <row r="92" spans="1:14" ht="21.75" customHeight="1">
      <c r="A92" s="137"/>
      <c r="B92" s="92" t="s">
        <v>99</v>
      </c>
      <c r="C92" s="92">
        <v>369</v>
      </c>
      <c r="D92" s="71" t="s">
        <v>20</v>
      </c>
      <c r="E92" s="72">
        <v>245</v>
      </c>
      <c r="F92" s="95">
        <f>C92*E92</f>
        <v>90405</v>
      </c>
      <c r="G92" s="72">
        <v>25</v>
      </c>
      <c r="H92" s="95">
        <f>C92*G92</f>
        <v>9225</v>
      </c>
      <c r="I92" s="95">
        <f>F92+H92</f>
        <v>99630</v>
      </c>
      <c r="J92" s="129"/>
    </row>
    <row r="93" spans="1:14" ht="21.75" customHeight="1">
      <c r="A93" s="137"/>
      <c r="B93" s="92" t="s">
        <v>89</v>
      </c>
      <c r="C93" s="92">
        <f>C92*0.05</f>
        <v>18.45</v>
      </c>
      <c r="D93" s="71" t="s">
        <v>23</v>
      </c>
      <c r="E93" s="71">
        <f>E59</f>
        <v>2004.68</v>
      </c>
      <c r="F93" s="93">
        <f>C93*E93</f>
        <v>36986.345999999998</v>
      </c>
      <c r="G93" s="72">
        <v>485</v>
      </c>
      <c r="H93" s="93">
        <f>C93*G93</f>
        <v>8948.25</v>
      </c>
      <c r="I93" s="93">
        <f>F93+H93</f>
        <v>45934.595999999998</v>
      </c>
      <c r="J93" s="129"/>
    </row>
    <row r="94" spans="1:14" s="100" customFormat="1" ht="21.15" customHeight="1">
      <c r="A94" s="103"/>
      <c r="B94" s="92" t="s">
        <v>249</v>
      </c>
      <c r="C94" s="92">
        <f>C92</f>
        <v>369</v>
      </c>
      <c r="D94" s="71" t="s">
        <v>20</v>
      </c>
      <c r="E94" s="71">
        <f>E61</f>
        <v>65</v>
      </c>
      <c r="F94" s="93">
        <f>C94*E94</f>
        <v>23985</v>
      </c>
      <c r="G94" s="72">
        <v>5</v>
      </c>
      <c r="H94" s="93">
        <f>C94*G94</f>
        <v>1845</v>
      </c>
      <c r="I94" s="93">
        <f>F94+H94</f>
        <v>25830</v>
      </c>
      <c r="J94" s="125"/>
      <c r="K94" s="101"/>
      <c r="L94" s="120"/>
      <c r="M94" s="101"/>
    </row>
    <row r="95" spans="1:14" s="100" customFormat="1" ht="21.15" customHeight="1">
      <c r="A95" s="103"/>
      <c r="B95" s="92" t="s">
        <v>226</v>
      </c>
      <c r="C95" s="92">
        <f>7.05*4*79.7</f>
        <v>2247.54</v>
      </c>
      <c r="D95" s="71" t="s">
        <v>17</v>
      </c>
      <c r="E95" s="71">
        <v>23</v>
      </c>
      <c r="F95" s="93">
        <f t="shared" ref="F95" si="20">C95*E95</f>
        <v>51693.42</v>
      </c>
      <c r="G95" s="72">
        <v>8.5</v>
      </c>
      <c r="H95" s="93">
        <f t="shared" ref="H95" si="21">C95*G95</f>
        <v>19104.09</v>
      </c>
      <c r="I95" s="93">
        <f t="shared" ref="I95" si="22">F95+H95</f>
        <v>70797.509999999995</v>
      </c>
      <c r="J95" s="125"/>
      <c r="K95" s="101"/>
      <c r="L95" s="120"/>
      <c r="M95" s="101"/>
    </row>
    <row r="96" spans="1:14" s="100" customFormat="1" ht="21.15" customHeight="1">
      <c r="A96" s="103"/>
      <c r="B96" s="92"/>
      <c r="C96" s="97"/>
      <c r="D96" s="98"/>
      <c r="E96" s="97"/>
      <c r="F96" s="106"/>
      <c r="G96" s="97"/>
      <c r="H96" s="106"/>
      <c r="I96" s="106"/>
      <c r="J96" s="125"/>
      <c r="K96" s="105">
        <f>SUM(I78:I96)</f>
        <v>985216.91518963524</v>
      </c>
      <c r="L96" s="120"/>
      <c r="M96" s="101"/>
    </row>
    <row r="97" spans="1:13" s="100" customFormat="1" ht="21.15" customHeight="1">
      <c r="A97" s="139"/>
      <c r="B97" s="93" t="s">
        <v>18</v>
      </c>
      <c r="C97" s="106"/>
      <c r="D97" s="123"/>
      <c r="E97" s="106"/>
      <c r="F97" s="106"/>
      <c r="G97" s="106"/>
      <c r="H97" s="106"/>
      <c r="I97" s="106">
        <f>SUM(I76:I96)</f>
        <v>2288155.1104184929</v>
      </c>
      <c r="J97" s="125"/>
      <c r="K97" s="105"/>
      <c r="L97" s="120"/>
      <c r="M97" s="101"/>
    </row>
    <row r="98" spans="1:13" s="100" customFormat="1" ht="20.25" customHeight="1">
      <c r="A98" s="747" t="s">
        <v>106</v>
      </c>
      <c r="B98" s="747"/>
      <c r="C98" s="747"/>
      <c r="D98" s="747"/>
      <c r="E98" s="747"/>
      <c r="F98" s="747"/>
      <c r="G98" s="747"/>
      <c r="H98" s="747"/>
      <c r="I98" s="747"/>
      <c r="J98" s="747"/>
      <c r="K98" s="105"/>
      <c r="L98" s="120"/>
      <c r="M98" s="101"/>
    </row>
    <row r="99" spans="1:13" s="100" customFormat="1" ht="20.25" customHeight="1">
      <c r="A99" s="133" t="s">
        <v>107</v>
      </c>
      <c r="B99" s="85"/>
      <c r="C99" s="85"/>
      <c r="D99" s="85"/>
      <c r="E99" s="85"/>
      <c r="F99" s="85"/>
      <c r="G99" s="101"/>
      <c r="H99" s="85"/>
      <c r="I99" s="85"/>
      <c r="J99" s="308" t="s">
        <v>254</v>
      </c>
      <c r="K99" s="105"/>
      <c r="L99" s="120"/>
      <c r="M99" s="101"/>
    </row>
    <row r="100" spans="1:13" s="100" customFormat="1" ht="20.25" customHeight="1">
      <c r="A100" s="133" t="s">
        <v>191</v>
      </c>
      <c r="B100" s="85"/>
      <c r="C100" s="85"/>
      <c r="D100" s="85"/>
      <c r="E100" s="85"/>
      <c r="F100" s="85"/>
      <c r="G100" s="101"/>
      <c r="H100" s="85"/>
      <c r="I100" s="85"/>
      <c r="J100" s="85"/>
      <c r="K100" s="105"/>
      <c r="L100" s="120"/>
      <c r="M100" s="101"/>
    </row>
    <row r="101" spans="1:13" s="100" customFormat="1" ht="20.25" customHeight="1">
      <c r="A101" s="133" t="s">
        <v>192</v>
      </c>
      <c r="B101" s="85"/>
      <c r="C101" s="85"/>
      <c r="D101" s="85"/>
      <c r="E101" s="85"/>
      <c r="F101" s="114" t="s">
        <v>108</v>
      </c>
      <c r="G101" s="310" t="s">
        <v>195</v>
      </c>
      <c r="H101" s="115"/>
      <c r="I101" s="85"/>
      <c r="J101" s="85"/>
      <c r="K101" s="105"/>
      <c r="L101" s="120"/>
      <c r="M101" s="101"/>
    </row>
    <row r="102" spans="1:13" s="100" customFormat="1" ht="20.25" customHeight="1">
      <c r="A102" s="133" t="s">
        <v>194</v>
      </c>
      <c r="B102" s="85"/>
      <c r="C102" s="85"/>
      <c r="D102" s="85"/>
      <c r="E102" s="85"/>
      <c r="F102" s="85"/>
      <c r="G102" s="101"/>
      <c r="H102" s="85"/>
      <c r="I102" s="85"/>
      <c r="J102" s="85"/>
      <c r="K102" s="105"/>
      <c r="L102" s="120"/>
      <c r="M102" s="101"/>
    </row>
    <row r="103" spans="1:13" s="111" customFormat="1" ht="21.75" customHeight="1">
      <c r="A103" s="133" t="s">
        <v>193</v>
      </c>
      <c r="B103" s="85"/>
      <c r="C103" s="85"/>
      <c r="D103" s="85"/>
      <c r="E103" s="85"/>
      <c r="F103" s="113" t="s">
        <v>196</v>
      </c>
      <c r="G103" s="101"/>
      <c r="H103" s="85"/>
      <c r="I103" s="85"/>
      <c r="J103" s="85"/>
      <c r="L103" s="112"/>
    </row>
    <row r="104" spans="1:13" s="132" customFormat="1" ht="21.75" customHeight="1" thickBot="1">
      <c r="A104" s="143"/>
      <c r="B104" s="101"/>
      <c r="C104" s="101"/>
      <c r="D104" s="101"/>
      <c r="E104" s="101"/>
      <c r="F104" s="101"/>
      <c r="G104" s="101"/>
      <c r="H104" s="101"/>
      <c r="I104" s="101"/>
      <c r="J104" s="144" t="s">
        <v>109</v>
      </c>
      <c r="L104" s="145"/>
    </row>
    <row r="105" spans="1:13" s="100" customFormat="1" ht="18" customHeight="1" thickTop="1">
      <c r="A105" s="134" t="s">
        <v>10</v>
      </c>
      <c r="B105" s="748" t="s">
        <v>0</v>
      </c>
      <c r="C105" s="748" t="s">
        <v>1</v>
      </c>
      <c r="D105" s="748" t="s">
        <v>2</v>
      </c>
      <c r="E105" s="750" t="s">
        <v>11</v>
      </c>
      <c r="F105" s="751"/>
      <c r="G105" s="750" t="s">
        <v>3</v>
      </c>
      <c r="H105" s="751"/>
      <c r="I105" s="107" t="s">
        <v>7</v>
      </c>
      <c r="J105" s="748" t="s">
        <v>4</v>
      </c>
      <c r="K105" s="105"/>
      <c r="L105" s="120"/>
      <c r="M105" s="101"/>
    </row>
    <row r="106" spans="1:13" s="100" customFormat="1" ht="18" customHeight="1" thickBot="1">
      <c r="A106" s="135" t="s">
        <v>12</v>
      </c>
      <c r="B106" s="749"/>
      <c r="C106" s="749"/>
      <c r="D106" s="749"/>
      <c r="E106" s="121" t="s">
        <v>8</v>
      </c>
      <c r="F106" s="121" t="s">
        <v>9</v>
      </c>
      <c r="G106" s="312" t="s">
        <v>8</v>
      </c>
      <c r="H106" s="121" t="s">
        <v>9</v>
      </c>
      <c r="I106" s="122" t="s">
        <v>13</v>
      </c>
      <c r="J106" s="749"/>
      <c r="K106" s="105"/>
      <c r="L106" s="120"/>
      <c r="M106" s="101"/>
    </row>
    <row r="107" spans="1:13" s="100" customFormat="1" ht="20.25" customHeight="1" thickTop="1">
      <c r="A107" s="139"/>
      <c r="B107" s="93" t="s">
        <v>19</v>
      </c>
      <c r="C107" s="106"/>
      <c r="D107" s="123"/>
      <c r="E107" s="106"/>
      <c r="F107" s="106"/>
      <c r="G107" s="106"/>
      <c r="H107" s="106"/>
      <c r="I107" s="106">
        <f>I97</f>
        <v>2288155.1104184929</v>
      </c>
      <c r="J107" s="125"/>
      <c r="K107" s="105"/>
      <c r="L107" s="120"/>
      <c r="M107" s="101"/>
    </row>
    <row r="108" spans="1:13" s="128" customFormat="1" ht="20.25" customHeight="1">
      <c r="A108" s="140"/>
      <c r="B108" s="127" t="s">
        <v>97</v>
      </c>
      <c r="C108" s="126"/>
      <c r="D108" s="95"/>
      <c r="E108" s="95"/>
      <c r="F108" s="95"/>
      <c r="G108" s="95"/>
      <c r="H108" s="95"/>
      <c r="I108" s="95"/>
      <c r="J108" s="126"/>
      <c r="L108" s="117"/>
    </row>
    <row r="109" spans="1:13" s="100" customFormat="1" ht="20.25" customHeight="1">
      <c r="A109" s="103"/>
      <c r="B109" s="97" t="s">
        <v>101</v>
      </c>
      <c r="C109" s="97">
        <f>C110*0.7</f>
        <v>219.52</v>
      </c>
      <c r="D109" s="98" t="s">
        <v>67</v>
      </c>
      <c r="E109" s="97">
        <f>E78</f>
        <v>380</v>
      </c>
      <c r="F109" s="97">
        <f>ROUND(C109*E109,0)</f>
        <v>83418</v>
      </c>
      <c r="G109" s="97">
        <v>0</v>
      </c>
      <c r="H109" s="97">
        <f>ROUND(C109*G109,0)</f>
        <v>0</v>
      </c>
      <c r="I109" s="97">
        <f t="shared" ref="I109:I128" si="23">F109+H109</f>
        <v>83418</v>
      </c>
      <c r="J109" s="99"/>
      <c r="L109" s="119"/>
    </row>
    <row r="110" spans="1:13" s="100" customFormat="1" ht="20.25" customHeight="1">
      <c r="A110" s="103"/>
      <c r="B110" s="97" t="s">
        <v>102</v>
      </c>
      <c r="C110" s="97">
        <f>หลังคา!E17</f>
        <v>313.60000000000002</v>
      </c>
      <c r="D110" s="98" t="s">
        <v>20</v>
      </c>
      <c r="E110" s="97">
        <f t="shared" ref="E110:E122" si="24">E79</f>
        <v>0</v>
      </c>
      <c r="F110" s="97">
        <f>ROUND(C110*E110,0)</f>
        <v>0</v>
      </c>
      <c r="G110" s="97">
        <f>G79</f>
        <v>133</v>
      </c>
      <c r="H110" s="97">
        <f>ROUND(C110*G110,0)</f>
        <v>41709</v>
      </c>
      <c r="I110" s="97">
        <f t="shared" si="23"/>
        <v>41709</v>
      </c>
      <c r="J110" s="99"/>
      <c r="L110" s="119">
        <f>30+31.5+54+8.4</f>
        <v>123.9</v>
      </c>
    </row>
    <row r="111" spans="1:13" s="100" customFormat="1" ht="20.25" customHeight="1">
      <c r="A111" s="103"/>
      <c r="B111" s="97" t="s">
        <v>95</v>
      </c>
      <c r="C111" s="97">
        <v>300</v>
      </c>
      <c r="D111" s="98" t="s">
        <v>69</v>
      </c>
      <c r="E111" s="97">
        <f t="shared" si="24"/>
        <v>280</v>
      </c>
      <c r="F111" s="97">
        <f>ROUND(C111*E111,0)</f>
        <v>84000</v>
      </c>
      <c r="G111" s="97">
        <v>0</v>
      </c>
      <c r="H111" s="97">
        <f>ROUND(C111*G111,0)</f>
        <v>0</v>
      </c>
      <c r="I111" s="97">
        <f t="shared" si="23"/>
        <v>84000</v>
      </c>
      <c r="J111" s="99"/>
      <c r="L111" s="119"/>
    </row>
    <row r="112" spans="1:13" s="100" customFormat="1" ht="20.25" customHeight="1">
      <c r="A112" s="103"/>
      <c r="B112" s="97" t="s">
        <v>103</v>
      </c>
      <c r="C112" s="97">
        <v>200</v>
      </c>
      <c r="D112" s="98" t="s">
        <v>15</v>
      </c>
      <c r="E112" s="97">
        <f t="shared" si="24"/>
        <v>38</v>
      </c>
      <c r="F112" s="97">
        <f>ROUND(C112*E112,0)</f>
        <v>7600</v>
      </c>
      <c r="G112" s="97">
        <v>0</v>
      </c>
      <c r="H112" s="97">
        <f>ROUND(C112*G112,0)</f>
        <v>0</v>
      </c>
      <c r="I112" s="97">
        <f t="shared" si="23"/>
        <v>7600</v>
      </c>
      <c r="J112" s="99"/>
      <c r="L112" s="119">
        <f>30+32+54+7</f>
        <v>123</v>
      </c>
    </row>
    <row r="113" spans="1:15" ht="20.25" customHeight="1">
      <c r="A113" s="137"/>
      <c r="B113" s="92" t="s">
        <v>88</v>
      </c>
      <c r="C113" s="92">
        <f>C111*0.25</f>
        <v>75</v>
      </c>
      <c r="D113" s="88" t="s">
        <v>17</v>
      </c>
      <c r="E113" s="97">
        <f t="shared" si="24"/>
        <v>27</v>
      </c>
      <c r="F113" s="93">
        <f>C113*E113</f>
        <v>2025</v>
      </c>
      <c r="G113" s="72">
        <v>0</v>
      </c>
      <c r="H113" s="93">
        <f>C113*G113</f>
        <v>0</v>
      </c>
      <c r="I113" s="93">
        <f t="shared" si="23"/>
        <v>2025</v>
      </c>
      <c r="J113" s="129"/>
    </row>
    <row r="114" spans="1:15" ht="20.25" customHeight="1">
      <c r="A114" s="137"/>
      <c r="B114" s="309" t="s">
        <v>197</v>
      </c>
      <c r="C114" s="92">
        <f>หลังคา!H17</f>
        <v>26.720000000000002</v>
      </c>
      <c r="D114" s="71" t="s">
        <v>16</v>
      </c>
      <c r="E114" s="97">
        <f t="shared" si="24"/>
        <v>2004.68</v>
      </c>
      <c r="F114" s="93">
        <f t="shared" ref="F114:F128" si="25">C114*E114</f>
        <v>53565.049600000006</v>
      </c>
      <c r="G114" s="72">
        <f>G83</f>
        <v>485</v>
      </c>
      <c r="H114" s="93">
        <f>C114*G114</f>
        <v>12959.2</v>
      </c>
      <c r="I114" s="93">
        <f t="shared" si="23"/>
        <v>66524.24960000001</v>
      </c>
      <c r="J114" s="92"/>
      <c r="K114" s="89">
        <f>2.4+2.52+4.32+0.7</f>
        <v>9.94</v>
      </c>
    </row>
    <row r="115" spans="1:15" ht="20.25" customHeight="1">
      <c r="A115" s="137"/>
      <c r="B115" s="92" t="s">
        <v>81</v>
      </c>
      <c r="C115" s="92"/>
      <c r="D115" s="71"/>
      <c r="E115" s="97"/>
      <c r="F115" s="93"/>
      <c r="G115" s="72"/>
      <c r="H115" s="93"/>
      <c r="I115" s="93"/>
      <c r="J115" s="92"/>
    </row>
    <row r="116" spans="1:15" s="100" customFormat="1" ht="20.25" customHeight="1">
      <c r="A116" s="103"/>
      <c r="B116" s="97" t="s">
        <v>82</v>
      </c>
      <c r="C116" s="97">
        <f>(K116*L116*M116)/1000</f>
        <v>0.28461510000000001</v>
      </c>
      <c r="D116" s="98" t="s">
        <v>71</v>
      </c>
      <c r="E116" s="97">
        <f t="shared" si="24"/>
        <v>25635.75</v>
      </c>
      <c r="F116" s="97">
        <f t="shared" si="25"/>
        <v>7296.3215498250001</v>
      </c>
      <c r="G116" s="97">
        <f>G85</f>
        <v>3401</v>
      </c>
      <c r="H116" s="97">
        <f t="shared" ref="H116:H128" si="26">C116*G116</f>
        <v>967.97595510000008</v>
      </c>
      <c r="I116" s="97">
        <f t="shared" si="23"/>
        <v>8264.2975049249999</v>
      </c>
      <c r="J116" s="99"/>
      <c r="K116" s="101">
        <v>0.222</v>
      </c>
      <c r="L116" s="120">
        <v>1.05</v>
      </c>
      <c r="M116" s="92">
        <f>หลังคา!I17</f>
        <v>1221</v>
      </c>
      <c r="O116" s="97" t="s">
        <v>82</v>
      </c>
    </row>
    <row r="117" spans="1:15" s="100" customFormat="1" ht="20.25" customHeight="1">
      <c r="A117" s="103"/>
      <c r="B117" s="97" t="s">
        <v>83</v>
      </c>
      <c r="C117" s="97">
        <f t="shared" ref="C117:C121" si="27">(K117*L117*M117)/1000</f>
        <v>0.12867713</v>
      </c>
      <c r="D117" s="98" t="s">
        <v>71</v>
      </c>
      <c r="E117" s="97">
        <f t="shared" si="24"/>
        <v>23972.9</v>
      </c>
      <c r="F117" s="97">
        <f t="shared" si="25"/>
        <v>3084.7639697770001</v>
      </c>
      <c r="G117" s="97">
        <f>G116</f>
        <v>3401</v>
      </c>
      <c r="H117" s="97">
        <f t="shared" si="26"/>
        <v>437.63091913</v>
      </c>
      <c r="I117" s="97">
        <f t="shared" si="23"/>
        <v>3522.3948889070002</v>
      </c>
      <c r="J117" s="99"/>
      <c r="K117" s="101">
        <v>0.499</v>
      </c>
      <c r="L117" s="120">
        <v>1.07</v>
      </c>
      <c r="M117" s="92">
        <f>หลังคา!J17</f>
        <v>241</v>
      </c>
      <c r="O117" s="97" t="s">
        <v>83</v>
      </c>
    </row>
    <row r="118" spans="1:15" s="100" customFormat="1" ht="20.25" customHeight="1">
      <c r="A118" s="103"/>
      <c r="B118" s="97" t="s">
        <v>84</v>
      </c>
      <c r="C118" s="97">
        <f t="shared" si="27"/>
        <v>0</v>
      </c>
      <c r="D118" s="98" t="s">
        <v>71</v>
      </c>
      <c r="E118" s="97">
        <f t="shared" si="24"/>
        <v>24203.74</v>
      </c>
      <c r="F118" s="97">
        <f t="shared" si="25"/>
        <v>0</v>
      </c>
      <c r="G118" s="97">
        <f>G117</f>
        <v>3401</v>
      </c>
      <c r="H118" s="97">
        <f t="shared" si="26"/>
        <v>0</v>
      </c>
      <c r="I118" s="97">
        <f t="shared" si="23"/>
        <v>0</v>
      </c>
      <c r="J118" s="99"/>
      <c r="K118" s="101">
        <v>1.39</v>
      </c>
      <c r="L118" s="120">
        <v>1.1100000000000001</v>
      </c>
      <c r="M118" s="94"/>
      <c r="O118" s="97" t="s">
        <v>84</v>
      </c>
    </row>
    <row r="119" spans="1:15" s="100" customFormat="1" ht="20.25" customHeight="1">
      <c r="A119" s="103"/>
      <c r="B119" s="97" t="s">
        <v>85</v>
      </c>
      <c r="C119" s="97">
        <f t="shared" si="27"/>
        <v>3.1280207999999998</v>
      </c>
      <c r="D119" s="98" t="s">
        <v>71</v>
      </c>
      <c r="E119" s="97">
        <f t="shared" si="24"/>
        <v>23700.93</v>
      </c>
      <c r="F119" s="97">
        <f t="shared" si="25"/>
        <v>74137.002019344</v>
      </c>
      <c r="G119" s="97">
        <f>G118</f>
        <v>3401</v>
      </c>
      <c r="H119" s="97">
        <f t="shared" si="26"/>
        <v>10638.398740799999</v>
      </c>
      <c r="I119" s="97">
        <f t="shared" si="23"/>
        <v>84775.400760143995</v>
      </c>
      <c r="J119" s="99"/>
      <c r="K119" s="101">
        <v>1.58</v>
      </c>
      <c r="L119" s="120">
        <v>1.1299999999999999</v>
      </c>
      <c r="M119" s="94">
        <f>หลังคา!L17</f>
        <v>1752</v>
      </c>
      <c r="O119" s="97" t="s">
        <v>85</v>
      </c>
    </row>
    <row r="120" spans="1:15" s="100" customFormat="1" ht="20.25" customHeight="1">
      <c r="A120" s="103"/>
      <c r="B120" s="97" t="s">
        <v>86</v>
      </c>
      <c r="C120" s="97">
        <f t="shared" si="27"/>
        <v>0</v>
      </c>
      <c r="D120" s="98" t="s">
        <v>71</v>
      </c>
      <c r="E120" s="97">
        <f t="shared" si="24"/>
        <v>23714.95</v>
      </c>
      <c r="F120" s="97">
        <f t="shared" si="25"/>
        <v>0</v>
      </c>
      <c r="G120" s="97">
        <f>G119</f>
        <v>3401</v>
      </c>
      <c r="H120" s="97">
        <f t="shared" si="26"/>
        <v>0</v>
      </c>
      <c r="I120" s="97">
        <f t="shared" si="23"/>
        <v>0</v>
      </c>
      <c r="J120" s="99"/>
      <c r="K120" s="101">
        <v>2.4660000000000002</v>
      </c>
      <c r="L120" s="120">
        <v>1.1499999999999999</v>
      </c>
      <c r="M120" s="102"/>
      <c r="O120" s="97" t="s">
        <v>86</v>
      </c>
    </row>
    <row r="121" spans="1:15" s="100" customFormat="1" ht="20.25" customHeight="1">
      <c r="A121" s="103"/>
      <c r="B121" s="97" t="s">
        <v>87</v>
      </c>
      <c r="C121" s="97">
        <f t="shared" si="27"/>
        <v>0</v>
      </c>
      <c r="D121" s="98" t="s">
        <v>71</v>
      </c>
      <c r="E121" s="97">
        <f t="shared" si="24"/>
        <v>24056.07</v>
      </c>
      <c r="F121" s="97">
        <f t="shared" si="25"/>
        <v>0</v>
      </c>
      <c r="G121" s="97">
        <f>G120</f>
        <v>3401</v>
      </c>
      <c r="H121" s="97">
        <f t="shared" si="26"/>
        <v>0</v>
      </c>
      <c r="I121" s="97">
        <f t="shared" si="23"/>
        <v>0</v>
      </c>
      <c r="J121" s="99"/>
      <c r="K121" s="101">
        <v>3.8530000000000002</v>
      </c>
      <c r="L121" s="120">
        <v>1.1499999999999999</v>
      </c>
      <c r="M121" s="94"/>
      <c r="O121" s="97" t="s">
        <v>87</v>
      </c>
    </row>
    <row r="122" spans="1:15" s="100" customFormat="1" ht="20.25" customHeight="1">
      <c r="A122" s="103"/>
      <c r="B122" s="97" t="s">
        <v>79</v>
      </c>
      <c r="C122" s="97">
        <f>(SUM(C116:C121)*1000)*0.03</f>
        <v>106.23939089999999</v>
      </c>
      <c r="D122" s="98" t="s">
        <v>78</v>
      </c>
      <c r="E122" s="97">
        <f t="shared" si="24"/>
        <v>42.06</v>
      </c>
      <c r="F122" s="97">
        <f t="shared" si="25"/>
        <v>4468.4287812539997</v>
      </c>
      <c r="G122" s="97">
        <v>0</v>
      </c>
      <c r="H122" s="97">
        <f t="shared" si="26"/>
        <v>0</v>
      </c>
      <c r="I122" s="97">
        <f t="shared" si="23"/>
        <v>4468.4287812539997</v>
      </c>
      <c r="J122" s="99"/>
      <c r="K122" s="101"/>
      <c r="L122" s="120"/>
      <c r="M122" s="101"/>
    </row>
    <row r="123" spans="1:15" s="96" customFormat="1" ht="20.25" customHeight="1">
      <c r="A123" s="138"/>
      <c r="B123" s="94" t="s">
        <v>234</v>
      </c>
      <c r="C123" s="94">
        <f>(194.24*6.76)+(396.8*6.76)</f>
        <v>3995.4304000000002</v>
      </c>
      <c r="D123" s="130" t="s">
        <v>17</v>
      </c>
      <c r="E123" s="72">
        <v>29.9</v>
      </c>
      <c r="F123" s="95">
        <f t="shared" si="25"/>
        <v>119463.36896000001</v>
      </c>
      <c r="G123" s="72">
        <v>8.5</v>
      </c>
      <c r="H123" s="95">
        <f t="shared" si="26"/>
        <v>33961.1584</v>
      </c>
      <c r="I123" s="95">
        <f t="shared" si="23"/>
        <v>153424.52736000001</v>
      </c>
      <c r="J123" s="126"/>
      <c r="L123" s="117"/>
    </row>
    <row r="124" spans="1:15" s="96" customFormat="1" ht="20.25" customHeight="1">
      <c r="A124" s="138"/>
      <c r="B124" s="94" t="s">
        <v>100</v>
      </c>
      <c r="C124" s="94">
        <f>215.25*5.5</f>
        <v>1183.875</v>
      </c>
      <c r="D124" s="98" t="s">
        <v>78</v>
      </c>
      <c r="E124" s="72">
        <v>29.9</v>
      </c>
      <c r="F124" s="95">
        <f t="shared" si="25"/>
        <v>35397.862499999996</v>
      </c>
      <c r="G124" s="72">
        <v>8.5</v>
      </c>
      <c r="H124" s="95">
        <f t="shared" si="26"/>
        <v>10062.9375</v>
      </c>
      <c r="I124" s="95">
        <f t="shared" si="23"/>
        <v>45460.799999999996</v>
      </c>
      <c r="J124" s="126"/>
      <c r="L124" s="117"/>
    </row>
    <row r="125" spans="1:15" s="96" customFormat="1" ht="20.25" customHeight="1">
      <c r="A125" s="138"/>
      <c r="B125" s="94" t="s">
        <v>235</v>
      </c>
      <c r="C125" s="94">
        <f>(55.36*1.8)+(26.4*1.8)+(16.5*1.8)+(6.73*5)+(2.41*5*1.8)</f>
        <v>232.208</v>
      </c>
      <c r="D125" s="130" t="s">
        <v>17</v>
      </c>
      <c r="E125" s="72">
        <v>23</v>
      </c>
      <c r="F125" s="95">
        <f t="shared" si="25"/>
        <v>5340.7839999999997</v>
      </c>
      <c r="G125" s="72">
        <v>8.5</v>
      </c>
      <c r="H125" s="95">
        <f t="shared" si="26"/>
        <v>1973.768</v>
      </c>
      <c r="I125" s="95">
        <f t="shared" si="23"/>
        <v>7314.5519999999997</v>
      </c>
      <c r="J125" s="126"/>
      <c r="L125" s="117"/>
    </row>
    <row r="126" spans="1:15" s="96" customFormat="1" ht="20.25" customHeight="1">
      <c r="A126" s="138"/>
      <c r="B126" s="94" t="s">
        <v>236</v>
      </c>
      <c r="C126" s="94">
        <f>(150*7.47)+(49.8*7.47)+(13.72*5*7.47)</f>
        <v>2004.9479999999999</v>
      </c>
      <c r="D126" s="98" t="s">
        <v>78</v>
      </c>
      <c r="E126" s="72">
        <v>23</v>
      </c>
      <c r="F126" s="95">
        <f t="shared" si="25"/>
        <v>46113.803999999996</v>
      </c>
      <c r="G126" s="72">
        <v>8.5</v>
      </c>
      <c r="H126" s="95">
        <f t="shared" si="26"/>
        <v>17042.057999999997</v>
      </c>
      <c r="I126" s="95">
        <f t="shared" si="23"/>
        <v>63155.861999999994</v>
      </c>
      <c r="J126" s="126"/>
      <c r="L126" s="117"/>
    </row>
    <row r="127" spans="1:15" s="96" customFormat="1" ht="20.25" customHeight="1">
      <c r="A127" s="138"/>
      <c r="B127" s="94" t="s">
        <v>237</v>
      </c>
      <c r="C127" s="94">
        <f>12.26*2*20.1</f>
        <v>492.85200000000003</v>
      </c>
      <c r="D127" s="98" t="s">
        <v>78</v>
      </c>
      <c r="E127" s="72">
        <v>25.99</v>
      </c>
      <c r="F127" s="95">
        <f t="shared" si="25"/>
        <v>12809.223480000001</v>
      </c>
      <c r="G127" s="72">
        <v>8.5</v>
      </c>
      <c r="H127" s="95">
        <f t="shared" si="26"/>
        <v>4189.2420000000002</v>
      </c>
      <c r="I127" s="95">
        <f t="shared" si="23"/>
        <v>16998.465479999999</v>
      </c>
      <c r="J127" s="126"/>
      <c r="L127" s="117"/>
    </row>
    <row r="128" spans="1:15" s="96" customFormat="1" ht="20.25" customHeight="1">
      <c r="A128" s="138"/>
      <c r="B128" s="94" t="s">
        <v>238</v>
      </c>
      <c r="C128" s="94">
        <f>15.4*2*13.1</f>
        <v>403.48</v>
      </c>
      <c r="D128" s="98" t="s">
        <v>78</v>
      </c>
      <c r="E128" s="72">
        <v>25.99</v>
      </c>
      <c r="F128" s="95">
        <f t="shared" si="25"/>
        <v>10486.4452</v>
      </c>
      <c r="G128" s="72">
        <v>8.5</v>
      </c>
      <c r="H128" s="95">
        <f t="shared" si="26"/>
        <v>3429.58</v>
      </c>
      <c r="I128" s="95">
        <f t="shared" si="23"/>
        <v>13916.0252</v>
      </c>
      <c r="J128" s="126"/>
      <c r="L128" s="117"/>
    </row>
    <row r="129" spans="1:13" s="96" customFormat="1" ht="20.25" customHeight="1">
      <c r="A129" s="138"/>
      <c r="B129" s="94"/>
      <c r="C129" s="94"/>
      <c r="D129" s="130"/>
      <c r="E129" s="72"/>
      <c r="F129" s="95"/>
      <c r="G129" s="72"/>
      <c r="H129" s="95"/>
      <c r="I129" s="95"/>
      <c r="J129" s="126"/>
      <c r="L129" s="117"/>
    </row>
    <row r="130" spans="1:13" ht="20.25" customHeight="1">
      <c r="A130" s="137"/>
      <c r="B130" s="92"/>
      <c r="C130" s="92"/>
      <c r="D130" s="88"/>
      <c r="E130" s="71"/>
      <c r="F130" s="93"/>
      <c r="G130" s="72"/>
      <c r="H130" s="93"/>
      <c r="I130" s="93"/>
      <c r="J130" s="129"/>
    </row>
    <row r="131" spans="1:13" ht="20.25" customHeight="1">
      <c r="A131" s="137"/>
      <c r="B131" s="92"/>
      <c r="C131" s="92"/>
      <c r="D131" s="88"/>
      <c r="E131" s="71"/>
      <c r="F131" s="93"/>
      <c r="G131" s="72"/>
      <c r="H131" s="93"/>
      <c r="I131" s="93"/>
      <c r="J131" s="129"/>
      <c r="L131" s="117">
        <f>SUM(I123:I128)</f>
        <v>300270.23203999997</v>
      </c>
      <c r="M131" s="89">
        <f>SUM(I109:I129)</f>
        <v>686577.00357523002</v>
      </c>
    </row>
    <row r="132" spans="1:13" ht="20.25" customHeight="1">
      <c r="A132" s="141"/>
      <c r="B132" s="131" t="s">
        <v>24</v>
      </c>
      <c r="C132" s="129"/>
      <c r="D132" s="93"/>
      <c r="E132" s="71"/>
      <c r="F132" s="93"/>
      <c r="G132" s="72"/>
      <c r="H132" s="93"/>
      <c r="I132" s="131">
        <f>SUM(I107:I131)</f>
        <v>2974732.1139937239</v>
      </c>
      <c r="J132" s="129"/>
    </row>
  </sheetData>
  <mergeCells count="28">
    <mergeCell ref="A1:J1"/>
    <mergeCell ref="B7:B8"/>
    <mergeCell ref="C7:C8"/>
    <mergeCell ref="D7:D8"/>
    <mergeCell ref="E7:F7"/>
    <mergeCell ref="G7:H7"/>
    <mergeCell ref="J7:J8"/>
    <mergeCell ref="A32:J32"/>
    <mergeCell ref="B39:B40"/>
    <mergeCell ref="C39:C40"/>
    <mergeCell ref="D39:D40"/>
    <mergeCell ref="E39:F39"/>
    <mergeCell ref="G39:H39"/>
    <mergeCell ref="J39:J40"/>
    <mergeCell ref="A67:J67"/>
    <mergeCell ref="B74:B75"/>
    <mergeCell ref="C74:C75"/>
    <mergeCell ref="D74:D75"/>
    <mergeCell ref="E74:F74"/>
    <mergeCell ref="G74:H74"/>
    <mergeCell ref="J74:J75"/>
    <mergeCell ref="A98:J98"/>
    <mergeCell ref="B105:B106"/>
    <mergeCell ref="C105:C106"/>
    <mergeCell ref="D105:D106"/>
    <mergeCell ref="E105:F105"/>
    <mergeCell ref="G105:H105"/>
    <mergeCell ref="J105:J106"/>
  </mergeCells>
  <pageMargins left="0.32" right="0.21" top="0.17" bottom="0.17" header="0.17" footer="0.21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0"/>
  </sheetPr>
  <dimension ref="A1:IW36"/>
  <sheetViews>
    <sheetView showGridLines="0" view="pageBreakPreview" topLeftCell="A4" zoomScaleNormal="115" zoomScaleSheetLayoutView="100" workbookViewId="0">
      <selection activeCell="D9" sqref="D9"/>
    </sheetView>
  </sheetViews>
  <sheetFormatPr defaultColWidth="0" defaultRowHeight="19.95" customHeight="1"/>
  <cols>
    <col min="1" max="1" width="7.625" style="73" customWidth="1"/>
    <col min="2" max="2" width="43.5" style="73" customWidth="1"/>
    <col min="3" max="3" width="18.75" style="73" bestFit="1" customWidth="1"/>
    <col min="4" max="4" width="9.625" style="73" customWidth="1"/>
    <col min="5" max="5" width="16" style="73" customWidth="1"/>
    <col min="6" max="6" width="18.75" style="73" customWidth="1"/>
    <col min="7" max="255" width="0" style="73" hidden="1"/>
    <col min="256" max="256" width="7.625" style="73" customWidth="1"/>
    <col min="257" max="257" width="17.375" style="73" customWidth="1"/>
    <col min="258" max="258" width="9.625" style="73" customWidth="1"/>
    <col min="259" max="259" width="16" style="73" customWidth="1"/>
    <col min="260" max="260" width="12.25" style="73" customWidth="1"/>
    <col min="261" max="261" width="1.75" style="73" customWidth="1"/>
    <col min="262" max="510" width="0" style="73" hidden="1"/>
    <col min="511" max="511" width="7.625" style="73" customWidth="1"/>
    <col min="512" max="512" width="30" style="73" customWidth="1"/>
    <col min="513" max="513" width="17.375" style="73" customWidth="1"/>
    <col min="514" max="514" width="9.625" style="73" customWidth="1"/>
    <col min="515" max="515" width="16" style="73" customWidth="1"/>
    <col min="516" max="516" width="12.25" style="73" customWidth="1"/>
    <col min="517" max="517" width="1.75" style="73" customWidth="1"/>
    <col min="518" max="766" width="0" style="73" hidden="1"/>
    <col min="767" max="767" width="7.625" style="73" customWidth="1"/>
    <col min="768" max="768" width="30" style="73" customWidth="1"/>
    <col min="769" max="769" width="17.375" style="73" customWidth="1"/>
    <col min="770" max="770" width="9.625" style="73" customWidth="1"/>
    <col min="771" max="771" width="16" style="73" customWidth="1"/>
    <col min="772" max="772" width="12.25" style="73" customWidth="1"/>
    <col min="773" max="773" width="1.75" style="73" customWidth="1"/>
    <col min="774" max="1022" width="0" style="73" hidden="1"/>
    <col min="1023" max="1023" width="7.625" style="73" customWidth="1"/>
    <col min="1024" max="1024" width="30" style="73" customWidth="1"/>
    <col min="1025" max="1025" width="17.375" style="73" customWidth="1"/>
    <col min="1026" max="1026" width="9.625" style="73" customWidth="1"/>
    <col min="1027" max="1027" width="16" style="73" customWidth="1"/>
    <col min="1028" max="1028" width="12.25" style="73" customWidth="1"/>
    <col min="1029" max="1029" width="1.75" style="73" customWidth="1"/>
    <col min="1030" max="1278" width="0" style="73" hidden="1"/>
    <col min="1279" max="1279" width="7.625" style="73" customWidth="1"/>
    <col min="1280" max="1280" width="30" style="73" customWidth="1"/>
    <col min="1281" max="1281" width="17.375" style="73" customWidth="1"/>
    <col min="1282" max="1282" width="9.625" style="73" customWidth="1"/>
    <col min="1283" max="1283" width="16" style="73" customWidth="1"/>
    <col min="1284" max="1284" width="12.25" style="73" customWidth="1"/>
    <col min="1285" max="1285" width="1.75" style="73" customWidth="1"/>
    <col min="1286" max="1534" width="0" style="73" hidden="1"/>
    <col min="1535" max="1535" width="7.625" style="73" customWidth="1"/>
    <col min="1536" max="1536" width="30" style="73" customWidth="1"/>
    <col min="1537" max="1537" width="17.375" style="73" customWidth="1"/>
    <col min="1538" max="1538" width="9.625" style="73" customWidth="1"/>
    <col min="1539" max="1539" width="16" style="73" customWidth="1"/>
    <col min="1540" max="1540" width="12.25" style="73" customWidth="1"/>
    <col min="1541" max="1541" width="1.75" style="73" customWidth="1"/>
    <col min="1542" max="1790" width="0" style="73" hidden="1"/>
    <col min="1791" max="1791" width="7.625" style="73" customWidth="1"/>
    <col min="1792" max="1792" width="30" style="73" customWidth="1"/>
    <col min="1793" max="1793" width="17.375" style="73" customWidth="1"/>
    <col min="1794" max="1794" width="9.625" style="73" customWidth="1"/>
    <col min="1795" max="1795" width="16" style="73" customWidth="1"/>
    <col min="1796" max="1796" width="12.25" style="73" customWidth="1"/>
    <col min="1797" max="1797" width="1.75" style="73" customWidth="1"/>
    <col min="1798" max="2046" width="0" style="73" hidden="1"/>
    <col min="2047" max="2047" width="7.625" style="73" customWidth="1"/>
    <col min="2048" max="2048" width="30" style="73" customWidth="1"/>
    <col min="2049" max="2049" width="17.375" style="73" customWidth="1"/>
    <col min="2050" max="2050" width="9.625" style="73" customWidth="1"/>
    <col min="2051" max="2051" width="16" style="73" customWidth="1"/>
    <col min="2052" max="2052" width="12.25" style="73" customWidth="1"/>
    <col min="2053" max="2053" width="1.75" style="73" customWidth="1"/>
    <col min="2054" max="2302" width="0" style="73" hidden="1"/>
    <col min="2303" max="2303" width="7.625" style="73" customWidth="1"/>
    <col min="2304" max="2304" width="30" style="73" customWidth="1"/>
    <col min="2305" max="2305" width="17.375" style="73" customWidth="1"/>
    <col min="2306" max="2306" width="9.625" style="73" customWidth="1"/>
    <col min="2307" max="2307" width="16" style="73" customWidth="1"/>
    <col min="2308" max="2308" width="12.25" style="73" customWidth="1"/>
    <col min="2309" max="2309" width="1.75" style="73" customWidth="1"/>
    <col min="2310" max="2558" width="0" style="73" hidden="1"/>
    <col min="2559" max="2559" width="7.625" style="73" customWidth="1"/>
    <col min="2560" max="2560" width="30" style="73" customWidth="1"/>
    <col min="2561" max="2561" width="17.375" style="73" customWidth="1"/>
    <col min="2562" max="2562" width="9.625" style="73" customWidth="1"/>
    <col min="2563" max="2563" width="16" style="73" customWidth="1"/>
    <col min="2564" max="2564" width="12.25" style="73" customWidth="1"/>
    <col min="2565" max="2565" width="1.75" style="73" customWidth="1"/>
    <col min="2566" max="2814" width="0" style="73" hidden="1"/>
    <col min="2815" max="2815" width="7.625" style="73" customWidth="1"/>
    <col min="2816" max="2816" width="30" style="73" customWidth="1"/>
    <col min="2817" max="2817" width="17.375" style="73" customWidth="1"/>
    <col min="2818" max="2818" width="9.625" style="73" customWidth="1"/>
    <col min="2819" max="2819" width="16" style="73" customWidth="1"/>
    <col min="2820" max="2820" width="12.25" style="73" customWidth="1"/>
    <col min="2821" max="2821" width="1.75" style="73" customWidth="1"/>
    <col min="2822" max="3070" width="0" style="73" hidden="1"/>
    <col min="3071" max="3071" width="7.625" style="73" customWidth="1"/>
    <col min="3072" max="3072" width="30" style="73" customWidth="1"/>
    <col min="3073" max="3073" width="17.375" style="73" customWidth="1"/>
    <col min="3074" max="3074" width="9.625" style="73" customWidth="1"/>
    <col min="3075" max="3075" width="16" style="73" customWidth="1"/>
    <col min="3076" max="3076" width="12.25" style="73" customWidth="1"/>
    <col min="3077" max="3077" width="1.75" style="73" customWidth="1"/>
    <col min="3078" max="3326" width="0" style="73" hidden="1"/>
    <col min="3327" max="3327" width="7.625" style="73" customWidth="1"/>
    <col min="3328" max="3328" width="30" style="73" customWidth="1"/>
    <col min="3329" max="3329" width="17.375" style="73" customWidth="1"/>
    <col min="3330" max="3330" width="9.625" style="73" customWidth="1"/>
    <col min="3331" max="3331" width="16" style="73" customWidth="1"/>
    <col min="3332" max="3332" width="12.25" style="73" customWidth="1"/>
    <col min="3333" max="3333" width="1.75" style="73" customWidth="1"/>
    <col min="3334" max="3582" width="0" style="73" hidden="1"/>
    <col min="3583" max="3583" width="7.625" style="73" customWidth="1"/>
    <col min="3584" max="3584" width="30" style="73" customWidth="1"/>
    <col min="3585" max="3585" width="17.375" style="73" customWidth="1"/>
    <col min="3586" max="3586" width="9.625" style="73" customWidth="1"/>
    <col min="3587" max="3587" width="16" style="73" customWidth="1"/>
    <col min="3588" max="3588" width="12.25" style="73" customWidth="1"/>
    <col min="3589" max="3589" width="1.75" style="73" customWidth="1"/>
    <col min="3590" max="3838" width="0" style="73" hidden="1"/>
    <col min="3839" max="3839" width="7.625" style="73" customWidth="1"/>
    <col min="3840" max="3840" width="30" style="73" customWidth="1"/>
    <col min="3841" max="3841" width="17.375" style="73" customWidth="1"/>
    <col min="3842" max="3842" width="9.625" style="73" customWidth="1"/>
    <col min="3843" max="3843" width="16" style="73" customWidth="1"/>
    <col min="3844" max="3844" width="12.25" style="73" customWidth="1"/>
    <col min="3845" max="3845" width="1.75" style="73" customWidth="1"/>
    <col min="3846" max="4094" width="0" style="73" hidden="1"/>
    <col min="4095" max="4095" width="7.625" style="73" customWidth="1"/>
    <col min="4096" max="4096" width="30" style="73" customWidth="1"/>
    <col min="4097" max="4097" width="17.375" style="73" customWidth="1"/>
    <col min="4098" max="4098" width="9.625" style="73" customWidth="1"/>
    <col min="4099" max="4099" width="16" style="73" customWidth="1"/>
    <col min="4100" max="4100" width="12.25" style="73" customWidth="1"/>
    <col min="4101" max="4101" width="1.75" style="73" customWidth="1"/>
    <col min="4102" max="4350" width="0" style="73" hidden="1"/>
    <col min="4351" max="4351" width="7.625" style="73" customWidth="1"/>
    <col min="4352" max="4352" width="30" style="73" customWidth="1"/>
    <col min="4353" max="4353" width="17.375" style="73" customWidth="1"/>
    <col min="4354" max="4354" width="9.625" style="73" customWidth="1"/>
    <col min="4355" max="4355" width="16" style="73" customWidth="1"/>
    <col min="4356" max="4356" width="12.25" style="73" customWidth="1"/>
    <col min="4357" max="4357" width="1.75" style="73" customWidth="1"/>
    <col min="4358" max="4606" width="0" style="73" hidden="1"/>
    <col min="4607" max="4607" width="7.625" style="73" customWidth="1"/>
    <col min="4608" max="4608" width="30" style="73" customWidth="1"/>
    <col min="4609" max="4609" width="17.375" style="73" customWidth="1"/>
    <col min="4610" max="4610" width="9.625" style="73" customWidth="1"/>
    <col min="4611" max="4611" width="16" style="73" customWidth="1"/>
    <col min="4612" max="4612" width="12.25" style="73" customWidth="1"/>
    <col min="4613" max="4613" width="1.75" style="73" customWidth="1"/>
    <col min="4614" max="4862" width="0" style="73" hidden="1"/>
    <col min="4863" max="4863" width="7.625" style="73" customWidth="1"/>
    <col min="4864" max="4864" width="30" style="73" customWidth="1"/>
    <col min="4865" max="4865" width="17.375" style="73" customWidth="1"/>
    <col min="4866" max="4866" width="9.625" style="73" customWidth="1"/>
    <col min="4867" max="4867" width="16" style="73" customWidth="1"/>
    <col min="4868" max="4868" width="12.25" style="73" customWidth="1"/>
    <col min="4869" max="4869" width="1.75" style="73" customWidth="1"/>
    <col min="4870" max="5118" width="0" style="73" hidden="1"/>
    <col min="5119" max="5119" width="7.625" style="73" customWidth="1"/>
    <col min="5120" max="5120" width="30" style="73" customWidth="1"/>
    <col min="5121" max="5121" width="17.375" style="73" customWidth="1"/>
    <col min="5122" max="5122" width="9.625" style="73" customWidth="1"/>
    <col min="5123" max="5123" width="16" style="73" customWidth="1"/>
    <col min="5124" max="5124" width="12.25" style="73" customWidth="1"/>
    <col min="5125" max="5125" width="1.75" style="73" customWidth="1"/>
    <col min="5126" max="5374" width="0" style="73" hidden="1"/>
    <col min="5375" max="5375" width="7.625" style="73" customWidth="1"/>
    <col min="5376" max="5376" width="30" style="73" customWidth="1"/>
    <col min="5377" max="5377" width="17.375" style="73" customWidth="1"/>
    <col min="5378" max="5378" width="9.625" style="73" customWidth="1"/>
    <col min="5379" max="5379" width="16" style="73" customWidth="1"/>
    <col min="5380" max="5380" width="12.25" style="73" customWidth="1"/>
    <col min="5381" max="5381" width="1.75" style="73" customWidth="1"/>
    <col min="5382" max="5630" width="0" style="73" hidden="1"/>
    <col min="5631" max="5631" width="7.625" style="73" customWidth="1"/>
    <col min="5632" max="5632" width="30" style="73" customWidth="1"/>
    <col min="5633" max="5633" width="17.375" style="73" customWidth="1"/>
    <col min="5634" max="5634" width="9.625" style="73" customWidth="1"/>
    <col min="5635" max="5635" width="16" style="73" customWidth="1"/>
    <col min="5636" max="5636" width="12.25" style="73" customWidth="1"/>
    <col min="5637" max="5637" width="1.75" style="73" customWidth="1"/>
    <col min="5638" max="5886" width="0" style="73" hidden="1"/>
    <col min="5887" max="5887" width="7.625" style="73" customWidth="1"/>
    <col min="5888" max="5888" width="30" style="73" customWidth="1"/>
    <col min="5889" max="5889" width="17.375" style="73" customWidth="1"/>
    <col min="5890" max="5890" width="9.625" style="73" customWidth="1"/>
    <col min="5891" max="5891" width="16" style="73" customWidth="1"/>
    <col min="5892" max="5892" width="12.25" style="73" customWidth="1"/>
    <col min="5893" max="5893" width="1.75" style="73" customWidth="1"/>
    <col min="5894" max="6142" width="0" style="73" hidden="1"/>
    <col min="6143" max="6143" width="7.625" style="73" customWidth="1"/>
    <col min="6144" max="6144" width="30" style="73" customWidth="1"/>
    <col min="6145" max="6145" width="17.375" style="73" customWidth="1"/>
    <col min="6146" max="6146" width="9.625" style="73" customWidth="1"/>
    <col min="6147" max="6147" width="16" style="73" customWidth="1"/>
    <col min="6148" max="6148" width="12.25" style="73" customWidth="1"/>
    <col min="6149" max="6149" width="1.75" style="73" customWidth="1"/>
    <col min="6150" max="6398" width="0" style="73" hidden="1"/>
    <col min="6399" max="6399" width="7.625" style="73" customWidth="1"/>
    <col min="6400" max="6400" width="30" style="73" customWidth="1"/>
    <col min="6401" max="6401" width="17.375" style="73" customWidth="1"/>
    <col min="6402" max="6402" width="9.625" style="73" customWidth="1"/>
    <col min="6403" max="6403" width="16" style="73" customWidth="1"/>
    <col min="6404" max="6404" width="12.25" style="73" customWidth="1"/>
    <col min="6405" max="6405" width="1.75" style="73" customWidth="1"/>
    <col min="6406" max="6654" width="0" style="73" hidden="1"/>
    <col min="6655" max="6655" width="7.625" style="73" customWidth="1"/>
    <col min="6656" max="6656" width="30" style="73" customWidth="1"/>
    <col min="6657" max="6657" width="17.375" style="73" customWidth="1"/>
    <col min="6658" max="6658" width="9.625" style="73" customWidth="1"/>
    <col min="6659" max="6659" width="16" style="73" customWidth="1"/>
    <col min="6660" max="6660" width="12.25" style="73" customWidth="1"/>
    <col min="6661" max="6661" width="1.75" style="73" customWidth="1"/>
    <col min="6662" max="6910" width="0" style="73" hidden="1"/>
    <col min="6911" max="6911" width="7.625" style="73" customWidth="1"/>
    <col min="6912" max="6912" width="30" style="73" customWidth="1"/>
    <col min="6913" max="6913" width="17.375" style="73" customWidth="1"/>
    <col min="6914" max="6914" width="9.625" style="73" customWidth="1"/>
    <col min="6915" max="6915" width="16" style="73" customWidth="1"/>
    <col min="6916" max="6916" width="12.25" style="73" customWidth="1"/>
    <col min="6917" max="6917" width="1.75" style="73" customWidth="1"/>
    <col min="6918" max="7166" width="0" style="73" hidden="1"/>
    <col min="7167" max="7167" width="7.625" style="73" customWidth="1"/>
    <col min="7168" max="7168" width="30" style="73" customWidth="1"/>
    <col min="7169" max="7169" width="17.375" style="73" customWidth="1"/>
    <col min="7170" max="7170" width="9.625" style="73" customWidth="1"/>
    <col min="7171" max="7171" width="16" style="73" customWidth="1"/>
    <col min="7172" max="7172" width="12.25" style="73" customWidth="1"/>
    <col min="7173" max="7173" width="1.75" style="73" customWidth="1"/>
    <col min="7174" max="7422" width="0" style="73" hidden="1"/>
    <col min="7423" max="7423" width="7.625" style="73" customWidth="1"/>
    <col min="7424" max="7424" width="30" style="73" customWidth="1"/>
    <col min="7425" max="7425" width="17.375" style="73" customWidth="1"/>
    <col min="7426" max="7426" width="9.625" style="73" customWidth="1"/>
    <col min="7427" max="7427" width="16" style="73" customWidth="1"/>
    <col min="7428" max="7428" width="12.25" style="73" customWidth="1"/>
    <col min="7429" max="7429" width="1.75" style="73" customWidth="1"/>
    <col min="7430" max="7678" width="0" style="73" hidden="1"/>
    <col min="7679" max="7679" width="7.625" style="73" customWidth="1"/>
    <col min="7680" max="7680" width="30" style="73" customWidth="1"/>
    <col min="7681" max="7681" width="17.375" style="73" customWidth="1"/>
    <col min="7682" max="7682" width="9.625" style="73" customWidth="1"/>
    <col min="7683" max="7683" width="16" style="73" customWidth="1"/>
    <col min="7684" max="7684" width="12.25" style="73" customWidth="1"/>
    <col min="7685" max="7685" width="1.75" style="73" customWidth="1"/>
    <col min="7686" max="7934" width="0" style="73" hidden="1"/>
    <col min="7935" max="7935" width="7.625" style="73" customWidth="1"/>
    <col min="7936" max="7936" width="30" style="73" customWidth="1"/>
    <col min="7937" max="7937" width="17.375" style="73" customWidth="1"/>
    <col min="7938" max="7938" width="9.625" style="73" customWidth="1"/>
    <col min="7939" max="7939" width="16" style="73" customWidth="1"/>
    <col min="7940" max="7940" width="12.25" style="73" customWidth="1"/>
    <col min="7941" max="7941" width="1.75" style="73" customWidth="1"/>
    <col min="7942" max="8190" width="0" style="73" hidden="1"/>
    <col min="8191" max="8191" width="7.625" style="73" customWidth="1"/>
    <col min="8192" max="8192" width="30" style="73" customWidth="1"/>
    <col min="8193" max="8193" width="17.375" style="73" customWidth="1"/>
    <col min="8194" max="8194" width="9.625" style="73" customWidth="1"/>
    <col min="8195" max="8195" width="16" style="73" customWidth="1"/>
    <col min="8196" max="8196" width="12.25" style="73" customWidth="1"/>
    <col min="8197" max="8197" width="1.75" style="73" customWidth="1"/>
    <col min="8198" max="8446" width="0" style="73" hidden="1"/>
    <col min="8447" max="8447" width="7.625" style="73" customWidth="1"/>
    <col min="8448" max="8448" width="30" style="73" customWidth="1"/>
    <col min="8449" max="8449" width="17.375" style="73" customWidth="1"/>
    <col min="8450" max="8450" width="9.625" style="73" customWidth="1"/>
    <col min="8451" max="8451" width="16" style="73" customWidth="1"/>
    <col min="8452" max="8452" width="12.25" style="73" customWidth="1"/>
    <col min="8453" max="8453" width="1.75" style="73" customWidth="1"/>
    <col min="8454" max="8702" width="0" style="73" hidden="1"/>
    <col min="8703" max="8703" width="7.625" style="73" customWidth="1"/>
    <col min="8704" max="8704" width="30" style="73" customWidth="1"/>
    <col min="8705" max="8705" width="17.375" style="73" customWidth="1"/>
    <col min="8706" max="8706" width="9.625" style="73" customWidth="1"/>
    <col min="8707" max="8707" width="16" style="73" customWidth="1"/>
    <col min="8708" max="8708" width="12.25" style="73" customWidth="1"/>
    <col min="8709" max="8709" width="1.75" style="73" customWidth="1"/>
    <col min="8710" max="8958" width="0" style="73" hidden="1"/>
    <col min="8959" max="8959" width="7.625" style="73" customWidth="1"/>
    <col min="8960" max="8960" width="30" style="73" customWidth="1"/>
    <col min="8961" max="8961" width="17.375" style="73" customWidth="1"/>
    <col min="8962" max="8962" width="9.625" style="73" customWidth="1"/>
    <col min="8963" max="8963" width="16" style="73" customWidth="1"/>
    <col min="8964" max="8964" width="12.25" style="73" customWidth="1"/>
    <col min="8965" max="8965" width="1.75" style="73" customWidth="1"/>
    <col min="8966" max="9214" width="0" style="73" hidden="1"/>
    <col min="9215" max="9215" width="7.625" style="73" customWidth="1"/>
    <col min="9216" max="9216" width="30" style="73" customWidth="1"/>
    <col min="9217" max="9217" width="17.375" style="73" customWidth="1"/>
    <col min="9218" max="9218" width="9.625" style="73" customWidth="1"/>
    <col min="9219" max="9219" width="16" style="73" customWidth="1"/>
    <col min="9220" max="9220" width="12.25" style="73" customWidth="1"/>
    <col min="9221" max="9221" width="1.75" style="73" customWidth="1"/>
    <col min="9222" max="9470" width="0" style="73" hidden="1"/>
    <col min="9471" max="9471" width="7.625" style="73" customWidth="1"/>
    <col min="9472" max="9472" width="30" style="73" customWidth="1"/>
    <col min="9473" max="9473" width="17.375" style="73" customWidth="1"/>
    <col min="9474" max="9474" width="9.625" style="73" customWidth="1"/>
    <col min="9475" max="9475" width="16" style="73" customWidth="1"/>
    <col min="9476" max="9476" width="12.25" style="73" customWidth="1"/>
    <col min="9477" max="9477" width="1.75" style="73" customWidth="1"/>
    <col min="9478" max="9726" width="0" style="73" hidden="1"/>
    <col min="9727" max="9727" width="7.625" style="73" customWidth="1"/>
    <col min="9728" max="9728" width="30" style="73" customWidth="1"/>
    <col min="9729" max="9729" width="17.375" style="73" customWidth="1"/>
    <col min="9730" max="9730" width="9.625" style="73" customWidth="1"/>
    <col min="9731" max="9731" width="16" style="73" customWidth="1"/>
    <col min="9732" max="9732" width="12.25" style="73" customWidth="1"/>
    <col min="9733" max="9733" width="1.75" style="73" customWidth="1"/>
    <col min="9734" max="9982" width="0" style="73" hidden="1"/>
    <col min="9983" max="9983" width="7.625" style="73" customWidth="1"/>
    <col min="9984" max="9984" width="30" style="73" customWidth="1"/>
    <col min="9985" max="9985" width="17.375" style="73" customWidth="1"/>
    <col min="9986" max="9986" width="9.625" style="73" customWidth="1"/>
    <col min="9987" max="9987" width="16" style="73" customWidth="1"/>
    <col min="9988" max="9988" width="12.25" style="73" customWidth="1"/>
    <col min="9989" max="9989" width="1.75" style="73" customWidth="1"/>
    <col min="9990" max="10238" width="0" style="73" hidden="1"/>
    <col min="10239" max="10239" width="7.625" style="73" customWidth="1"/>
    <col min="10240" max="10240" width="30" style="73" customWidth="1"/>
    <col min="10241" max="10241" width="17.375" style="73" customWidth="1"/>
    <col min="10242" max="10242" width="9.625" style="73" customWidth="1"/>
    <col min="10243" max="10243" width="16" style="73" customWidth="1"/>
    <col min="10244" max="10244" width="12.25" style="73" customWidth="1"/>
    <col min="10245" max="10245" width="1.75" style="73" customWidth="1"/>
    <col min="10246" max="10494" width="0" style="73" hidden="1"/>
    <col min="10495" max="10495" width="7.625" style="73" customWidth="1"/>
    <col min="10496" max="10496" width="30" style="73" customWidth="1"/>
    <col min="10497" max="10497" width="17.375" style="73" customWidth="1"/>
    <col min="10498" max="10498" width="9.625" style="73" customWidth="1"/>
    <col min="10499" max="10499" width="16" style="73" customWidth="1"/>
    <col min="10500" max="10500" width="12.25" style="73" customWidth="1"/>
    <col min="10501" max="10501" width="1.75" style="73" customWidth="1"/>
    <col min="10502" max="10750" width="0" style="73" hidden="1"/>
    <col min="10751" max="10751" width="7.625" style="73" customWidth="1"/>
    <col min="10752" max="10752" width="30" style="73" customWidth="1"/>
    <col min="10753" max="10753" width="17.375" style="73" customWidth="1"/>
    <col min="10754" max="10754" width="9.625" style="73" customWidth="1"/>
    <col min="10755" max="10755" width="16" style="73" customWidth="1"/>
    <col min="10756" max="10756" width="12.25" style="73" customWidth="1"/>
    <col min="10757" max="10757" width="1.75" style="73" customWidth="1"/>
    <col min="10758" max="11006" width="0" style="73" hidden="1"/>
    <col min="11007" max="11007" width="7.625" style="73" customWidth="1"/>
    <col min="11008" max="11008" width="30" style="73" customWidth="1"/>
    <col min="11009" max="11009" width="17.375" style="73" customWidth="1"/>
    <col min="11010" max="11010" width="9.625" style="73" customWidth="1"/>
    <col min="11011" max="11011" width="16" style="73" customWidth="1"/>
    <col min="11012" max="11012" width="12.25" style="73" customWidth="1"/>
    <col min="11013" max="11013" width="1.75" style="73" customWidth="1"/>
    <col min="11014" max="11262" width="0" style="73" hidden="1"/>
    <col min="11263" max="11263" width="7.625" style="73" customWidth="1"/>
    <col min="11264" max="11264" width="30" style="73" customWidth="1"/>
    <col min="11265" max="11265" width="17.375" style="73" customWidth="1"/>
    <col min="11266" max="11266" width="9.625" style="73" customWidth="1"/>
    <col min="11267" max="11267" width="16" style="73" customWidth="1"/>
    <col min="11268" max="11268" width="12.25" style="73" customWidth="1"/>
    <col min="11269" max="11269" width="1.75" style="73" customWidth="1"/>
    <col min="11270" max="11518" width="0" style="73" hidden="1"/>
    <col min="11519" max="11519" width="7.625" style="73" customWidth="1"/>
    <col min="11520" max="11520" width="30" style="73" customWidth="1"/>
    <col min="11521" max="11521" width="17.375" style="73" customWidth="1"/>
    <col min="11522" max="11522" width="9.625" style="73" customWidth="1"/>
    <col min="11523" max="11523" width="16" style="73" customWidth="1"/>
    <col min="11524" max="11524" width="12.25" style="73" customWidth="1"/>
    <col min="11525" max="11525" width="1.75" style="73" customWidth="1"/>
    <col min="11526" max="11774" width="0" style="73" hidden="1"/>
    <col min="11775" max="11775" width="7.625" style="73" customWidth="1"/>
    <col min="11776" max="11776" width="30" style="73" customWidth="1"/>
    <col min="11777" max="11777" width="17.375" style="73" customWidth="1"/>
    <col min="11778" max="11778" width="9.625" style="73" customWidth="1"/>
    <col min="11779" max="11779" width="16" style="73" customWidth="1"/>
    <col min="11780" max="11780" width="12.25" style="73" customWidth="1"/>
    <col min="11781" max="11781" width="1.75" style="73" customWidth="1"/>
    <col min="11782" max="12030" width="0" style="73" hidden="1"/>
    <col min="12031" max="12031" width="7.625" style="73" customWidth="1"/>
    <col min="12032" max="12032" width="30" style="73" customWidth="1"/>
    <col min="12033" max="12033" width="17.375" style="73" customWidth="1"/>
    <col min="12034" max="12034" width="9.625" style="73" customWidth="1"/>
    <col min="12035" max="12035" width="16" style="73" customWidth="1"/>
    <col min="12036" max="12036" width="12.25" style="73" customWidth="1"/>
    <col min="12037" max="12037" width="1.75" style="73" customWidth="1"/>
    <col min="12038" max="12286" width="0" style="73" hidden="1"/>
    <col min="12287" max="12287" width="7.625" style="73" customWidth="1"/>
    <col min="12288" max="12288" width="30" style="73" customWidth="1"/>
    <col min="12289" max="12289" width="17.375" style="73" customWidth="1"/>
    <col min="12290" max="12290" width="9.625" style="73" customWidth="1"/>
    <col min="12291" max="12291" width="16" style="73" customWidth="1"/>
    <col min="12292" max="12292" width="12.25" style="73" customWidth="1"/>
    <col min="12293" max="12293" width="1.75" style="73" customWidth="1"/>
    <col min="12294" max="12542" width="0" style="73" hidden="1"/>
    <col min="12543" max="12543" width="7.625" style="73" customWidth="1"/>
    <col min="12544" max="12544" width="30" style="73" customWidth="1"/>
    <col min="12545" max="12545" width="17.375" style="73" customWidth="1"/>
    <col min="12546" max="12546" width="9.625" style="73" customWidth="1"/>
    <col min="12547" max="12547" width="16" style="73" customWidth="1"/>
    <col min="12548" max="12548" width="12.25" style="73" customWidth="1"/>
    <col min="12549" max="12549" width="1.75" style="73" customWidth="1"/>
    <col min="12550" max="12798" width="0" style="73" hidden="1"/>
    <col min="12799" max="12799" width="7.625" style="73" customWidth="1"/>
    <col min="12800" max="12800" width="30" style="73" customWidth="1"/>
    <col min="12801" max="12801" width="17.375" style="73" customWidth="1"/>
    <col min="12802" max="12802" width="9.625" style="73" customWidth="1"/>
    <col min="12803" max="12803" width="16" style="73" customWidth="1"/>
    <col min="12804" max="12804" width="12.25" style="73" customWidth="1"/>
    <col min="12805" max="12805" width="1.75" style="73" customWidth="1"/>
    <col min="12806" max="13054" width="0" style="73" hidden="1"/>
    <col min="13055" max="13055" width="7.625" style="73" customWidth="1"/>
    <col min="13056" max="13056" width="30" style="73" customWidth="1"/>
    <col min="13057" max="13057" width="17.375" style="73" customWidth="1"/>
    <col min="13058" max="13058" width="9.625" style="73" customWidth="1"/>
    <col min="13059" max="13059" width="16" style="73" customWidth="1"/>
    <col min="13060" max="13060" width="12.25" style="73" customWidth="1"/>
    <col min="13061" max="13061" width="1.75" style="73" customWidth="1"/>
    <col min="13062" max="13310" width="0" style="73" hidden="1"/>
    <col min="13311" max="13311" width="7.625" style="73" customWidth="1"/>
    <col min="13312" max="13312" width="30" style="73" customWidth="1"/>
    <col min="13313" max="13313" width="17.375" style="73" customWidth="1"/>
    <col min="13314" max="13314" width="9.625" style="73" customWidth="1"/>
    <col min="13315" max="13315" width="16" style="73" customWidth="1"/>
    <col min="13316" max="13316" width="12.25" style="73" customWidth="1"/>
    <col min="13317" max="13317" width="1.75" style="73" customWidth="1"/>
    <col min="13318" max="13566" width="0" style="73" hidden="1"/>
    <col min="13567" max="13567" width="7.625" style="73" customWidth="1"/>
    <col min="13568" max="13568" width="30" style="73" customWidth="1"/>
    <col min="13569" max="13569" width="17.375" style="73" customWidth="1"/>
    <col min="13570" max="13570" width="9.625" style="73" customWidth="1"/>
    <col min="13571" max="13571" width="16" style="73" customWidth="1"/>
    <col min="13572" max="13572" width="12.25" style="73" customWidth="1"/>
    <col min="13573" max="13573" width="1.75" style="73" customWidth="1"/>
    <col min="13574" max="13822" width="0" style="73" hidden="1"/>
    <col min="13823" max="13823" width="7.625" style="73" customWidth="1"/>
    <col min="13824" max="13824" width="30" style="73" customWidth="1"/>
    <col min="13825" max="13825" width="17.375" style="73" customWidth="1"/>
    <col min="13826" max="13826" width="9.625" style="73" customWidth="1"/>
    <col min="13827" max="13827" width="16" style="73" customWidth="1"/>
    <col min="13828" max="13828" width="12.25" style="73" customWidth="1"/>
    <col min="13829" max="13829" width="1.75" style="73" customWidth="1"/>
    <col min="13830" max="14078" width="0" style="73" hidden="1"/>
    <col min="14079" max="14079" width="7.625" style="73" customWidth="1"/>
    <col min="14080" max="14080" width="30" style="73" customWidth="1"/>
    <col min="14081" max="14081" width="17.375" style="73" customWidth="1"/>
    <col min="14082" max="14082" width="9.625" style="73" customWidth="1"/>
    <col min="14083" max="14083" width="16" style="73" customWidth="1"/>
    <col min="14084" max="14084" width="12.25" style="73" customWidth="1"/>
    <col min="14085" max="14085" width="1.75" style="73" customWidth="1"/>
    <col min="14086" max="14334" width="0" style="73" hidden="1"/>
    <col min="14335" max="14335" width="7.625" style="73" customWidth="1"/>
    <col min="14336" max="14336" width="30" style="73" customWidth="1"/>
    <col min="14337" max="14337" width="17.375" style="73" customWidth="1"/>
    <col min="14338" max="14338" width="9.625" style="73" customWidth="1"/>
    <col min="14339" max="14339" width="16" style="73" customWidth="1"/>
    <col min="14340" max="14340" width="12.25" style="73" customWidth="1"/>
    <col min="14341" max="14341" width="1.75" style="73" customWidth="1"/>
    <col min="14342" max="14590" width="0" style="73" hidden="1"/>
    <col min="14591" max="14591" width="7.625" style="73" customWidth="1"/>
    <col min="14592" max="14592" width="30" style="73" customWidth="1"/>
    <col min="14593" max="14593" width="17.375" style="73" customWidth="1"/>
    <col min="14594" max="14594" width="9.625" style="73" customWidth="1"/>
    <col min="14595" max="14595" width="16" style="73" customWidth="1"/>
    <col min="14596" max="14596" width="12.25" style="73" customWidth="1"/>
    <col min="14597" max="14597" width="1.75" style="73" customWidth="1"/>
    <col min="14598" max="14846" width="0" style="73" hidden="1"/>
    <col min="14847" max="14847" width="7.625" style="73" customWidth="1"/>
    <col min="14848" max="14848" width="30" style="73" customWidth="1"/>
    <col min="14849" max="14849" width="17.375" style="73" customWidth="1"/>
    <col min="14850" max="14850" width="9.625" style="73" customWidth="1"/>
    <col min="14851" max="14851" width="16" style="73" customWidth="1"/>
    <col min="14852" max="14852" width="12.25" style="73" customWidth="1"/>
    <col min="14853" max="14853" width="1.75" style="73" customWidth="1"/>
    <col min="14854" max="15102" width="0" style="73" hidden="1"/>
    <col min="15103" max="15103" width="7.625" style="73" customWidth="1"/>
    <col min="15104" max="15104" width="30" style="73" customWidth="1"/>
    <col min="15105" max="15105" width="17.375" style="73" customWidth="1"/>
    <col min="15106" max="15106" width="9.625" style="73" customWidth="1"/>
    <col min="15107" max="15107" width="16" style="73" customWidth="1"/>
    <col min="15108" max="15108" width="12.25" style="73" customWidth="1"/>
    <col min="15109" max="15109" width="1.75" style="73" customWidth="1"/>
    <col min="15110" max="15358" width="0" style="73" hidden="1"/>
    <col min="15359" max="15359" width="7.625" style="73" customWidth="1"/>
    <col min="15360" max="15360" width="30" style="73" customWidth="1"/>
    <col min="15361" max="15361" width="17.375" style="73" customWidth="1"/>
    <col min="15362" max="15362" width="9.625" style="73" customWidth="1"/>
    <col min="15363" max="15363" width="16" style="73" customWidth="1"/>
    <col min="15364" max="15364" width="12.25" style="73" customWidth="1"/>
    <col min="15365" max="15365" width="1.75" style="73" customWidth="1"/>
    <col min="15366" max="15614" width="0" style="73" hidden="1"/>
    <col min="15615" max="15615" width="7.625" style="73" customWidth="1"/>
    <col min="15616" max="15616" width="30" style="73" customWidth="1"/>
    <col min="15617" max="15617" width="17.375" style="73" customWidth="1"/>
    <col min="15618" max="15618" width="9.625" style="73" customWidth="1"/>
    <col min="15619" max="15619" width="16" style="73" customWidth="1"/>
    <col min="15620" max="15620" width="12.25" style="73" customWidth="1"/>
    <col min="15621" max="15621" width="1.75" style="73" customWidth="1"/>
    <col min="15622" max="15870" width="0" style="73" hidden="1"/>
    <col min="15871" max="15871" width="7.625" style="73" customWidth="1"/>
    <col min="15872" max="15872" width="30" style="73" customWidth="1"/>
    <col min="15873" max="15873" width="17.375" style="73" customWidth="1"/>
    <col min="15874" max="15874" width="9.625" style="73" customWidth="1"/>
    <col min="15875" max="15875" width="16" style="73" customWidth="1"/>
    <col min="15876" max="15876" width="12.25" style="73" customWidth="1"/>
    <col min="15877" max="15877" width="1.75" style="73" customWidth="1"/>
    <col min="15878" max="16384" width="0" style="73" hidden="1"/>
  </cols>
  <sheetData>
    <row r="1" spans="1:257" ht="19.95" customHeight="1">
      <c r="A1" s="755" t="s">
        <v>596</v>
      </c>
      <c r="B1" s="755"/>
      <c r="C1" s="755"/>
      <c r="D1" s="755"/>
      <c r="E1" s="755"/>
      <c r="F1" s="755"/>
    </row>
    <row r="2" spans="1:257" ht="19.95" customHeight="1">
      <c r="A2" s="612" t="s">
        <v>607</v>
      </c>
      <c r="B2" s="612"/>
      <c r="C2" s="612"/>
      <c r="D2" s="612"/>
      <c r="E2" s="613"/>
      <c r="F2" s="613"/>
    </row>
    <row r="3" spans="1:257" ht="19.95" customHeight="1">
      <c r="A3" s="614" t="s">
        <v>458</v>
      </c>
      <c r="B3" s="613"/>
      <c r="C3" s="613"/>
      <c r="D3" s="613"/>
      <c r="E3" s="613"/>
      <c r="F3" s="613"/>
    </row>
    <row r="4" spans="1:257" ht="19.95" customHeight="1">
      <c r="A4" s="614" t="s">
        <v>608</v>
      </c>
      <c r="B4" s="613"/>
      <c r="C4" s="613"/>
      <c r="D4" s="613"/>
      <c r="E4" s="613"/>
      <c r="F4" s="613"/>
    </row>
    <row r="5" spans="1:257" ht="19.95" customHeight="1">
      <c r="A5" s="615" t="s">
        <v>625</v>
      </c>
      <c r="B5" s="616"/>
      <c r="C5" s="616"/>
      <c r="D5" s="616"/>
      <c r="E5" s="616"/>
      <c r="F5" s="616"/>
    </row>
    <row r="6" spans="1:257" ht="19.95" customHeight="1">
      <c r="A6" s="756" t="s">
        <v>6</v>
      </c>
      <c r="B6" s="756" t="s">
        <v>0</v>
      </c>
      <c r="C6" s="419" t="s">
        <v>115</v>
      </c>
      <c r="D6" s="756" t="s">
        <v>50</v>
      </c>
      <c r="E6" s="419" t="s">
        <v>116</v>
      </c>
      <c r="F6" s="756" t="s">
        <v>4</v>
      </c>
    </row>
    <row r="7" spans="1:257" ht="19.95" customHeight="1">
      <c r="A7" s="757"/>
      <c r="B7" s="757"/>
      <c r="C7" s="420" t="s">
        <v>117</v>
      </c>
      <c r="D7" s="757"/>
      <c r="E7" s="420" t="s">
        <v>117</v>
      </c>
      <c r="F7" s="757"/>
    </row>
    <row r="8" spans="1:257" ht="19.95" customHeight="1">
      <c r="A8" s="408">
        <v>1</v>
      </c>
      <c r="B8" s="409" t="s">
        <v>622</v>
      </c>
      <c r="C8" s="410">
        <f>SUM('ปร.4 '!I28+'ปร.4 '!I113)</f>
        <v>999455</v>
      </c>
      <c r="D8" s="423">
        <v>1.3067</v>
      </c>
      <c r="E8" s="596">
        <f>C8*D8</f>
        <v>1305987.8485000001</v>
      </c>
      <c r="F8" s="412"/>
      <c r="IW8" s="407"/>
    </row>
    <row r="9" spans="1:257" ht="19.95" customHeight="1">
      <c r="A9" s="413"/>
      <c r="B9" s="414" t="s">
        <v>623</v>
      </c>
      <c r="C9" s="415"/>
      <c r="D9" s="416"/>
      <c r="E9" s="597"/>
      <c r="F9" s="414"/>
    </row>
    <row r="10" spans="1:257" ht="19.95" customHeight="1">
      <c r="A10" s="413"/>
      <c r="B10" s="414"/>
      <c r="C10" s="415"/>
      <c r="D10" s="416"/>
      <c r="E10" s="597"/>
      <c r="F10" s="414"/>
    </row>
    <row r="11" spans="1:257" ht="19.95" customHeight="1">
      <c r="A11" s="413"/>
      <c r="B11" s="414"/>
      <c r="C11" s="415"/>
      <c r="D11" s="416"/>
      <c r="E11" s="597"/>
      <c r="F11" s="414"/>
    </row>
    <row r="12" spans="1:257" ht="19.95" customHeight="1">
      <c r="A12" s="411"/>
      <c r="B12" s="421" t="s">
        <v>118</v>
      </c>
      <c r="C12" s="411"/>
      <c r="D12" s="411"/>
      <c r="E12" s="596"/>
      <c r="F12" s="411"/>
    </row>
    <row r="13" spans="1:257" ht="19.95" customHeight="1">
      <c r="A13" s="414"/>
      <c r="B13" s="414" t="s">
        <v>121</v>
      </c>
      <c r="C13" s="414"/>
      <c r="D13" s="414"/>
      <c r="E13" s="597"/>
      <c r="F13" s="414"/>
    </row>
    <row r="14" spans="1:257" ht="19.95" customHeight="1">
      <c r="A14" s="414"/>
      <c r="B14" s="414" t="s">
        <v>122</v>
      </c>
      <c r="C14" s="414"/>
      <c r="D14" s="414"/>
      <c r="E14" s="597"/>
      <c r="F14" s="414"/>
    </row>
    <row r="15" spans="1:257" ht="19.95" customHeight="1">
      <c r="A15" s="414"/>
      <c r="B15" s="422" t="s">
        <v>624</v>
      </c>
      <c r="C15" s="414"/>
      <c r="D15" s="414"/>
      <c r="E15" s="597"/>
      <c r="F15" s="414"/>
    </row>
    <row r="16" spans="1:257" ht="19.95" customHeight="1">
      <c r="A16" s="418"/>
      <c r="B16" s="417" t="s">
        <v>123</v>
      </c>
      <c r="C16" s="418"/>
      <c r="D16" s="418"/>
      <c r="E16" s="598" t="s">
        <v>114</v>
      </c>
      <c r="F16" s="418"/>
    </row>
    <row r="17" spans="1:9" ht="19.95" customHeight="1">
      <c r="A17" s="75" t="s">
        <v>119</v>
      </c>
      <c r="B17" s="78" t="s">
        <v>120</v>
      </c>
      <c r="C17" s="78"/>
      <c r="D17" s="76"/>
      <c r="E17" s="599">
        <f>SUM(E8:E16)</f>
        <v>1305987.8485000001</v>
      </c>
      <c r="F17" s="77"/>
    </row>
    <row r="18" spans="1:9" ht="19.95" customHeight="1">
      <c r="A18" s="79"/>
      <c r="B18" s="84" t="str">
        <f>"ตัวอักษร          ("&amp;BAHTTEXT(E17)&amp;" )"</f>
        <v>ตัวอักษร          (หนึ่งล้านสามแสนห้าพันเก้าร้อยแปดสิบเจ็ดบาทแปดสิบห้าสตางค์ )</v>
      </c>
      <c r="C18" s="74"/>
      <c r="D18" s="74"/>
      <c r="E18" s="74"/>
      <c r="F18" s="80"/>
    </row>
    <row r="19" spans="1:9" ht="19.95" customHeight="1">
      <c r="A19" s="293"/>
      <c r="B19" s="426"/>
      <c r="C19" s="293"/>
      <c r="D19" s="293"/>
      <c r="E19" s="293"/>
      <c r="F19" s="293"/>
    </row>
    <row r="20" spans="1:9" s="622" customFormat="1" ht="20.100000000000001" customHeight="1">
      <c r="A20" s="619" t="s">
        <v>626</v>
      </c>
      <c r="B20" s="619"/>
      <c r="C20" s="619"/>
      <c r="D20" s="619"/>
      <c r="E20" s="619"/>
      <c r="F20" s="619"/>
      <c r="G20" s="619"/>
      <c r="H20" s="620"/>
      <c r="I20" s="621"/>
    </row>
    <row r="21" spans="1:9" s="622" customFormat="1" ht="20.100000000000001" customHeight="1">
      <c r="A21" s="623"/>
      <c r="B21" s="624"/>
      <c r="C21" s="624"/>
      <c r="D21" s="625"/>
      <c r="E21" s="625"/>
      <c r="G21" s="621"/>
      <c r="H21" s="620"/>
      <c r="I21" s="621"/>
    </row>
    <row r="22" spans="1:9" s="622" customFormat="1" ht="20.100000000000001" customHeight="1">
      <c r="A22" s="623"/>
      <c r="B22" s="624"/>
      <c r="C22" s="624"/>
      <c r="D22" s="625"/>
      <c r="E22" s="625"/>
      <c r="G22" s="621"/>
      <c r="H22" s="620"/>
      <c r="I22" s="621"/>
    </row>
    <row r="23" spans="1:9" s="622" customFormat="1" ht="20.100000000000001" customHeight="1">
      <c r="A23" s="741" t="s">
        <v>609</v>
      </c>
      <c r="B23" s="741"/>
      <c r="C23" s="741"/>
      <c r="D23" s="741"/>
      <c r="E23" s="741"/>
      <c r="F23" s="626"/>
      <c r="G23" s="626"/>
    </row>
    <row r="24" spans="1:9" s="627" customFormat="1" ht="20.100000000000001" customHeight="1">
      <c r="A24" s="741" t="s">
        <v>613</v>
      </c>
      <c r="B24" s="741"/>
      <c r="C24" s="741"/>
      <c r="D24" s="741"/>
      <c r="E24" s="741"/>
      <c r="F24" s="626"/>
      <c r="G24" s="626"/>
    </row>
    <row r="25" spans="1:9" s="627" customFormat="1" ht="20.100000000000001" customHeight="1">
      <c r="A25" s="741" t="s">
        <v>611</v>
      </c>
      <c r="B25" s="741"/>
      <c r="C25" s="741"/>
      <c r="D25" s="741"/>
      <c r="E25" s="741"/>
      <c r="F25" s="626"/>
      <c r="G25" s="626"/>
    </row>
    <row r="26" spans="1:9" s="630" customFormat="1" ht="20.100000000000001" customHeight="1">
      <c r="A26" s="628"/>
      <c r="B26" s="628"/>
      <c r="C26" s="628"/>
      <c r="D26" s="628"/>
      <c r="E26" s="628"/>
      <c r="F26" s="629"/>
    </row>
    <row r="27" spans="1:9" s="630" customFormat="1" ht="20.100000000000001" customHeight="1">
      <c r="A27" s="628"/>
      <c r="B27" s="628"/>
      <c r="C27" s="628"/>
      <c r="D27" s="628"/>
      <c r="E27" s="628"/>
      <c r="F27" s="628"/>
    </row>
    <row r="28" spans="1:9" s="627" customFormat="1" ht="20.100000000000001" customHeight="1">
      <c r="A28" s="741" t="s">
        <v>610</v>
      </c>
      <c r="B28" s="741"/>
      <c r="C28" s="741"/>
      <c r="D28" s="741"/>
      <c r="E28" s="741"/>
      <c r="F28" s="626"/>
      <c r="G28" s="626"/>
    </row>
    <row r="29" spans="1:9" s="627" customFormat="1" ht="20.100000000000001" customHeight="1">
      <c r="A29" s="741" t="s">
        <v>614</v>
      </c>
      <c r="B29" s="741"/>
      <c r="C29" s="741"/>
      <c r="D29" s="741"/>
      <c r="E29" s="741"/>
      <c r="F29" s="626"/>
      <c r="G29" s="626"/>
    </row>
    <row r="30" spans="1:9" s="627" customFormat="1" ht="20.100000000000001" customHeight="1">
      <c r="A30" s="741" t="s">
        <v>615</v>
      </c>
      <c r="B30" s="741"/>
      <c r="C30" s="741"/>
      <c r="D30" s="741"/>
      <c r="E30" s="741"/>
      <c r="F30" s="626"/>
      <c r="G30" s="626"/>
    </row>
    <row r="31" spans="1:9" s="627" customFormat="1" ht="20.100000000000001" customHeight="1">
      <c r="A31" s="591"/>
      <c r="B31" s="591"/>
      <c r="C31" s="591"/>
      <c r="D31" s="591"/>
      <c r="E31" s="591"/>
      <c r="F31" s="626"/>
    </row>
    <row r="32" spans="1:9" s="627" customFormat="1" ht="20.100000000000001" customHeight="1">
      <c r="A32" s="424"/>
      <c r="B32" s="424"/>
      <c r="C32" s="424"/>
      <c r="D32" s="424"/>
      <c r="E32" s="424"/>
      <c r="F32" s="424"/>
    </row>
    <row r="33" spans="1:7" s="622" customFormat="1" ht="20.100000000000001" customHeight="1">
      <c r="A33" s="741" t="s">
        <v>610</v>
      </c>
      <c r="B33" s="741"/>
      <c r="C33" s="741"/>
      <c r="D33" s="741"/>
      <c r="E33" s="741"/>
      <c r="F33" s="626"/>
      <c r="G33" s="626"/>
    </row>
    <row r="34" spans="1:7" s="627" customFormat="1" ht="20.100000000000001" customHeight="1">
      <c r="A34" s="741" t="s">
        <v>627</v>
      </c>
      <c r="B34" s="741"/>
      <c r="C34" s="741"/>
      <c r="D34" s="741"/>
      <c r="E34" s="741"/>
      <c r="F34" s="626"/>
      <c r="G34" s="626"/>
    </row>
    <row r="35" spans="1:7" s="627" customFormat="1" ht="20.100000000000001" customHeight="1">
      <c r="A35" s="741" t="s">
        <v>612</v>
      </c>
      <c r="B35" s="741"/>
      <c r="C35" s="741"/>
      <c r="D35" s="741"/>
      <c r="E35" s="741"/>
      <c r="F35" s="626"/>
      <c r="G35" s="626"/>
    </row>
    <row r="36" spans="1:7" ht="19.95" customHeight="1">
      <c r="A36" s="438"/>
      <c r="B36" s="438"/>
    </row>
  </sheetData>
  <mergeCells count="14">
    <mergeCell ref="A34:E34"/>
    <mergeCell ref="A35:E35"/>
    <mergeCell ref="A1:F1"/>
    <mergeCell ref="A6:A7"/>
    <mergeCell ref="B6:B7"/>
    <mergeCell ref="D6:D7"/>
    <mergeCell ref="F6:F7"/>
    <mergeCell ref="A23:E23"/>
    <mergeCell ref="A24:E24"/>
    <mergeCell ref="A25:E25"/>
    <mergeCell ref="A28:E28"/>
    <mergeCell ref="A29:E29"/>
    <mergeCell ref="A30:E30"/>
    <mergeCell ref="A33:E33"/>
  </mergeCells>
  <printOptions horizontalCentered="1"/>
  <pageMargins left="0.31496062992125984" right="0.31496062992125984" top="0.59055118110236227" bottom="0.15748031496062992" header="0.15748031496062992" footer="0.15748031496062992"/>
  <pageSetup paperSize="9" scale="92" orientation="portrait" horizontalDpi="180" verticalDpi="180" r:id="rId1"/>
  <headerFooter alignWithMargins="0">
    <oddHeader>&amp;Rปร.5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AB854"/>
  <sheetViews>
    <sheetView view="pageBreakPreview" topLeftCell="A100" zoomScale="115" zoomScaleNormal="70" zoomScaleSheetLayoutView="115" workbookViewId="0">
      <selection activeCell="I114" sqref="I114"/>
    </sheetView>
  </sheetViews>
  <sheetFormatPr defaultRowHeight="19.05" customHeight="1"/>
  <cols>
    <col min="1" max="1" width="7.25" style="404" customWidth="1"/>
    <col min="2" max="2" width="48.125" style="401" customWidth="1"/>
    <col min="3" max="3" width="9" style="405" customWidth="1"/>
    <col min="4" max="4" width="7.25" style="404" customWidth="1"/>
    <col min="5" max="6" width="12.75" style="406" customWidth="1"/>
    <col min="7" max="8" width="12.75" style="401" customWidth="1"/>
    <col min="9" max="9" width="15.625" style="401" customWidth="1"/>
    <col min="10" max="10" width="27.875" style="404" customWidth="1"/>
    <col min="11" max="11" width="11.25" style="486" customWidth="1"/>
    <col min="12" max="12" width="12.75" style="399" customWidth="1"/>
    <col min="13" max="13" width="14.75" style="400" bestFit="1" customWidth="1"/>
    <col min="14" max="15" width="9.125" style="400" bestFit="1" customWidth="1"/>
    <col min="16" max="16" width="8.125" style="400" bestFit="1" customWidth="1"/>
    <col min="17" max="17" width="8.125" style="401" bestFit="1" customWidth="1"/>
    <col min="18" max="18" width="9.125" style="402"/>
    <col min="19" max="19" width="21" style="403" customWidth="1"/>
    <col min="20" max="20" width="9.875" style="403" customWidth="1"/>
    <col min="21" max="21" width="8.125" style="403" bestFit="1" customWidth="1"/>
    <col min="22" max="22" width="10.75" style="403" customWidth="1"/>
    <col min="23" max="23" width="13.25" style="403" customWidth="1"/>
    <col min="24" max="24" width="12.125" style="403" customWidth="1"/>
    <col min="25" max="25" width="11.625" style="403" customWidth="1"/>
    <col min="26" max="26" width="15" style="403" customWidth="1"/>
    <col min="27" max="27" width="17.875" style="403" customWidth="1"/>
    <col min="28" max="28" width="9.125" style="403"/>
    <col min="29" max="253" width="9.125" style="401"/>
    <col min="254" max="254" width="7.875" style="401" customWidth="1"/>
    <col min="255" max="255" width="57.125" style="401" bestFit="1" customWidth="1"/>
    <col min="256" max="256" width="9.25" style="401" customWidth="1"/>
    <col min="257" max="257" width="7.375" style="401" customWidth="1"/>
    <col min="258" max="259" width="12.375" style="401" customWidth="1"/>
    <col min="260" max="260" width="11.75" style="401" customWidth="1"/>
    <col min="261" max="261" width="12.125" style="401" customWidth="1"/>
    <col min="262" max="262" width="13.75" style="401" customWidth="1"/>
    <col min="263" max="263" width="12.25" style="401" customWidth="1"/>
    <col min="264" max="264" width="8.125" style="401" bestFit="1" customWidth="1"/>
    <col min="265" max="265" width="10" style="401" customWidth="1"/>
    <col min="266" max="266" width="8.125" style="401" bestFit="1" customWidth="1"/>
    <col min="267" max="267" width="13.375" style="401" customWidth="1"/>
    <col min="268" max="268" width="12.75" style="401" customWidth="1"/>
    <col min="269" max="269" width="9.125" style="401"/>
    <col min="270" max="271" width="9.125" style="401" bestFit="1"/>
    <col min="272" max="273" width="8.125" style="401" bestFit="1" customWidth="1"/>
    <col min="274" max="274" width="9.125" style="401"/>
    <col min="275" max="275" width="21" style="401" customWidth="1"/>
    <col min="276" max="276" width="9.875" style="401" customWidth="1"/>
    <col min="277" max="277" width="8.125" style="401" bestFit="1" customWidth="1"/>
    <col min="278" max="278" width="10.75" style="401" customWidth="1"/>
    <col min="279" max="279" width="13.25" style="401" customWidth="1"/>
    <col min="280" max="280" width="12.125" style="401" customWidth="1"/>
    <col min="281" max="281" width="11.625" style="401" customWidth="1"/>
    <col min="282" max="282" width="15" style="401" customWidth="1"/>
    <col min="283" max="283" width="17.875" style="401" customWidth="1"/>
    <col min="284" max="509" width="9.125" style="401"/>
    <col min="510" max="510" width="7.875" style="401" customWidth="1"/>
    <col min="511" max="511" width="57.125" style="401" bestFit="1" customWidth="1"/>
    <col min="512" max="512" width="9.25" style="401" customWidth="1"/>
    <col min="513" max="513" width="7.375" style="401" customWidth="1"/>
    <col min="514" max="515" width="12.375" style="401" customWidth="1"/>
    <col min="516" max="516" width="11.75" style="401" customWidth="1"/>
    <col min="517" max="517" width="12.125" style="401" customWidth="1"/>
    <col min="518" max="518" width="13.75" style="401" customWidth="1"/>
    <col min="519" max="519" width="12.25" style="401" customWidth="1"/>
    <col min="520" max="520" width="8.125" style="401" bestFit="1" customWidth="1"/>
    <col min="521" max="521" width="10" style="401" customWidth="1"/>
    <col min="522" max="522" width="8.125" style="401" bestFit="1" customWidth="1"/>
    <col min="523" max="523" width="13.375" style="401" customWidth="1"/>
    <col min="524" max="524" width="12.75" style="401" customWidth="1"/>
    <col min="525" max="525" width="9.125" style="401"/>
    <col min="526" max="527" width="9.125" style="401" bestFit="1"/>
    <col min="528" max="529" width="8.125" style="401" bestFit="1" customWidth="1"/>
    <col min="530" max="530" width="9.125" style="401"/>
    <col min="531" max="531" width="21" style="401" customWidth="1"/>
    <col min="532" max="532" width="9.875" style="401" customWidth="1"/>
    <col min="533" max="533" width="8.125" style="401" bestFit="1" customWidth="1"/>
    <col min="534" max="534" width="10.75" style="401" customWidth="1"/>
    <col min="535" max="535" width="13.25" style="401" customWidth="1"/>
    <col min="536" max="536" width="12.125" style="401" customWidth="1"/>
    <col min="537" max="537" width="11.625" style="401" customWidth="1"/>
    <col min="538" max="538" width="15" style="401" customWidth="1"/>
    <col min="539" max="539" width="17.875" style="401" customWidth="1"/>
    <col min="540" max="765" width="9.125" style="401"/>
    <col min="766" max="766" width="7.875" style="401" customWidth="1"/>
    <col min="767" max="767" width="57.125" style="401" bestFit="1" customWidth="1"/>
    <col min="768" max="768" width="9.25" style="401" customWidth="1"/>
    <col min="769" max="769" width="7.375" style="401" customWidth="1"/>
    <col min="770" max="771" width="12.375" style="401" customWidth="1"/>
    <col min="772" max="772" width="11.75" style="401" customWidth="1"/>
    <col min="773" max="773" width="12.125" style="401" customWidth="1"/>
    <col min="774" max="774" width="13.75" style="401" customWidth="1"/>
    <col min="775" max="775" width="12.25" style="401" customWidth="1"/>
    <col min="776" max="776" width="8.125" style="401" bestFit="1" customWidth="1"/>
    <col min="777" max="777" width="10" style="401" customWidth="1"/>
    <col min="778" max="778" width="8.125" style="401" bestFit="1" customWidth="1"/>
    <col min="779" max="779" width="13.375" style="401" customWidth="1"/>
    <col min="780" max="780" width="12.75" style="401" customWidth="1"/>
    <col min="781" max="781" width="9.125" style="401"/>
    <col min="782" max="783" width="9.125" style="401" bestFit="1"/>
    <col min="784" max="785" width="8.125" style="401" bestFit="1" customWidth="1"/>
    <col min="786" max="786" width="9.125" style="401"/>
    <col min="787" max="787" width="21" style="401" customWidth="1"/>
    <col min="788" max="788" width="9.875" style="401" customWidth="1"/>
    <col min="789" max="789" width="8.125" style="401" bestFit="1" customWidth="1"/>
    <col min="790" max="790" width="10.75" style="401" customWidth="1"/>
    <col min="791" max="791" width="13.25" style="401" customWidth="1"/>
    <col min="792" max="792" width="12.125" style="401" customWidth="1"/>
    <col min="793" max="793" width="11.625" style="401" customWidth="1"/>
    <col min="794" max="794" width="15" style="401" customWidth="1"/>
    <col min="795" max="795" width="17.875" style="401" customWidth="1"/>
    <col min="796" max="1021" width="9.125" style="401"/>
    <col min="1022" max="1022" width="7.875" style="401" customWidth="1"/>
    <col min="1023" max="1023" width="57.125" style="401" bestFit="1" customWidth="1"/>
    <col min="1024" max="1024" width="9.25" style="401" customWidth="1"/>
    <col min="1025" max="1025" width="7.375" style="401" customWidth="1"/>
    <col min="1026" max="1027" width="12.375" style="401" customWidth="1"/>
    <col min="1028" max="1028" width="11.75" style="401" customWidth="1"/>
    <col min="1029" max="1029" width="12.125" style="401" customWidth="1"/>
    <col min="1030" max="1030" width="13.75" style="401" customWidth="1"/>
    <col min="1031" max="1031" width="12.25" style="401" customWidth="1"/>
    <col min="1032" max="1032" width="8.125" style="401" bestFit="1" customWidth="1"/>
    <col min="1033" max="1033" width="10" style="401" customWidth="1"/>
    <col min="1034" max="1034" width="8.125" style="401" bestFit="1" customWidth="1"/>
    <col min="1035" max="1035" width="13.375" style="401" customWidth="1"/>
    <col min="1036" max="1036" width="12.75" style="401" customWidth="1"/>
    <col min="1037" max="1037" width="9.125" style="401"/>
    <col min="1038" max="1039" width="9.125" style="401" bestFit="1"/>
    <col min="1040" max="1041" width="8.125" style="401" bestFit="1" customWidth="1"/>
    <col min="1042" max="1042" width="9.125" style="401"/>
    <col min="1043" max="1043" width="21" style="401" customWidth="1"/>
    <col min="1044" max="1044" width="9.875" style="401" customWidth="1"/>
    <col min="1045" max="1045" width="8.125" style="401" bestFit="1" customWidth="1"/>
    <col min="1046" max="1046" width="10.75" style="401" customWidth="1"/>
    <col min="1047" max="1047" width="13.25" style="401" customWidth="1"/>
    <col min="1048" max="1048" width="12.125" style="401" customWidth="1"/>
    <col min="1049" max="1049" width="11.625" style="401" customWidth="1"/>
    <col min="1050" max="1050" width="15" style="401" customWidth="1"/>
    <col min="1051" max="1051" width="17.875" style="401" customWidth="1"/>
    <col min="1052" max="1277" width="9.125" style="401"/>
    <col min="1278" max="1278" width="7.875" style="401" customWidth="1"/>
    <col min="1279" max="1279" width="57.125" style="401" bestFit="1" customWidth="1"/>
    <col min="1280" max="1280" width="9.25" style="401" customWidth="1"/>
    <col min="1281" max="1281" width="7.375" style="401" customWidth="1"/>
    <col min="1282" max="1283" width="12.375" style="401" customWidth="1"/>
    <col min="1284" max="1284" width="11.75" style="401" customWidth="1"/>
    <col min="1285" max="1285" width="12.125" style="401" customWidth="1"/>
    <col min="1286" max="1286" width="13.75" style="401" customWidth="1"/>
    <col min="1287" max="1287" width="12.25" style="401" customWidth="1"/>
    <col min="1288" max="1288" width="8.125" style="401" bestFit="1" customWidth="1"/>
    <col min="1289" max="1289" width="10" style="401" customWidth="1"/>
    <col min="1290" max="1290" width="8.125" style="401" bestFit="1" customWidth="1"/>
    <col min="1291" max="1291" width="13.375" style="401" customWidth="1"/>
    <col min="1292" max="1292" width="12.75" style="401" customWidth="1"/>
    <col min="1293" max="1293" width="9.125" style="401"/>
    <col min="1294" max="1295" width="9.125" style="401" bestFit="1"/>
    <col min="1296" max="1297" width="8.125" style="401" bestFit="1" customWidth="1"/>
    <col min="1298" max="1298" width="9.125" style="401"/>
    <col min="1299" max="1299" width="21" style="401" customWidth="1"/>
    <col min="1300" max="1300" width="9.875" style="401" customWidth="1"/>
    <col min="1301" max="1301" width="8.125" style="401" bestFit="1" customWidth="1"/>
    <col min="1302" max="1302" width="10.75" style="401" customWidth="1"/>
    <col min="1303" max="1303" width="13.25" style="401" customWidth="1"/>
    <col min="1304" max="1304" width="12.125" style="401" customWidth="1"/>
    <col min="1305" max="1305" width="11.625" style="401" customWidth="1"/>
    <col min="1306" max="1306" width="15" style="401" customWidth="1"/>
    <col min="1307" max="1307" width="17.875" style="401" customWidth="1"/>
    <col min="1308" max="1533" width="9.125" style="401"/>
    <col min="1534" max="1534" width="7.875" style="401" customWidth="1"/>
    <col min="1535" max="1535" width="57.125" style="401" bestFit="1" customWidth="1"/>
    <col min="1536" max="1536" width="9.25" style="401" customWidth="1"/>
    <col min="1537" max="1537" width="7.375" style="401" customWidth="1"/>
    <col min="1538" max="1539" width="12.375" style="401" customWidth="1"/>
    <col min="1540" max="1540" width="11.75" style="401" customWidth="1"/>
    <col min="1541" max="1541" width="12.125" style="401" customWidth="1"/>
    <col min="1542" max="1542" width="13.75" style="401" customWidth="1"/>
    <col min="1543" max="1543" width="12.25" style="401" customWidth="1"/>
    <col min="1544" max="1544" width="8.125" style="401" bestFit="1" customWidth="1"/>
    <col min="1545" max="1545" width="10" style="401" customWidth="1"/>
    <col min="1546" max="1546" width="8.125" style="401" bestFit="1" customWidth="1"/>
    <col min="1547" max="1547" width="13.375" style="401" customWidth="1"/>
    <col min="1548" max="1548" width="12.75" style="401" customWidth="1"/>
    <col min="1549" max="1549" width="9.125" style="401"/>
    <col min="1550" max="1551" width="9.125" style="401" bestFit="1"/>
    <col min="1552" max="1553" width="8.125" style="401" bestFit="1" customWidth="1"/>
    <col min="1554" max="1554" width="9.125" style="401"/>
    <col min="1555" max="1555" width="21" style="401" customWidth="1"/>
    <col min="1556" max="1556" width="9.875" style="401" customWidth="1"/>
    <col min="1557" max="1557" width="8.125" style="401" bestFit="1" customWidth="1"/>
    <col min="1558" max="1558" width="10.75" style="401" customWidth="1"/>
    <col min="1559" max="1559" width="13.25" style="401" customWidth="1"/>
    <col min="1560" max="1560" width="12.125" style="401" customWidth="1"/>
    <col min="1561" max="1561" width="11.625" style="401" customWidth="1"/>
    <col min="1562" max="1562" width="15" style="401" customWidth="1"/>
    <col min="1563" max="1563" width="17.875" style="401" customWidth="1"/>
    <col min="1564" max="1789" width="9.125" style="401"/>
    <col min="1790" max="1790" width="7.875" style="401" customWidth="1"/>
    <col min="1791" max="1791" width="57.125" style="401" bestFit="1" customWidth="1"/>
    <col min="1792" max="1792" width="9.25" style="401" customWidth="1"/>
    <col min="1793" max="1793" width="7.375" style="401" customWidth="1"/>
    <col min="1794" max="1795" width="12.375" style="401" customWidth="1"/>
    <col min="1796" max="1796" width="11.75" style="401" customWidth="1"/>
    <col min="1797" max="1797" width="12.125" style="401" customWidth="1"/>
    <col min="1798" max="1798" width="13.75" style="401" customWidth="1"/>
    <col min="1799" max="1799" width="12.25" style="401" customWidth="1"/>
    <col min="1800" max="1800" width="8.125" style="401" bestFit="1" customWidth="1"/>
    <col min="1801" max="1801" width="10" style="401" customWidth="1"/>
    <col min="1802" max="1802" width="8.125" style="401" bestFit="1" customWidth="1"/>
    <col min="1803" max="1803" width="13.375" style="401" customWidth="1"/>
    <col min="1804" max="1804" width="12.75" style="401" customWidth="1"/>
    <col min="1805" max="1805" width="9.125" style="401"/>
    <col min="1806" max="1807" width="9.125" style="401" bestFit="1"/>
    <col min="1808" max="1809" width="8.125" style="401" bestFit="1" customWidth="1"/>
    <col min="1810" max="1810" width="9.125" style="401"/>
    <col min="1811" max="1811" width="21" style="401" customWidth="1"/>
    <col min="1812" max="1812" width="9.875" style="401" customWidth="1"/>
    <col min="1813" max="1813" width="8.125" style="401" bestFit="1" customWidth="1"/>
    <col min="1814" max="1814" width="10.75" style="401" customWidth="1"/>
    <col min="1815" max="1815" width="13.25" style="401" customWidth="1"/>
    <col min="1816" max="1816" width="12.125" style="401" customWidth="1"/>
    <col min="1817" max="1817" width="11.625" style="401" customWidth="1"/>
    <col min="1818" max="1818" width="15" style="401" customWidth="1"/>
    <col min="1819" max="1819" width="17.875" style="401" customWidth="1"/>
    <col min="1820" max="2045" width="9.125" style="401"/>
    <col min="2046" max="2046" width="7.875" style="401" customWidth="1"/>
    <col min="2047" max="2047" width="57.125" style="401" bestFit="1" customWidth="1"/>
    <col min="2048" max="2048" width="9.25" style="401" customWidth="1"/>
    <col min="2049" max="2049" width="7.375" style="401" customWidth="1"/>
    <col min="2050" max="2051" width="12.375" style="401" customWidth="1"/>
    <col min="2052" max="2052" width="11.75" style="401" customWidth="1"/>
    <col min="2053" max="2053" width="12.125" style="401" customWidth="1"/>
    <col min="2054" max="2054" width="13.75" style="401" customWidth="1"/>
    <col min="2055" max="2055" width="12.25" style="401" customWidth="1"/>
    <col min="2056" max="2056" width="8.125" style="401" bestFit="1" customWidth="1"/>
    <col min="2057" max="2057" width="10" style="401" customWidth="1"/>
    <col min="2058" max="2058" width="8.125" style="401" bestFit="1" customWidth="1"/>
    <col min="2059" max="2059" width="13.375" style="401" customWidth="1"/>
    <col min="2060" max="2060" width="12.75" style="401" customWidth="1"/>
    <col min="2061" max="2061" width="9.125" style="401"/>
    <col min="2062" max="2063" width="9.125" style="401" bestFit="1"/>
    <col min="2064" max="2065" width="8.125" style="401" bestFit="1" customWidth="1"/>
    <col min="2066" max="2066" width="9.125" style="401"/>
    <col min="2067" max="2067" width="21" style="401" customWidth="1"/>
    <col min="2068" max="2068" width="9.875" style="401" customWidth="1"/>
    <col min="2069" max="2069" width="8.125" style="401" bestFit="1" customWidth="1"/>
    <col min="2070" max="2070" width="10.75" style="401" customWidth="1"/>
    <col min="2071" max="2071" width="13.25" style="401" customWidth="1"/>
    <col min="2072" max="2072" width="12.125" style="401" customWidth="1"/>
    <col min="2073" max="2073" width="11.625" style="401" customWidth="1"/>
    <col min="2074" max="2074" width="15" style="401" customWidth="1"/>
    <col min="2075" max="2075" width="17.875" style="401" customWidth="1"/>
    <col min="2076" max="2301" width="9.125" style="401"/>
    <col min="2302" max="2302" width="7.875" style="401" customWidth="1"/>
    <col min="2303" max="2303" width="57.125" style="401" bestFit="1" customWidth="1"/>
    <col min="2304" max="2304" width="9.25" style="401" customWidth="1"/>
    <col min="2305" max="2305" width="7.375" style="401" customWidth="1"/>
    <col min="2306" max="2307" width="12.375" style="401" customWidth="1"/>
    <col min="2308" max="2308" width="11.75" style="401" customWidth="1"/>
    <col min="2309" max="2309" width="12.125" style="401" customWidth="1"/>
    <col min="2310" max="2310" width="13.75" style="401" customWidth="1"/>
    <col min="2311" max="2311" width="12.25" style="401" customWidth="1"/>
    <col min="2312" max="2312" width="8.125" style="401" bestFit="1" customWidth="1"/>
    <col min="2313" max="2313" width="10" style="401" customWidth="1"/>
    <col min="2314" max="2314" width="8.125" style="401" bestFit="1" customWidth="1"/>
    <col min="2315" max="2315" width="13.375" style="401" customWidth="1"/>
    <col min="2316" max="2316" width="12.75" style="401" customWidth="1"/>
    <col min="2317" max="2317" width="9.125" style="401"/>
    <col min="2318" max="2319" width="9.125" style="401" bestFit="1"/>
    <col min="2320" max="2321" width="8.125" style="401" bestFit="1" customWidth="1"/>
    <col min="2322" max="2322" width="9.125" style="401"/>
    <col min="2323" max="2323" width="21" style="401" customWidth="1"/>
    <col min="2324" max="2324" width="9.875" style="401" customWidth="1"/>
    <col min="2325" max="2325" width="8.125" style="401" bestFit="1" customWidth="1"/>
    <col min="2326" max="2326" width="10.75" style="401" customWidth="1"/>
    <col min="2327" max="2327" width="13.25" style="401" customWidth="1"/>
    <col min="2328" max="2328" width="12.125" style="401" customWidth="1"/>
    <col min="2329" max="2329" width="11.625" style="401" customWidth="1"/>
    <col min="2330" max="2330" width="15" style="401" customWidth="1"/>
    <col min="2331" max="2331" width="17.875" style="401" customWidth="1"/>
    <col min="2332" max="2557" width="9.125" style="401"/>
    <col min="2558" max="2558" width="7.875" style="401" customWidth="1"/>
    <col min="2559" max="2559" width="57.125" style="401" bestFit="1" customWidth="1"/>
    <col min="2560" max="2560" width="9.25" style="401" customWidth="1"/>
    <col min="2561" max="2561" width="7.375" style="401" customWidth="1"/>
    <col min="2562" max="2563" width="12.375" style="401" customWidth="1"/>
    <col min="2564" max="2564" width="11.75" style="401" customWidth="1"/>
    <col min="2565" max="2565" width="12.125" style="401" customWidth="1"/>
    <col min="2566" max="2566" width="13.75" style="401" customWidth="1"/>
    <col min="2567" max="2567" width="12.25" style="401" customWidth="1"/>
    <col min="2568" max="2568" width="8.125" style="401" bestFit="1" customWidth="1"/>
    <col min="2569" max="2569" width="10" style="401" customWidth="1"/>
    <col min="2570" max="2570" width="8.125" style="401" bestFit="1" customWidth="1"/>
    <col min="2571" max="2571" width="13.375" style="401" customWidth="1"/>
    <col min="2572" max="2572" width="12.75" style="401" customWidth="1"/>
    <col min="2573" max="2573" width="9.125" style="401"/>
    <col min="2574" max="2575" width="9.125" style="401" bestFit="1"/>
    <col min="2576" max="2577" width="8.125" style="401" bestFit="1" customWidth="1"/>
    <col min="2578" max="2578" width="9.125" style="401"/>
    <col min="2579" max="2579" width="21" style="401" customWidth="1"/>
    <col min="2580" max="2580" width="9.875" style="401" customWidth="1"/>
    <col min="2581" max="2581" width="8.125" style="401" bestFit="1" customWidth="1"/>
    <col min="2582" max="2582" width="10.75" style="401" customWidth="1"/>
    <col min="2583" max="2583" width="13.25" style="401" customWidth="1"/>
    <col min="2584" max="2584" width="12.125" style="401" customWidth="1"/>
    <col min="2585" max="2585" width="11.625" style="401" customWidth="1"/>
    <col min="2586" max="2586" width="15" style="401" customWidth="1"/>
    <col min="2587" max="2587" width="17.875" style="401" customWidth="1"/>
    <col min="2588" max="2813" width="9.125" style="401"/>
    <col min="2814" max="2814" width="7.875" style="401" customWidth="1"/>
    <col min="2815" max="2815" width="57.125" style="401" bestFit="1" customWidth="1"/>
    <col min="2816" max="2816" width="9.25" style="401" customWidth="1"/>
    <col min="2817" max="2817" width="7.375" style="401" customWidth="1"/>
    <col min="2818" max="2819" width="12.375" style="401" customWidth="1"/>
    <col min="2820" max="2820" width="11.75" style="401" customWidth="1"/>
    <col min="2821" max="2821" width="12.125" style="401" customWidth="1"/>
    <col min="2822" max="2822" width="13.75" style="401" customWidth="1"/>
    <col min="2823" max="2823" width="12.25" style="401" customWidth="1"/>
    <col min="2824" max="2824" width="8.125" style="401" bestFit="1" customWidth="1"/>
    <col min="2825" max="2825" width="10" style="401" customWidth="1"/>
    <col min="2826" max="2826" width="8.125" style="401" bestFit="1" customWidth="1"/>
    <col min="2827" max="2827" width="13.375" style="401" customWidth="1"/>
    <col min="2828" max="2828" width="12.75" style="401" customWidth="1"/>
    <col min="2829" max="2829" width="9.125" style="401"/>
    <col min="2830" max="2831" width="9.125" style="401" bestFit="1"/>
    <col min="2832" max="2833" width="8.125" style="401" bestFit="1" customWidth="1"/>
    <col min="2834" max="2834" width="9.125" style="401"/>
    <col min="2835" max="2835" width="21" style="401" customWidth="1"/>
    <col min="2836" max="2836" width="9.875" style="401" customWidth="1"/>
    <col min="2837" max="2837" width="8.125" style="401" bestFit="1" customWidth="1"/>
    <col min="2838" max="2838" width="10.75" style="401" customWidth="1"/>
    <col min="2839" max="2839" width="13.25" style="401" customWidth="1"/>
    <col min="2840" max="2840" width="12.125" style="401" customWidth="1"/>
    <col min="2841" max="2841" width="11.625" style="401" customWidth="1"/>
    <col min="2842" max="2842" width="15" style="401" customWidth="1"/>
    <col min="2843" max="2843" width="17.875" style="401" customWidth="1"/>
    <col min="2844" max="3069" width="9.125" style="401"/>
    <col min="3070" max="3070" width="7.875" style="401" customWidth="1"/>
    <col min="3071" max="3071" width="57.125" style="401" bestFit="1" customWidth="1"/>
    <col min="3072" max="3072" width="9.25" style="401" customWidth="1"/>
    <col min="3073" max="3073" width="7.375" style="401" customWidth="1"/>
    <col min="3074" max="3075" width="12.375" style="401" customWidth="1"/>
    <col min="3076" max="3076" width="11.75" style="401" customWidth="1"/>
    <col min="3077" max="3077" width="12.125" style="401" customWidth="1"/>
    <col min="3078" max="3078" width="13.75" style="401" customWidth="1"/>
    <col min="3079" max="3079" width="12.25" style="401" customWidth="1"/>
    <col min="3080" max="3080" width="8.125" style="401" bestFit="1" customWidth="1"/>
    <col min="3081" max="3081" width="10" style="401" customWidth="1"/>
    <col min="3082" max="3082" width="8.125" style="401" bestFit="1" customWidth="1"/>
    <col min="3083" max="3083" width="13.375" style="401" customWidth="1"/>
    <col min="3084" max="3084" width="12.75" style="401" customWidth="1"/>
    <col min="3085" max="3085" width="9.125" style="401"/>
    <col min="3086" max="3087" width="9.125" style="401" bestFit="1"/>
    <col min="3088" max="3089" width="8.125" style="401" bestFit="1" customWidth="1"/>
    <col min="3090" max="3090" width="9.125" style="401"/>
    <col min="3091" max="3091" width="21" style="401" customWidth="1"/>
    <col min="3092" max="3092" width="9.875" style="401" customWidth="1"/>
    <col min="3093" max="3093" width="8.125" style="401" bestFit="1" customWidth="1"/>
    <col min="3094" max="3094" width="10.75" style="401" customWidth="1"/>
    <col min="3095" max="3095" width="13.25" style="401" customWidth="1"/>
    <col min="3096" max="3096" width="12.125" style="401" customWidth="1"/>
    <col min="3097" max="3097" width="11.625" style="401" customWidth="1"/>
    <col min="3098" max="3098" width="15" style="401" customWidth="1"/>
    <col min="3099" max="3099" width="17.875" style="401" customWidth="1"/>
    <col min="3100" max="3325" width="9.125" style="401"/>
    <col min="3326" max="3326" width="7.875" style="401" customWidth="1"/>
    <col min="3327" max="3327" width="57.125" style="401" bestFit="1" customWidth="1"/>
    <col min="3328" max="3328" width="9.25" style="401" customWidth="1"/>
    <col min="3329" max="3329" width="7.375" style="401" customWidth="1"/>
    <col min="3330" max="3331" width="12.375" style="401" customWidth="1"/>
    <col min="3332" max="3332" width="11.75" style="401" customWidth="1"/>
    <col min="3333" max="3333" width="12.125" style="401" customWidth="1"/>
    <col min="3334" max="3334" width="13.75" style="401" customWidth="1"/>
    <col min="3335" max="3335" width="12.25" style="401" customWidth="1"/>
    <col min="3336" max="3336" width="8.125" style="401" bestFit="1" customWidth="1"/>
    <col min="3337" max="3337" width="10" style="401" customWidth="1"/>
    <col min="3338" max="3338" width="8.125" style="401" bestFit="1" customWidth="1"/>
    <col min="3339" max="3339" width="13.375" style="401" customWidth="1"/>
    <col min="3340" max="3340" width="12.75" style="401" customWidth="1"/>
    <col min="3341" max="3341" width="9.125" style="401"/>
    <col min="3342" max="3343" width="9.125" style="401" bestFit="1"/>
    <col min="3344" max="3345" width="8.125" style="401" bestFit="1" customWidth="1"/>
    <col min="3346" max="3346" width="9.125" style="401"/>
    <col min="3347" max="3347" width="21" style="401" customWidth="1"/>
    <col min="3348" max="3348" width="9.875" style="401" customWidth="1"/>
    <col min="3349" max="3349" width="8.125" style="401" bestFit="1" customWidth="1"/>
    <col min="3350" max="3350" width="10.75" style="401" customWidth="1"/>
    <col min="3351" max="3351" width="13.25" style="401" customWidth="1"/>
    <col min="3352" max="3352" width="12.125" style="401" customWidth="1"/>
    <col min="3353" max="3353" width="11.625" style="401" customWidth="1"/>
    <col min="3354" max="3354" width="15" style="401" customWidth="1"/>
    <col min="3355" max="3355" width="17.875" style="401" customWidth="1"/>
    <col min="3356" max="3581" width="9.125" style="401"/>
    <col min="3582" max="3582" width="7.875" style="401" customWidth="1"/>
    <col min="3583" max="3583" width="57.125" style="401" bestFit="1" customWidth="1"/>
    <col min="3584" max="3584" width="9.25" style="401" customWidth="1"/>
    <col min="3585" max="3585" width="7.375" style="401" customWidth="1"/>
    <col min="3586" max="3587" width="12.375" style="401" customWidth="1"/>
    <col min="3588" max="3588" width="11.75" style="401" customWidth="1"/>
    <col min="3589" max="3589" width="12.125" style="401" customWidth="1"/>
    <col min="3590" max="3590" width="13.75" style="401" customWidth="1"/>
    <col min="3591" max="3591" width="12.25" style="401" customWidth="1"/>
    <col min="3592" max="3592" width="8.125" style="401" bestFit="1" customWidth="1"/>
    <col min="3593" max="3593" width="10" style="401" customWidth="1"/>
    <col min="3594" max="3594" width="8.125" style="401" bestFit="1" customWidth="1"/>
    <col min="3595" max="3595" width="13.375" style="401" customWidth="1"/>
    <col min="3596" max="3596" width="12.75" style="401" customWidth="1"/>
    <col min="3597" max="3597" width="9.125" style="401"/>
    <col min="3598" max="3599" width="9.125" style="401" bestFit="1"/>
    <col min="3600" max="3601" width="8.125" style="401" bestFit="1" customWidth="1"/>
    <col min="3602" max="3602" width="9.125" style="401"/>
    <col min="3603" max="3603" width="21" style="401" customWidth="1"/>
    <col min="3604" max="3604" width="9.875" style="401" customWidth="1"/>
    <col min="3605" max="3605" width="8.125" style="401" bestFit="1" customWidth="1"/>
    <col min="3606" max="3606" width="10.75" style="401" customWidth="1"/>
    <col min="3607" max="3607" width="13.25" style="401" customWidth="1"/>
    <col min="3608" max="3608" width="12.125" style="401" customWidth="1"/>
    <col min="3609" max="3609" width="11.625" style="401" customWidth="1"/>
    <col min="3610" max="3610" width="15" style="401" customWidth="1"/>
    <col min="3611" max="3611" width="17.875" style="401" customWidth="1"/>
    <col min="3612" max="3837" width="9.125" style="401"/>
    <col min="3838" max="3838" width="7.875" style="401" customWidth="1"/>
    <col min="3839" max="3839" width="57.125" style="401" bestFit="1" customWidth="1"/>
    <col min="3840" max="3840" width="9.25" style="401" customWidth="1"/>
    <col min="3841" max="3841" width="7.375" style="401" customWidth="1"/>
    <col min="3842" max="3843" width="12.375" style="401" customWidth="1"/>
    <col min="3844" max="3844" width="11.75" style="401" customWidth="1"/>
    <col min="3845" max="3845" width="12.125" style="401" customWidth="1"/>
    <col min="3846" max="3846" width="13.75" style="401" customWidth="1"/>
    <col min="3847" max="3847" width="12.25" style="401" customWidth="1"/>
    <col min="3848" max="3848" width="8.125" style="401" bestFit="1" customWidth="1"/>
    <col min="3849" max="3849" width="10" style="401" customWidth="1"/>
    <col min="3850" max="3850" width="8.125" style="401" bestFit="1" customWidth="1"/>
    <col min="3851" max="3851" width="13.375" style="401" customWidth="1"/>
    <col min="3852" max="3852" width="12.75" style="401" customWidth="1"/>
    <col min="3853" max="3853" width="9.125" style="401"/>
    <col min="3854" max="3855" width="9.125" style="401" bestFit="1"/>
    <col min="3856" max="3857" width="8.125" style="401" bestFit="1" customWidth="1"/>
    <col min="3858" max="3858" width="9.125" style="401"/>
    <col min="3859" max="3859" width="21" style="401" customWidth="1"/>
    <col min="3860" max="3860" width="9.875" style="401" customWidth="1"/>
    <col min="3861" max="3861" width="8.125" style="401" bestFit="1" customWidth="1"/>
    <col min="3862" max="3862" width="10.75" style="401" customWidth="1"/>
    <col min="3863" max="3863" width="13.25" style="401" customWidth="1"/>
    <col min="3864" max="3864" width="12.125" style="401" customWidth="1"/>
    <col min="3865" max="3865" width="11.625" style="401" customWidth="1"/>
    <col min="3866" max="3866" width="15" style="401" customWidth="1"/>
    <col min="3867" max="3867" width="17.875" style="401" customWidth="1"/>
    <col min="3868" max="4093" width="9.125" style="401"/>
    <col min="4094" max="4094" width="7.875" style="401" customWidth="1"/>
    <col min="4095" max="4095" width="57.125" style="401" bestFit="1" customWidth="1"/>
    <col min="4096" max="4096" width="9.25" style="401" customWidth="1"/>
    <col min="4097" max="4097" width="7.375" style="401" customWidth="1"/>
    <col min="4098" max="4099" width="12.375" style="401" customWidth="1"/>
    <col min="4100" max="4100" width="11.75" style="401" customWidth="1"/>
    <col min="4101" max="4101" width="12.125" style="401" customWidth="1"/>
    <col min="4102" max="4102" width="13.75" style="401" customWidth="1"/>
    <col min="4103" max="4103" width="12.25" style="401" customWidth="1"/>
    <col min="4104" max="4104" width="8.125" style="401" bestFit="1" customWidth="1"/>
    <col min="4105" max="4105" width="10" style="401" customWidth="1"/>
    <col min="4106" max="4106" width="8.125" style="401" bestFit="1" customWidth="1"/>
    <col min="4107" max="4107" width="13.375" style="401" customWidth="1"/>
    <col min="4108" max="4108" width="12.75" style="401" customWidth="1"/>
    <col min="4109" max="4109" width="9.125" style="401"/>
    <col min="4110" max="4111" width="9.125" style="401" bestFit="1"/>
    <col min="4112" max="4113" width="8.125" style="401" bestFit="1" customWidth="1"/>
    <col min="4114" max="4114" width="9.125" style="401"/>
    <col min="4115" max="4115" width="21" style="401" customWidth="1"/>
    <col min="4116" max="4116" width="9.875" style="401" customWidth="1"/>
    <col min="4117" max="4117" width="8.125" style="401" bestFit="1" customWidth="1"/>
    <col min="4118" max="4118" width="10.75" style="401" customWidth="1"/>
    <col min="4119" max="4119" width="13.25" style="401" customWidth="1"/>
    <col min="4120" max="4120" width="12.125" style="401" customWidth="1"/>
    <col min="4121" max="4121" width="11.625" style="401" customWidth="1"/>
    <col min="4122" max="4122" width="15" style="401" customWidth="1"/>
    <col min="4123" max="4123" width="17.875" style="401" customWidth="1"/>
    <col min="4124" max="4349" width="9.125" style="401"/>
    <col min="4350" max="4350" width="7.875" style="401" customWidth="1"/>
    <col min="4351" max="4351" width="57.125" style="401" bestFit="1" customWidth="1"/>
    <col min="4352" max="4352" width="9.25" style="401" customWidth="1"/>
    <col min="4353" max="4353" width="7.375" style="401" customWidth="1"/>
    <col min="4354" max="4355" width="12.375" style="401" customWidth="1"/>
    <col min="4356" max="4356" width="11.75" style="401" customWidth="1"/>
    <col min="4357" max="4357" width="12.125" style="401" customWidth="1"/>
    <col min="4358" max="4358" width="13.75" style="401" customWidth="1"/>
    <col min="4359" max="4359" width="12.25" style="401" customWidth="1"/>
    <col min="4360" max="4360" width="8.125" style="401" bestFit="1" customWidth="1"/>
    <col min="4361" max="4361" width="10" style="401" customWidth="1"/>
    <col min="4362" max="4362" width="8.125" style="401" bestFit="1" customWidth="1"/>
    <col min="4363" max="4363" width="13.375" style="401" customWidth="1"/>
    <col min="4364" max="4364" width="12.75" style="401" customWidth="1"/>
    <col min="4365" max="4365" width="9.125" style="401"/>
    <col min="4366" max="4367" width="9.125" style="401" bestFit="1"/>
    <col min="4368" max="4369" width="8.125" style="401" bestFit="1" customWidth="1"/>
    <col min="4370" max="4370" width="9.125" style="401"/>
    <col min="4371" max="4371" width="21" style="401" customWidth="1"/>
    <col min="4372" max="4372" width="9.875" style="401" customWidth="1"/>
    <col min="4373" max="4373" width="8.125" style="401" bestFit="1" customWidth="1"/>
    <col min="4374" max="4374" width="10.75" style="401" customWidth="1"/>
    <col min="4375" max="4375" width="13.25" style="401" customWidth="1"/>
    <col min="4376" max="4376" width="12.125" style="401" customWidth="1"/>
    <col min="4377" max="4377" width="11.625" style="401" customWidth="1"/>
    <col min="4378" max="4378" width="15" style="401" customWidth="1"/>
    <col min="4379" max="4379" width="17.875" style="401" customWidth="1"/>
    <col min="4380" max="4605" width="9.125" style="401"/>
    <col min="4606" max="4606" width="7.875" style="401" customWidth="1"/>
    <col min="4607" max="4607" width="57.125" style="401" bestFit="1" customWidth="1"/>
    <col min="4608" max="4608" width="9.25" style="401" customWidth="1"/>
    <col min="4609" max="4609" width="7.375" style="401" customWidth="1"/>
    <col min="4610" max="4611" width="12.375" style="401" customWidth="1"/>
    <col min="4612" max="4612" width="11.75" style="401" customWidth="1"/>
    <col min="4613" max="4613" width="12.125" style="401" customWidth="1"/>
    <col min="4614" max="4614" width="13.75" style="401" customWidth="1"/>
    <col min="4615" max="4615" width="12.25" style="401" customWidth="1"/>
    <col min="4616" max="4616" width="8.125" style="401" bestFit="1" customWidth="1"/>
    <col min="4617" max="4617" width="10" style="401" customWidth="1"/>
    <col min="4618" max="4618" width="8.125" style="401" bestFit="1" customWidth="1"/>
    <col min="4619" max="4619" width="13.375" style="401" customWidth="1"/>
    <col min="4620" max="4620" width="12.75" style="401" customWidth="1"/>
    <col min="4621" max="4621" width="9.125" style="401"/>
    <col min="4622" max="4623" width="9.125" style="401" bestFit="1"/>
    <col min="4624" max="4625" width="8.125" style="401" bestFit="1" customWidth="1"/>
    <col min="4626" max="4626" width="9.125" style="401"/>
    <col min="4627" max="4627" width="21" style="401" customWidth="1"/>
    <col min="4628" max="4628" width="9.875" style="401" customWidth="1"/>
    <col min="4629" max="4629" width="8.125" style="401" bestFit="1" customWidth="1"/>
    <col min="4630" max="4630" width="10.75" style="401" customWidth="1"/>
    <col min="4631" max="4631" width="13.25" style="401" customWidth="1"/>
    <col min="4632" max="4632" width="12.125" style="401" customWidth="1"/>
    <col min="4633" max="4633" width="11.625" style="401" customWidth="1"/>
    <col min="4634" max="4634" width="15" style="401" customWidth="1"/>
    <col min="4635" max="4635" width="17.875" style="401" customWidth="1"/>
    <col min="4636" max="4861" width="9.125" style="401"/>
    <col min="4862" max="4862" width="7.875" style="401" customWidth="1"/>
    <col min="4863" max="4863" width="57.125" style="401" bestFit="1" customWidth="1"/>
    <col min="4864" max="4864" width="9.25" style="401" customWidth="1"/>
    <col min="4865" max="4865" width="7.375" style="401" customWidth="1"/>
    <col min="4866" max="4867" width="12.375" style="401" customWidth="1"/>
    <col min="4868" max="4868" width="11.75" style="401" customWidth="1"/>
    <col min="4869" max="4869" width="12.125" style="401" customWidth="1"/>
    <col min="4870" max="4870" width="13.75" style="401" customWidth="1"/>
    <col min="4871" max="4871" width="12.25" style="401" customWidth="1"/>
    <col min="4872" max="4872" width="8.125" style="401" bestFit="1" customWidth="1"/>
    <col min="4873" max="4873" width="10" style="401" customWidth="1"/>
    <col min="4874" max="4874" width="8.125" style="401" bestFit="1" customWidth="1"/>
    <col min="4875" max="4875" width="13.375" style="401" customWidth="1"/>
    <col min="4876" max="4876" width="12.75" style="401" customWidth="1"/>
    <col min="4877" max="4877" width="9.125" style="401"/>
    <col min="4878" max="4879" width="9.125" style="401" bestFit="1"/>
    <col min="4880" max="4881" width="8.125" style="401" bestFit="1" customWidth="1"/>
    <col min="4882" max="4882" width="9.125" style="401"/>
    <col min="4883" max="4883" width="21" style="401" customWidth="1"/>
    <col min="4884" max="4884" width="9.875" style="401" customWidth="1"/>
    <col min="4885" max="4885" width="8.125" style="401" bestFit="1" customWidth="1"/>
    <col min="4886" max="4886" width="10.75" style="401" customWidth="1"/>
    <col min="4887" max="4887" width="13.25" style="401" customWidth="1"/>
    <col min="4888" max="4888" width="12.125" style="401" customWidth="1"/>
    <col min="4889" max="4889" width="11.625" style="401" customWidth="1"/>
    <col min="4890" max="4890" width="15" style="401" customWidth="1"/>
    <col min="4891" max="4891" width="17.875" style="401" customWidth="1"/>
    <col min="4892" max="5117" width="9.125" style="401"/>
    <col min="5118" max="5118" width="7.875" style="401" customWidth="1"/>
    <col min="5119" max="5119" width="57.125" style="401" bestFit="1" customWidth="1"/>
    <col min="5120" max="5120" width="9.25" style="401" customWidth="1"/>
    <col min="5121" max="5121" width="7.375" style="401" customWidth="1"/>
    <col min="5122" max="5123" width="12.375" style="401" customWidth="1"/>
    <col min="5124" max="5124" width="11.75" style="401" customWidth="1"/>
    <col min="5125" max="5125" width="12.125" style="401" customWidth="1"/>
    <col min="5126" max="5126" width="13.75" style="401" customWidth="1"/>
    <col min="5127" max="5127" width="12.25" style="401" customWidth="1"/>
    <col min="5128" max="5128" width="8.125" style="401" bestFit="1" customWidth="1"/>
    <col min="5129" max="5129" width="10" style="401" customWidth="1"/>
    <col min="5130" max="5130" width="8.125" style="401" bestFit="1" customWidth="1"/>
    <col min="5131" max="5131" width="13.375" style="401" customWidth="1"/>
    <col min="5132" max="5132" width="12.75" style="401" customWidth="1"/>
    <col min="5133" max="5133" width="9.125" style="401"/>
    <col min="5134" max="5135" width="9.125" style="401" bestFit="1"/>
    <col min="5136" max="5137" width="8.125" style="401" bestFit="1" customWidth="1"/>
    <col min="5138" max="5138" width="9.125" style="401"/>
    <col min="5139" max="5139" width="21" style="401" customWidth="1"/>
    <col min="5140" max="5140" width="9.875" style="401" customWidth="1"/>
    <col min="5141" max="5141" width="8.125" style="401" bestFit="1" customWidth="1"/>
    <col min="5142" max="5142" width="10.75" style="401" customWidth="1"/>
    <col min="5143" max="5143" width="13.25" style="401" customWidth="1"/>
    <col min="5144" max="5144" width="12.125" style="401" customWidth="1"/>
    <col min="5145" max="5145" width="11.625" style="401" customWidth="1"/>
    <col min="5146" max="5146" width="15" style="401" customWidth="1"/>
    <col min="5147" max="5147" width="17.875" style="401" customWidth="1"/>
    <col min="5148" max="5373" width="9.125" style="401"/>
    <col min="5374" max="5374" width="7.875" style="401" customWidth="1"/>
    <col min="5375" max="5375" width="57.125" style="401" bestFit="1" customWidth="1"/>
    <col min="5376" max="5376" width="9.25" style="401" customWidth="1"/>
    <col min="5377" max="5377" width="7.375" style="401" customWidth="1"/>
    <col min="5378" max="5379" width="12.375" style="401" customWidth="1"/>
    <col min="5380" max="5380" width="11.75" style="401" customWidth="1"/>
    <col min="5381" max="5381" width="12.125" style="401" customWidth="1"/>
    <col min="5382" max="5382" width="13.75" style="401" customWidth="1"/>
    <col min="5383" max="5383" width="12.25" style="401" customWidth="1"/>
    <col min="5384" max="5384" width="8.125" style="401" bestFit="1" customWidth="1"/>
    <col min="5385" max="5385" width="10" style="401" customWidth="1"/>
    <col min="5386" max="5386" width="8.125" style="401" bestFit="1" customWidth="1"/>
    <col min="5387" max="5387" width="13.375" style="401" customWidth="1"/>
    <col min="5388" max="5388" width="12.75" style="401" customWidth="1"/>
    <col min="5389" max="5389" width="9.125" style="401"/>
    <col min="5390" max="5391" width="9.125" style="401" bestFit="1"/>
    <col min="5392" max="5393" width="8.125" style="401" bestFit="1" customWidth="1"/>
    <col min="5394" max="5394" width="9.125" style="401"/>
    <col min="5395" max="5395" width="21" style="401" customWidth="1"/>
    <col min="5396" max="5396" width="9.875" style="401" customWidth="1"/>
    <col min="5397" max="5397" width="8.125" style="401" bestFit="1" customWidth="1"/>
    <col min="5398" max="5398" width="10.75" style="401" customWidth="1"/>
    <col min="5399" max="5399" width="13.25" style="401" customWidth="1"/>
    <col min="5400" max="5400" width="12.125" style="401" customWidth="1"/>
    <col min="5401" max="5401" width="11.625" style="401" customWidth="1"/>
    <col min="5402" max="5402" width="15" style="401" customWidth="1"/>
    <col min="5403" max="5403" width="17.875" style="401" customWidth="1"/>
    <col min="5404" max="5629" width="9.125" style="401"/>
    <col min="5630" max="5630" width="7.875" style="401" customWidth="1"/>
    <col min="5631" max="5631" width="57.125" style="401" bestFit="1" customWidth="1"/>
    <col min="5632" max="5632" width="9.25" style="401" customWidth="1"/>
    <col min="5633" max="5633" width="7.375" style="401" customWidth="1"/>
    <col min="5634" max="5635" width="12.375" style="401" customWidth="1"/>
    <col min="5636" max="5636" width="11.75" style="401" customWidth="1"/>
    <col min="5637" max="5637" width="12.125" style="401" customWidth="1"/>
    <col min="5638" max="5638" width="13.75" style="401" customWidth="1"/>
    <col min="5639" max="5639" width="12.25" style="401" customWidth="1"/>
    <col min="5640" max="5640" width="8.125" style="401" bestFit="1" customWidth="1"/>
    <col min="5641" max="5641" width="10" style="401" customWidth="1"/>
    <col min="5642" max="5642" width="8.125" style="401" bestFit="1" customWidth="1"/>
    <col min="5643" max="5643" width="13.375" style="401" customWidth="1"/>
    <col min="5644" max="5644" width="12.75" style="401" customWidth="1"/>
    <col min="5645" max="5645" width="9.125" style="401"/>
    <col min="5646" max="5647" width="9.125" style="401" bestFit="1"/>
    <col min="5648" max="5649" width="8.125" style="401" bestFit="1" customWidth="1"/>
    <col min="5650" max="5650" width="9.125" style="401"/>
    <col min="5651" max="5651" width="21" style="401" customWidth="1"/>
    <col min="5652" max="5652" width="9.875" style="401" customWidth="1"/>
    <col min="5653" max="5653" width="8.125" style="401" bestFit="1" customWidth="1"/>
    <col min="5654" max="5654" width="10.75" style="401" customWidth="1"/>
    <col min="5655" max="5655" width="13.25" style="401" customWidth="1"/>
    <col min="5656" max="5656" width="12.125" style="401" customWidth="1"/>
    <col min="5657" max="5657" width="11.625" style="401" customWidth="1"/>
    <col min="5658" max="5658" width="15" style="401" customWidth="1"/>
    <col min="5659" max="5659" width="17.875" style="401" customWidth="1"/>
    <col min="5660" max="5885" width="9.125" style="401"/>
    <col min="5886" max="5886" width="7.875" style="401" customWidth="1"/>
    <col min="5887" max="5887" width="57.125" style="401" bestFit="1" customWidth="1"/>
    <col min="5888" max="5888" width="9.25" style="401" customWidth="1"/>
    <col min="5889" max="5889" width="7.375" style="401" customWidth="1"/>
    <col min="5890" max="5891" width="12.375" style="401" customWidth="1"/>
    <col min="5892" max="5892" width="11.75" style="401" customWidth="1"/>
    <col min="5893" max="5893" width="12.125" style="401" customWidth="1"/>
    <col min="5894" max="5894" width="13.75" style="401" customWidth="1"/>
    <col min="5895" max="5895" width="12.25" style="401" customWidth="1"/>
    <col min="5896" max="5896" width="8.125" style="401" bestFit="1" customWidth="1"/>
    <col min="5897" max="5897" width="10" style="401" customWidth="1"/>
    <col min="5898" max="5898" width="8.125" style="401" bestFit="1" customWidth="1"/>
    <col min="5899" max="5899" width="13.375" style="401" customWidth="1"/>
    <col min="5900" max="5900" width="12.75" style="401" customWidth="1"/>
    <col min="5901" max="5901" width="9.125" style="401"/>
    <col min="5902" max="5903" width="9.125" style="401" bestFit="1"/>
    <col min="5904" max="5905" width="8.125" style="401" bestFit="1" customWidth="1"/>
    <col min="5906" max="5906" width="9.125" style="401"/>
    <col min="5907" max="5907" width="21" style="401" customWidth="1"/>
    <col min="5908" max="5908" width="9.875" style="401" customWidth="1"/>
    <col min="5909" max="5909" width="8.125" style="401" bestFit="1" customWidth="1"/>
    <col min="5910" max="5910" width="10.75" style="401" customWidth="1"/>
    <col min="5911" max="5911" width="13.25" style="401" customWidth="1"/>
    <col min="5912" max="5912" width="12.125" style="401" customWidth="1"/>
    <col min="5913" max="5913" width="11.625" style="401" customWidth="1"/>
    <col min="5914" max="5914" width="15" style="401" customWidth="1"/>
    <col min="5915" max="5915" width="17.875" style="401" customWidth="1"/>
    <col min="5916" max="6141" width="9.125" style="401"/>
    <col min="6142" max="6142" width="7.875" style="401" customWidth="1"/>
    <col min="6143" max="6143" width="57.125" style="401" bestFit="1" customWidth="1"/>
    <col min="6144" max="6144" width="9.25" style="401" customWidth="1"/>
    <col min="6145" max="6145" width="7.375" style="401" customWidth="1"/>
    <col min="6146" max="6147" width="12.375" style="401" customWidth="1"/>
    <col min="6148" max="6148" width="11.75" style="401" customWidth="1"/>
    <col min="6149" max="6149" width="12.125" style="401" customWidth="1"/>
    <col min="6150" max="6150" width="13.75" style="401" customWidth="1"/>
    <col min="6151" max="6151" width="12.25" style="401" customWidth="1"/>
    <col min="6152" max="6152" width="8.125" style="401" bestFit="1" customWidth="1"/>
    <col min="6153" max="6153" width="10" style="401" customWidth="1"/>
    <col min="6154" max="6154" width="8.125" style="401" bestFit="1" customWidth="1"/>
    <col min="6155" max="6155" width="13.375" style="401" customWidth="1"/>
    <col min="6156" max="6156" width="12.75" style="401" customWidth="1"/>
    <col min="6157" max="6157" width="9.125" style="401"/>
    <col min="6158" max="6159" width="9.125" style="401" bestFit="1"/>
    <col min="6160" max="6161" width="8.125" style="401" bestFit="1" customWidth="1"/>
    <col min="6162" max="6162" width="9.125" style="401"/>
    <col min="6163" max="6163" width="21" style="401" customWidth="1"/>
    <col min="6164" max="6164" width="9.875" style="401" customWidth="1"/>
    <col min="6165" max="6165" width="8.125" style="401" bestFit="1" customWidth="1"/>
    <col min="6166" max="6166" width="10.75" style="401" customWidth="1"/>
    <col min="6167" max="6167" width="13.25" style="401" customWidth="1"/>
    <col min="6168" max="6168" width="12.125" style="401" customWidth="1"/>
    <col min="6169" max="6169" width="11.625" style="401" customWidth="1"/>
    <col min="6170" max="6170" width="15" style="401" customWidth="1"/>
    <col min="6171" max="6171" width="17.875" style="401" customWidth="1"/>
    <col min="6172" max="6397" width="9.125" style="401"/>
    <col min="6398" max="6398" width="7.875" style="401" customWidth="1"/>
    <col min="6399" max="6399" width="57.125" style="401" bestFit="1" customWidth="1"/>
    <col min="6400" max="6400" width="9.25" style="401" customWidth="1"/>
    <col min="6401" max="6401" width="7.375" style="401" customWidth="1"/>
    <col min="6402" max="6403" width="12.375" style="401" customWidth="1"/>
    <col min="6404" max="6404" width="11.75" style="401" customWidth="1"/>
    <col min="6405" max="6405" width="12.125" style="401" customWidth="1"/>
    <col min="6406" max="6406" width="13.75" style="401" customWidth="1"/>
    <col min="6407" max="6407" width="12.25" style="401" customWidth="1"/>
    <col min="6408" max="6408" width="8.125" style="401" bestFit="1" customWidth="1"/>
    <col min="6409" max="6409" width="10" style="401" customWidth="1"/>
    <col min="6410" max="6410" width="8.125" style="401" bestFit="1" customWidth="1"/>
    <col min="6411" max="6411" width="13.375" style="401" customWidth="1"/>
    <col min="6412" max="6412" width="12.75" style="401" customWidth="1"/>
    <col min="6413" max="6413" width="9.125" style="401"/>
    <col min="6414" max="6415" width="9.125" style="401" bestFit="1"/>
    <col min="6416" max="6417" width="8.125" style="401" bestFit="1" customWidth="1"/>
    <col min="6418" max="6418" width="9.125" style="401"/>
    <col min="6419" max="6419" width="21" style="401" customWidth="1"/>
    <col min="6420" max="6420" width="9.875" style="401" customWidth="1"/>
    <col min="6421" max="6421" width="8.125" style="401" bestFit="1" customWidth="1"/>
    <col min="6422" max="6422" width="10.75" style="401" customWidth="1"/>
    <col min="6423" max="6423" width="13.25" style="401" customWidth="1"/>
    <col min="6424" max="6424" width="12.125" style="401" customWidth="1"/>
    <col min="6425" max="6425" width="11.625" style="401" customWidth="1"/>
    <col min="6426" max="6426" width="15" style="401" customWidth="1"/>
    <col min="6427" max="6427" width="17.875" style="401" customWidth="1"/>
    <col min="6428" max="6653" width="9.125" style="401"/>
    <col min="6654" max="6654" width="7.875" style="401" customWidth="1"/>
    <col min="6655" max="6655" width="57.125" style="401" bestFit="1" customWidth="1"/>
    <col min="6656" max="6656" width="9.25" style="401" customWidth="1"/>
    <col min="6657" max="6657" width="7.375" style="401" customWidth="1"/>
    <col min="6658" max="6659" width="12.375" style="401" customWidth="1"/>
    <col min="6660" max="6660" width="11.75" style="401" customWidth="1"/>
    <col min="6661" max="6661" width="12.125" style="401" customWidth="1"/>
    <col min="6662" max="6662" width="13.75" style="401" customWidth="1"/>
    <col min="6663" max="6663" width="12.25" style="401" customWidth="1"/>
    <col min="6664" max="6664" width="8.125" style="401" bestFit="1" customWidth="1"/>
    <col min="6665" max="6665" width="10" style="401" customWidth="1"/>
    <col min="6666" max="6666" width="8.125" style="401" bestFit="1" customWidth="1"/>
    <col min="6667" max="6667" width="13.375" style="401" customWidth="1"/>
    <col min="6668" max="6668" width="12.75" style="401" customWidth="1"/>
    <col min="6669" max="6669" width="9.125" style="401"/>
    <col min="6670" max="6671" width="9.125" style="401" bestFit="1"/>
    <col min="6672" max="6673" width="8.125" style="401" bestFit="1" customWidth="1"/>
    <col min="6674" max="6674" width="9.125" style="401"/>
    <col min="6675" max="6675" width="21" style="401" customWidth="1"/>
    <col min="6676" max="6676" width="9.875" style="401" customWidth="1"/>
    <col min="6677" max="6677" width="8.125" style="401" bestFit="1" customWidth="1"/>
    <col min="6678" max="6678" width="10.75" style="401" customWidth="1"/>
    <col min="6679" max="6679" width="13.25" style="401" customWidth="1"/>
    <col min="6680" max="6680" width="12.125" style="401" customWidth="1"/>
    <col min="6681" max="6681" width="11.625" style="401" customWidth="1"/>
    <col min="6682" max="6682" width="15" style="401" customWidth="1"/>
    <col min="6683" max="6683" width="17.875" style="401" customWidth="1"/>
    <col min="6684" max="6909" width="9.125" style="401"/>
    <col min="6910" max="6910" width="7.875" style="401" customWidth="1"/>
    <col min="6911" max="6911" width="57.125" style="401" bestFit="1" customWidth="1"/>
    <col min="6912" max="6912" width="9.25" style="401" customWidth="1"/>
    <col min="6913" max="6913" width="7.375" style="401" customWidth="1"/>
    <col min="6914" max="6915" width="12.375" style="401" customWidth="1"/>
    <col min="6916" max="6916" width="11.75" style="401" customWidth="1"/>
    <col min="6917" max="6917" width="12.125" style="401" customWidth="1"/>
    <col min="6918" max="6918" width="13.75" style="401" customWidth="1"/>
    <col min="6919" max="6919" width="12.25" style="401" customWidth="1"/>
    <col min="6920" max="6920" width="8.125" style="401" bestFit="1" customWidth="1"/>
    <col min="6921" max="6921" width="10" style="401" customWidth="1"/>
    <col min="6922" max="6922" width="8.125" style="401" bestFit="1" customWidth="1"/>
    <col min="6923" max="6923" width="13.375" style="401" customWidth="1"/>
    <col min="6924" max="6924" width="12.75" style="401" customWidth="1"/>
    <col min="6925" max="6925" width="9.125" style="401"/>
    <col min="6926" max="6927" width="9.125" style="401" bestFit="1"/>
    <col min="6928" max="6929" width="8.125" style="401" bestFit="1" customWidth="1"/>
    <col min="6930" max="6930" width="9.125" style="401"/>
    <col min="6931" max="6931" width="21" style="401" customWidth="1"/>
    <col min="6932" max="6932" width="9.875" style="401" customWidth="1"/>
    <col min="6933" max="6933" width="8.125" style="401" bestFit="1" customWidth="1"/>
    <col min="6934" max="6934" width="10.75" style="401" customWidth="1"/>
    <col min="6935" max="6935" width="13.25" style="401" customWidth="1"/>
    <col min="6936" max="6936" width="12.125" style="401" customWidth="1"/>
    <col min="6937" max="6937" width="11.625" style="401" customWidth="1"/>
    <col min="6938" max="6938" width="15" style="401" customWidth="1"/>
    <col min="6939" max="6939" width="17.875" style="401" customWidth="1"/>
    <col min="6940" max="7165" width="9.125" style="401"/>
    <col min="7166" max="7166" width="7.875" style="401" customWidth="1"/>
    <col min="7167" max="7167" width="57.125" style="401" bestFit="1" customWidth="1"/>
    <col min="7168" max="7168" width="9.25" style="401" customWidth="1"/>
    <col min="7169" max="7169" width="7.375" style="401" customWidth="1"/>
    <col min="7170" max="7171" width="12.375" style="401" customWidth="1"/>
    <col min="7172" max="7172" width="11.75" style="401" customWidth="1"/>
    <col min="7173" max="7173" width="12.125" style="401" customWidth="1"/>
    <col min="7174" max="7174" width="13.75" style="401" customWidth="1"/>
    <col min="7175" max="7175" width="12.25" style="401" customWidth="1"/>
    <col min="7176" max="7176" width="8.125" style="401" bestFit="1" customWidth="1"/>
    <col min="7177" max="7177" width="10" style="401" customWidth="1"/>
    <col min="7178" max="7178" width="8.125" style="401" bestFit="1" customWidth="1"/>
    <col min="7179" max="7179" width="13.375" style="401" customWidth="1"/>
    <col min="7180" max="7180" width="12.75" style="401" customWidth="1"/>
    <col min="7181" max="7181" width="9.125" style="401"/>
    <col min="7182" max="7183" width="9.125" style="401" bestFit="1"/>
    <col min="7184" max="7185" width="8.125" style="401" bestFit="1" customWidth="1"/>
    <col min="7186" max="7186" width="9.125" style="401"/>
    <col min="7187" max="7187" width="21" style="401" customWidth="1"/>
    <col min="7188" max="7188" width="9.875" style="401" customWidth="1"/>
    <col min="7189" max="7189" width="8.125" style="401" bestFit="1" customWidth="1"/>
    <col min="7190" max="7190" width="10.75" style="401" customWidth="1"/>
    <col min="7191" max="7191" width="13.25" style="401" customWidth="1"/>
    <col min="7192" max="7192" width="12.125" style="401" customWidth="1"/>
    <col min="7193" max="7193" width="11.625" style="401" customWidth="1"/>
    <col min="7194" max="7194" width="15" style="401" customWidth="1"/>
    <col min="7195" max="7195" width="17.875" style="401" customWidth="1"/>
    <col min="7196" max="7421" width="9.125" style="401"/>
    <col min="7422" max="7422" width="7.875" style="401" customWidth="1"/>
    <col min="7423" max="7423" width="57.125" style="401" bestFit="1" customWidth="1"/>
    <col min="7424" max="7424" width="9.25" style="401" customWidth="1"/>
    <col min="7425" max="7425" width="7.375" style="401" customWidth="1"/>
    <col min="7426" max="7427" width="12.375" style="401" customWidth="1"/>
    <col min="7428" max="7428" width="11.75" style="401" customWidth="1"/>
    <col min="7429" max="7429" width="12.125" style="401" customWidth="1"/>
    <col min="7430" max="7430" width="13.75" style="401" customWidth="1"/>
    <col min="7431" max="7431" width="12.25" style="401" customWidth="1"/>
    <col min="7432" max="7432" width="8.125" style="401" bestFit="1" customWidth="1"/>
    <col min="7433" max="7433" width="10" style="401" customWidth="1"/>
    <col min="7434" max="7434" width="8.125" style="401" bestFit="1" customWidth="1"/>
    <col min="7435" max="7435" width="13.375" style="401" customWidth="1"/>
    <col min="7436" max="7436" width="12.75" style="401" customWidth="1"/>
    <col min="7437" max="7437" width="9.125" style="401"/>
    <col min="7438" max="7439" width="9.125" style="401" bestFit="1"/>
    <col min="7440" max="7441" width="8.125" style="401" bestFit="1" customWidth="1"/>
    <col min="7442" max="7442" width="9.125" style="401"/>
    <col min="7443" max="7443" width="21" style="401" customWidth="1"/>
    <col min="7444" max="7444" width="9.875" style="401" customWidth="1"/>
    <col min="7445" max="7445" width="8.125" style="401" bestFit="1" customWidth="1"/>
    <col min="7446" max="7446" width="10.75" style="401" customWidth="1"/>
    <col min="7447" max="7447" width="13.25" style="401" customWidth="1"/>
    <col min="7448" max="7448" width="12.125" style="401" customWidth="1"/>
    <col min="7449" max="7449" width="11.625" style="401" customWidth="1"/>
    <col min="7450" max="7450" width="15" style="401" customWidth="1"/>
    <col min="7451" max="7451" width="17.875" style="401" customWidth="1"/>
    <col min="7452" max="7677" width="9.125" style="401"/>
    <col min="7678" max="7678" width="7.875" style="401" customWidth="1"/>
    <col min="7679" max="7679" width="57.125" style="401" bestFit="1" customWidth="1"/>
    <col min="7680" max="7680" width="9.25" style="401" customWidth="1"/>
    <col min="7681" max="7681" width="7.375" style="401" customWidth="1"/>
    <col min="7682" max="7683" width="12.375" style="401" customWidth="1"/>
    <col min="7684" max="7684" width="11.75" style="401" customWidth="1"/>
    <col min="7685" max="7685" width="12.125" style="401" customWidth="1"/>
    <col min="7686" max="7686" width="13.75" style="401" customWidth="1"/>
    <col min="7687" max="7687" width="12.25" style="401" customWidth="1"/>
    <col min="7688" max="7688" width="8.125" style="401" bestFit="1" customWidth="1"/>
    <col min="7689" max="7689" width="10" style="401" customWidth="1"/>
    <col min="7690" max="7690" width="8.125" style="401" bestFit="1" customWidth="1"/>
    <col min="7691" max="7691" width="13.375" style="401" customWidth="1"/>
    <col min="7692" max="7692" width="12.75" style="401" customWidth="1"/>
    <col min="7693" max="7693" width="9.125" style="401"/>
    <col min="7694" max="7695" width="9.125" style="401" bestFit="1"/>
    <col min="7696" max="7697" width="8.125" style="401" bestFit="1" customWidth="1"/>
    <col min="7698" max="7698" width="9.125" style="401"/>
    <col min="7699" max="7699" width="21" style="401" customWidth="1"/>
    <col min="7700" max="7700" width="9.875" style="401" customWidth="1"/>
    <col min="7701" max="7701" width="8.125" style="401" bestFit="1" customWidth="1"/>
    <col min="7702" max="7702" width="10.75" style="401" customWidth="1"/>
    <col min="7703" max="7703" width="13.25" style="401" customWidth="1"/>
    <col min="7704" max="7704" width="12.125" style="401" customWidth="1"/>
    <col min="7705" max="7705" width="11.625" style="401" customWidth="1"/>
    <col min="7706" max="7706" width="15" style="401" customWidth="1"/>
    <col min="7707" max="7707" width="17.875" style="401" customWidth="1"/>
    <col min="7708" max="7933" width="9.125" style="401"/>
    <col min="7934" max="7934" width="7.875" style="401" customWidth="1"/>
    <col min="7935" max="7935" width="57.125" style="401" bestFit="1" customWidth="1"/>
    <col min="7936" max="7936" width="9.25" style="401" customWidth="1"/>
    <col min="7937" max="7937" width="7.375" style="401" customWidth="1"/>
    <col min="7938" max="7939" width="12.375" style="401" customWidth="1"/>
    <col min="7940" max="7940" width="11.75" style="401" customWidth="1"/>
    <col min="7941" max="7941" width="12.125" style="401" customWidth="1"/>
    <col min="7942" max="7942" width="13.75" style="401" customWidth="1"/>
    <col min="7943" max="7943" width="12.25" style="401" customWidth="1"/>
    <col min="7944" max="7944" width="8.125" style="401" bestFit="1" customWidth="1"/>
    <col min="7945" max="7945" width="10" style="401" customWidth="1"/>
    <col min="7946" max="7946" width="8.125" style="401" bestFit="1" customWidth="1"/>
    <col min="7947" max="7947" width="13.375" style="401" customWidth="1"/>
    <col min="7948" max="7948" width="12.75" style="401" customWidth="1"/>
    <col min="7949" max="7949" width="9.125" style="401"/>
    <col min="7950" max="7951" width="9.125" style="401" bestFit="1"/>
    <col min="7952" max="7953" width="8.125" style="401" bestFit="1" customWidth="1"/>
    <col min="7954" max="7954" width="9.125" style="401"/>
    <col min="7955" max="7955" width="21" style="401" customWidth="1"/>
    <col min="7956" max="7956" width="9.875" style="401" customWidth="1"/>
    <col min="7957" max="7957" width="8.125" style="401" bestFit="1" customWidth="1"/>
    <col min="7958" max="7958" width="10.75" style="401" customWidth="1"/>
    <col min="7959" max="7959" width="13.25" style="401" customWidth="1"/>
    <col min="7960" max="7960" width="12.125" style="401" customWidth="1"/>
    <col min="7961" max="7961" width="11.625" style="401" customWidth="1"/>
    <col min="7962" max="7962" width="15" style="401" customWidth="1"/>
    <col min="7963" max="7963" width="17.875" style="401" customWidth="1"/>
    <col min="7964" max="8189" width="9.125" style="401"/>
    <col min="8190" max="8190" width="7.875" style="401" customWidth="1"/>
    <col min="8191" max="8191" width="57.125" style="401" bestFit="1" customWidth="1"/>
    <col min="8192" max="8192" width="9.25" style="401" customWidth="1"/>
    <col min="8193" max="8193" width="7.375" style="401" customWidth="1"/>
    <col min="8194" max="8195" width="12.375" style="401" customWidth="1"/>
    <col min="8196" max="8196" width="11.75" style="401" customWidth="1"/>
    <col min="8197" max="8197" width="12.125" style="401" customWidth="1"/>
    <col min="8198" max="8198" width="13.75" style="401" customWidth="1"/>
    <col min="8199" max="8199" width="12.25" style="401" customWidth="1"/>
    <col min="8200" max="8200" width="8.125" style="401" bestFit="1" customWidth="1"/>
    <col min="8201" max="8201" width="10" style="401" customWidth="1"/>
    <col min="8202" max="8202" width="8.125" style="401" bestFit="1" customWidth="1"/>
    <col min="8203" max="8203" width="13.375" style="401" customWidth="1"/>
    <col min="8204" max="8204" width="12.75" style="401" customWidth="1"/>
    <col min="8205" max="8205" width="9.125" style="401"/>
    <col min="8206" max="8207" width="9.125" style="401" bestFit="1"/>
    <col min="8208" max="8209" width="8.125" style="401" bestFit="1" customWidth="1"/>
    <col min="8210" max="8210" width="9.125" style="401"/>
    <col min="8211" max="8211" width="21" style="401" customWidth="1"/>
    <col min="8212" max="8212" width="9.875" style="401" customWidth="1"/>
    <col min="8213" max="8213" width="8.125" style="401" bestFit="1" customWidth="1"/>
    <col min="8214" max="8214" width="10.75" style="401" customWidth="1"/>
    <col min="8215" max="8215" width="13.25" style="401" customWidth="1"/>
    <col min="8216" max="8216" width="12.125" style="401" customWidth="1"/>
    <col min="8217" max="8217" width="11.625" style="401" customWidth="1"/>
    <col min="8218" max="8218" width="15" style="401" customWidth="1"/>
    <col min="8219" max="8219" width="17.875" style="401" customWidth="1"/>
    <col min="8220" max="8445" width="9.125" style="401"/>
    <col min="8446" max="8446" width="7.875" style="401" customWidth="1"/>
    <col min="8447" max="8447" width="57.125" style="401" bestFit="1" customWidth="1"/>
    <col min="8448" max="8448" width="9.25" style="401" customWidth="1"/>
    <col min="8449" max="8449" width="7.375" style="401" customWidth="1"/>
    <col min="8450" max="8451" width="12.375" style="401" customWidth="1"/>
    <col min="8452" max="8452" width="11.75" style="401" customWidth="1"/>
    <col min="8453" max="8453" width="12.125" style="401" customWidth="1"/>
    <col min="8454" max="8454" width="13.75" style="401" customWidth="1"/>
    <col min="8455" max="8455" width="12.25" style="401" customWidth="1"/>
    <col min="8456" max="8456" width="8.125" style="401" bestFit="1" customWidth="1"/>
    <col min="8457" max="8457" width="10" style="401" customWidth="1"/>
    <col min="8458" max="8458" width="8.125" style="401" bestFit="1" customWidth="1"/>
    <col min="8459" max="8459" width="13.375" style="401" customWidth="1"/>
    <col min="8460" max="8460" width="12.75" style="401" customWidth="1"/>
    <col min="8461" max="8461" width="9.125" style="401"/>
    <col min="8462" max="8463" width="9.125" style="401" bestFit="1"/>
    <col min="8464" max="8465" width="8.125" style="401" bestFit="1" customWidth="1"/>
    <col min="8466" max="8466" width="9.125" style="401"/>
    <col min="8467" max="8467" width="21" style="401" customWidth="1"/>
    <col min="8468" max="8468" width="9.875" style="401" customWidth="1"/>
    <col min="8469" max="8469" width="8.125" style="401" bestFit="1" customWidth="1"/>
    <col min="8470" max="8470" width="10.75" style="401" customWidth="1"/>
    <col min="8471" max="8471" width="13.25" style="401" customWidth="1"/>
    <col min="8472" max="8472" width="12.125" style="401" customWidth="1"/>
    <col min="8473" max="8473" width="11.625" style="401" customWidth="1"/>
    <col min="8474" max="8474" width="15" style="401" customWidth="1"/>
    <col min="8475" max="8475" width="17.875" style="401" customWidth="1"/>
    <col min="8476" max="8701" width="9.125" style="401"/>
    <col min="8702" max="8702" width="7.875" style="401" customWidth="1"/>
    <col min="8703" max="8703" width="57.125" style="401" bestFit="1" customWidth="1"/>
    <col min="8704" max="8704" width="9.25" style="401" customWidth="1"/>
    <col min="8705" max="8705" width="7.375" style="401" customWidth="1"/>
    <col min="8706" max="8707" width="12.375" style="401" customWidth="1"/>
    <col min="8708" max="8708" width="11.75" style="401" customWidth="1"/>
    <col min="8709" max="8709" width="12.125" style="401" customWidth="1"/>
    <col min="8710" max="8710" width="13.75" style="401" customWidth="1"/>
    <col min="8711" max="8711" width="12.25" style="401" customWidth="1"/>
    <col min="8712" max="8712" width="8.125" style="401" bestFit="1" customWidth="1"/>
    <col min="8713" max="8713" width="10" style="401" customWidth="1"/>
    <col min="8714" max="8714" width="8.125" style="401" bestFit="1" customWidth="1"/>
    <col min="8715" max="8715" width="13.375" style="401" customWidth="1"/>
    <col min="8716" max="8716" width="12.75" style="401" customWidth="1"/>
    <col min="8717" max="8717" width="9.125" style="401"/>
    <col min="8718" max="8719" width="9.125" style="401" bestFit="1"/>
    <col min="8720" max="8721" width="8.125" style="401" bestFit="1" customWidth="1"/>
    <col min="8722" max="8722" width="9.125" style="401"/>
    <col min="8723" max="8723" width="21" style="401" customWidth="1"/>
    <col min="8724" max="8724" width="9.875" style="401" customWidth="1"/>
    <col min="8725" max="8725" width="8.125" style="401" bestFit="1" customWidth="1"/>
    <col min="8726" max="8726" width="10.75" style="401" customWidth="1"/>
    <col min="8727" max="8727" width="13.25" style="401" customWidth="1"/>
    <col min="8728" max="8728" width="12.125" style="401" customWidth="1"/>
    <col min="8729" max="8729" width="11.625" style="401" customWidth="1"/>
    <col min="8730" max="8730" width="15" style="401" customWidth="1"/>
    <col min="8731" max="8731" width="17.875" style="401" customWidth="1"/>
    <col min="8732" max="8957" width="9.125" style="401"/>
    <col min="8958" max="8958" width="7.875" style="401" customWidth="1"/>
    <col min="8959" max="8959" width="57.125" style="401" bestFit="1" customWidth="1"/>
    <col min="8960" max="8960" width="9.25" style="401" customWidth="1"/>
    <col min="8961" max="8961" width="7.375" style="401" customWidth="1"/>
    <col min="8962" max="8963" width="12.375" style="401" customWidth="1"/>
    <col min="8964" max="8964" width="11.75" style="401" customWidth="1"/>
    <col min="8965" max="8965" width="12.125" style="401" customWidth="1"/>
    <col min="8966" max="8966" width="13.75" style="401" customWidth="1"/>
    <col min="8967" max="8967" width="12.25" style="401" customWidth="1"/>
    <col min="8968" max="8968" width="8.125" style="401" bestFit="1" customWidth="1"/>
    <col min="8969" max="8969" width="10" style="401" customWidth="1"/>
    <col min="8970" max="8970" width="8.125" style="401" bestFit="1" customWidth="1"/>
    <col min="8971" max="8971" width="13.375" style="401" customWidth="1"/>
    <col min="8972" max="8972" width="12.75" style="401" customWidth="1"/>
    <col min="8973" max="8973" width="9.125" style="401"/>
    <col min="8974" max="8975" width="9.125" style="401" bestFit="1"/>
    <col min="8976" max="8977" width="8.125" style="401" bestFit="1" customWidth="1"/>
    <col min="8978" max="8978" width="9.125" style="401"/>
    <col min="8979" max="8979" width="21" style="401" customWidth="1"/>
    <col min="8980" max="8980" width="9.875" style="401" customWidth="1"/>
    <col min="8981" max="8981" width="8.125" style="401" bestFit="1" customWidth="1"/>
    <col min="8982" max="8982" width="10.75" style="401" customWidth="1"/>
    <col min="8983" max="8983" width="13.25" style="401" customWidth="1"/>
    <col min="8984" max="8984" width="12.125" style="401" customWidth="1"/>
    <col min="8985" max="8985" width="11.625" style="401" customWidth="1"/>
    <col min="8986" max="8986" width="15" style="401" customWidth="1"/>
    <col min="8987" max="8987" width="17.875" style="401" customWidth="1"/>
    <col min="8988" max="9213" width="9.125" style="401"/>
    <col min="9214" max="9214" width="7.875" style="401" customWidth="1"/>
    <col min="9215" max="9215" width="57.125" style="401" bestFit="1" customWidth="1"/>
    <col min="9216" max="9216" width="9.25" style="401" customWidth="1"/>
    <col min="9217" max="9217" width="7.375" style="401" customWidth="1"/>
    <col min="9218" max="9219" width="12.375" style="401" customWidth="1"/>
    <col min="9220" max="9220" width="11.75" style="401" customWidth="1"/>
    <col min="9221" max="9221" width="12.125" style="401" customWidth="1"/>
    <col min="9222" max="9222" width="13.75" style="401" customWidth="1"/>
    <col min="9223" max="9223" width="12.25" style="401" customWidth="1"/>
    <col min="9224" max="9224" width="8.125" style="401" bestFit="1" customWidth="1"/>
    <col min="9225" max="9225" width="10" style="401" customWidth="1"/>
    <col min="9226" max="9226" width="8.125" style="401" bestFit="1" customWidth="1"/>
    <col min="9227" max="9227" width="13.375" style="401" customWidth="1"/>
    <col min="9228" max="9228" width="12.75" style="401" customWidth="1"/>
    <col min="9229" max="9229" width="9.125" style="401"/>
    <col min="9230" max="9231" width="9.125" style="401" bestFit="1"/>
    <col min="9232" max="9233" width="8.125" style="401" bestFit="1" customWidth="1"/>
    <col min="9234" max="9234" width="9.125" style="401"/>
    <col min="9235" max="9235" width="21" style="401" customWidth="1"/>
    <col min="9236" max="9236" width="9.875" style="401" customWidth="1"/>
    <col min="9237" max="9237" width="8.125" style="401" bestFit="1" customWidth="1"/>
    <col min="9238" max="9238" width="10.75" style="401" customWidth="1"/>
    <col min="9239" max="9239" width="13.25" style="401" customWidth="1"/>
    <col min="9240" max="9240" width="12.125" style="401" customWidth="1"/>
    <col min="9241" max="9241" width="11.625" style="401" customWidth="1"/>
    <col min="9242" max="9242" width="15" style="401" customWidth="1"/>
    <col min="9243" max="9243" width="17.875" style="401" customWidth="1"/>
    <col min="9244" max="9469" width="9.125" style="401"/>
    <col min="9470" max="9470" width="7.875" style="401" customWidth="1"/>
    <col min="9471" max="9471" width="57.125" style="401" bestFit="1" customWidth="1"/>
    <col min="9472" max="9472" width="9.25" style="401" customWidth="1"/>
    <col min="9473" max="9473" width="7.375" style="401" customWidth="1"/>
    <col min="9474" max="9475" width="12.375" style="401" customWidth="1"/>
    <col min="9476" max="9476" width="11.75" style="401" customWidth="1"/>
    <col min="9477" max="9477" width="12.125" style="401" customWidth="1"/>
    <col min="9478" max="9478" width="13.75" style="401" customWidth="1"/>
    <col min="9479" max="9479" width="12.25" style="401" customWidth="1"/>
    <col min="9480" max="9480" width="8.125" style="401" bestFit="1" customWidth="1"/>
    <col min="9481" max="9481" width="10" style="401" customWidth="1"/>
    <col min="9482" max="9482" width="8.125" style="401" bestFit="1" customWidth="1"/>
    <col min="9483" max="9483" width="13.375" style="401" customWidth="1"/>
    <col min="9484" max="9484" width="12.75" style="401" customWidth="1"/>
    <col min="9485" max="9485" width="9.125" style="401"/>
    <col min="9486" max="9487" width="9.125" style="401" bestFit="1"/>
    <col min="9488" max="9489" width="8.125" style="401" bestFit="1" customWidth="1"/>
    <col min="9490" max="9490" width="9.125" style="401"/>
    <col min="9491" max="9491" width="21" style="401" customWidth="1"/>
    <col min="9492" max="9492" width="9.875" style="401" customWidth="1"/>
    <col min="9493" max="9493" width="8.125" style="401" bestFit="1" customWidth="1"/>
    <col min="9494" max="9494" width="10.75" style="401" customWidth="1"/>
    <col min="9495" max="9495" width="13.25" style="401" customWidth="1"/>
    <col min="9496" max="9496" width="12.125" style="401" customWidth="1"/>
    <col min="9497" max="9497" width="11.625" style="401" customWidth="1"/>
    <col min="9498" max="9498" width="15" style="401" customWidth="1"/>
    <col min="9499" max="9499" width="17.875" style="401" customWidth="1"/>
    <col min="9500" max="9725" width="9.125" style="401"/>
    <col min="9726" max="9726" width="7.875" style="401" customWidth="1"/>
    <col min="9727" max="9727" width="57.125" style="401" bestFit="1" customWidth="1"/>
    <col min="9728" max="9728" width="9.25" style="401" customWidth="1"/>
    <col min="9729" max="9729" width="7.375" style="401" customWidth="1"/>
    <col min="9730" max="9731" width="12.375" style="401" customWidth="1"/>
    <col min="9732" max="9732" width="11.75" style="401" customWidth="1"/>
    <col min="9733" max="9733" width="12.125" style="401" customWidth="1"/>
    <col min="9734" max="9734" width="13.75" style="401" customWidth="1"/>
    <col min="9735" max="9735" width="12.25" style="401" customWidth="1"/>
    <col min="9736" max="9736" width="8.125" style="401" bestFit="1" customWidth="1"/>
    <col min="9737" max="9737" width="10" style="401" customWidth="1"/>
    <col min="9738" max="9738" width="8.125" style="401" bestFit="1" customWidth="1"/>
    <col min="9739" max="9739" width="13.375" style="401" customWidth="1"/>
    <col min="9740" max="9740" width="12.75" style="401" customWidth="1"/>
    <col min="9741" max="9741" width="9.125" style="401"/>
    <col min="9742" max="9743" width="9.125" style="401" bestFit="1"/>
    <col min="9744" max="9745" width="8.125" style="401" bestFit="1" customWidth="1"/>
    <col min="9746" max="9746" width="9.125" style="401"/>
    <col min="9747" max="9747" width="21" style="401" customWidth="1"/>
    <col min="9748" max="9748" width="9.875" style="401" customWidth="1"/>
    <col min="9749" max="9749" width="8.125" style="401" bestFit="1" customWidth="1"/>
    <col min="9750" max="9750" width="10.75" style="401" customWidth="1"/>
    <col min="9751" max="9751" width="13.25" style="401" customWidth="1"/>
    <col min="9752" max="9752" width="12.125" style="401" customWidth="1"/>
    <col min="9753" max="9753" width="11.625" style="401" customWidth="1"/>
    <col min="9754" max="9754" width="15" style="401" customWidth="1"/>
    <col min="9755" max="9755" width="17.875" style="401" customWidth="1"/>
    <col min="9756" max="9981" width="9.125" style="401"/>
    <col min="9982" max="9982" width="7.875" style="401" customWidth="1"/>
    <col min="9983" max="9983" width="57.125" style="401" bestFit="1" customWidth="1"/>
    <col min="9984" max="9984" width="9.25" style="401" customWidth="1"/>
    <col min="9985" max="9985" width="7.375" style="401" customWidth="1"/>
    <col min="9986" max="9987" width="12.375" style="401" customWidth="1"/>
    <col min="9988" max="9988" width="11.75" style="401" customWidth="1"/>
    <col min="9989" max="9989" width="12.125" style="401" customWidth="1"/>
    <col min="9990" max="9990" width="13.75" style="401" customWidth="1"/>
    <col min="9991" max="9991" width="12.25" style="401" customWidth="1"/>
    <col min="9992" max="9992" width="8.125" style="401" bestFit="1" customWidth="1"/>
    <col min="9993" max="9993" width="10" style="401" customWidth="1"/>
    <col min="9994" max="9994" width="8.125" style="401" bestFit="1" customWidth="1"/>
    <col min="9995" max="9995" width="13.375" style="401" customWidth="1"/>
    <col min="9996" max="9996" width="12.75" style="401" customWidth="1"/>
    <col min="9997" max="9997" width="9.125" style="401"/>
    <col min="9998" max="9999" width="9.125" style="401" bestFit="1"/>
    <col min="10000" max="10001" width="8.125" style="401" bestFit="1" customWidth="1"/>
    <col min="10002" max="10002" width="9.125" style="401"/>
    <col min="10003" max="10003" width="21" style="401" customWidth="1"/>
    <col min="10004" max="10004" width="9.875" style="401" customWidth="1"/>
    <col min="10005" max="10005" width="8.125" style="401" bestFit="1" customWidth="1"/>
    <col min="10006" max="10006" width="10.75" style="401" customWidth="1"/>
    <col min="10007" max="10007" width="13.25" style="401" customWidth="1"/>
    <col min="10008" max="10008" width="12.125" style="401" customWidth="1"/>
    <col min="10009" max="10009" width="11.625" style="401" customWidth="1"/>
    <col min="10010" max="10010" width="15" style="401" customWidth="1"/>
    <col min="10011" max="10011" width="17.875" style="401" customWidth="1"/>
    <col min="10012" max="10237" width="9.125" style="401"/>
    <col min="10238" max="10238" width="7.875" style="401" customWidth="1"/>
    <col min="10239" max="10239" width="57.125" style="401" bestFit="1" customWidth="1"/>
    <col min="10240" max="10240" width="9.25" style="401" customWidth="1"/>
    <col min="10241" max="10241" width="7.375" style="401" customWidth="1"/>
    <col min="10242" max="10243" width="12.375" style="401" customWidth="1"/>
    <col min="10244" max="10244" width="11.75" style="401" customWidth="1"/>
    <col min="10245" max="10245" width="12.125" style="401" customWidth="1"/>
    <col min="10246" max="10246" width="13.75" style="401" customWidth="1"/>
    <col min="10247" max="10247" width="12.25" style="401" customWidth="1"/>
    <col min="10248" max="10248" width="8.125" style="401" bestFit="1" customWidth="1"/>
    <col min="10249" max="10249" width="10" style="401" customWidth="1"/>
    <col min="10250" max="10250" width="8.125" style="401" bestFit="1" customWidth="1"/>
    <col min="10251" max="10251" width="13.375" style="401" customWidth="1"/>
    <col min="10252" max="10252" width="12.75" style="401" customWidth="1"/>
    <col min="10253" max="10253" width="9.125" style="401"/>
    <col min="10254" max="10255" width="9.125" style="401" bestFit="1"/>
    <col min="10256" max="10257" width="8.125" style="401" bestFit="1" customWidth="1"/>
    <col min="10258" max="10258" width="9.125" style="401"/>
    <col min="10259" max="10259" width="21" style="401" customWidth="1"/>
    <col min="10260" max="10260" width="9.875" style="401" customWidth="1"/>
    <col min="10261" max="10261" width="8.125" style="401" bestFit="1" customWidth="1"/>
    <col min="10262" max="10262" width="10.75" style="401" customWidth="1"/>
    <col min="10263" max="10263" width="13.25" style="401" customWidth="1"/>
    <col min="10264" max="10264" width="12.125" style="401" customWidth="1"/>
    <col min="10265" max="10265" width="11.625" style="401" customWidth="1"/>
    <col min="10266" max="10266" width="15" style="401" customWidth="1"/>
    <col min="10267" max="10267" width="17.875" style="401" customWidth="1"/>
    <col min="10268" max="10493" width="9.125" style="401"/>
    <col min="10494" max="10494" width="7.875" style="401" customWidth="1"/>
    <col min="10495" max="10495" width="57.125" style="401" bestFit="1" customWidth="1"/>
    <col min="10496" max="10496" width="9.25" style="401" customWidth="1"/>
    <col min="10497" max="10497" width="7.375" style="401" customWidth="1"/>
    <col min="10498" max="10499" width="12.375" style="401" customWidth="1"/>
    <col min="10500" max="10500" width="11.75" style="401" customWidth="1"/>
    <col min="10501" max="10501" width="12.125" style="401" customWidth="1"/>
    <col min="10502" max="10502" width="13.75" style="401" customWidth="1"/>
    <col min="10503" max="10503" width="12.25" style="401" customWidth="1"/>
    <col min="10504" max="10504" width="8.125" style="401" bestFit="1" customWidth="1"/>
    <col min="10505" max="10505" width="10" style="401" customWidth="1"/>
    <col min="10506" max="10506" width="8.125" style="401" bestFit="1" customWidth="1"/>
    <col min="10507" max="10507" width="13.375" style="401" customWidth="1"/>
    <col min="10508" max="10508" width="12.75" style="401" customWidth="1"/>
    <col min="10509" max="10509" width="9.125" style="401"/>
    <col min="10510" max="10511" width="9.125" style="401" bestFit="1"/>
    <col min="10512" max="10513" width="8.125" style="401" bestFit="1" customWidth="1"/>
    <col min="10514" max="10514" width="9.125" style="401"/>
    <col min="10515" max="10515" width="21" style="401" customWidth="1"/>
    <col min="10516" max="10516" width="9.875" style="401" customWidth="1"/>
    <col min="10517" max="10517" width="8.125" style="401" bestFit="1" customWidth="1"/>
    <col min="10518" max="10518" width="10.75" style="401" customWidth="1"/>
    <col min="10519" max="10519" width="13.25" style="401" customWidth="1"/>
    <col min="10520" max="10520" width="12.125" style="401" customWidth="1"/>
    <col min="10521" max="10521" width="11.625" style="401" customWidth="1"/>
    <col min="10522" max="10522" width="15" style="401" customWidth="1"/>
    <col min="10523" max="10523" width="17.875" style="401" customWidth="1"/>
    <col min="10524" max="10749" width="9.125" style="401"/>
    <col min="10750" max="10750" width="7.875" style="401" customWidth="1"/>
    <col min="10751" max="10751" width="57.125" style="401" bestFit="1" customWidth="1"/>
    <col min="10752" max="10752" width="9.25" style="401" customWidth="1"/>
    <col min="10753" max="10753" width="7.375" style="401" customWidth="1"/>
    <col min="10754" max="10755" width="12.375" style="401" customWidth="1"/>
    <col min="10756" max="10756" width="11.75" style="401" customWidth="1"/>
    <col min="10757" max="10757" width="12.125" style="401" customWidth="1"/>
    <col min="10758" max="10758" width="13.75" style="401" customWidth="1"/>
    <col min="10759" max="10759" width="12.25" style="401" customWidth="1"/>
    <col min="10760" max="10760" width="8.125" style="401" bestFit="1" customWidth="1"/>
    <col min="10761" max="10761" width="10" style="401" customWidth="1"/>
    <col min="10762" max="10762" width="8.125" style="401" bestFit="1" customWidth="1"/>
    <col min="10763" max="10763" width="13.375" style="401" customWidth="1"/>
    <col min="10764" max="10764" width="12.75" style="401" customWidth="1"/>
    <col min="10765" max="10765" width="9.125" style="401"/>
    <col min="10766" max="10767" width="9.125" style="401" bestFit="1"/>
    <col min="10768" max="10769" width="8.125" style="401" bestFit="1" customWidth="1"/>
    <col min="10770" max="10770" width="9.125" style="401"/>
    <col min="10771" max="10771" width="21" style="401" customWidth="1"/>
    <col min="10772" max="10772" width="9.875" style="401" customWidth="1"/>
    <col min="10773" max="10773" width="8.125" style="401" bestFit="1" customWidth="1"/>
    <col min="10774" max="10774" width="10.75" style="401" customWidth="1"/>
    <col min="10775" max="10775" width="13.25" style="401" customWidth="1"/>
    <col min="10776" max="10776" width="12.125" style="401" customWidth="1"/>
    <col min="10777" max="10777" width="11.625" style="401" customWidth="1"/>
    <col min="10778" max="10778" width="15" style="401" customWidth="1"/>
    <col min="10779" max="10779" width="17.875" style="401" customWidth="1"/>
    <col min="10780" max="11005" width="9.125" style="401"/>
    <col min="11006" max="11006" width="7.875" style="401" customWidth="1"/>
    <col min="11007" max="11007" width="57.125" style="401" bestFit="1" customWidth="1"/>
    <col min="11008" max="11008" width="9.25" style="401" customWidth="1"/>
    <col min="11009" max="11009" width="7.375" style="401" customWidth="1"/>
    <col min="11010" max="11011" width="12.375" style="401" customWidth="1"/>
    <col min="11012" max="11012" width="11.75" style="401" customWidth="1"/>
    <col min="11013" max="11013" width="12.125" style="401" customWidth="1"/>
    <col min="11014" max="11014" width="13.75" style="401" customWidth="1"/>
    <col min="11015" max="11015" width="12.25" style="401" customWidth="1"/>
    <col min="11016" max="11016" width="8.125" style="401" bestFit="1" customWidth="1"/>
    <col min="11017" max="11017" width="10" style="401" customWidth="1"/>
    <col min="11018" max="11018" width="8.125" style="401" bestFit="1" customWidth="1"/>
    <col min="11019" max="11019" width="13.375" style="401" customWidth="1"/>
    <col min="11020" max="11020" width="12.75" style="401" customWidth="1"/>
    <col min="11021" max="11021" width="9.125" style="401"/>
    <col min="11022" max="11023" width="9.125" style="401" bestFit="1"/>
    <col min="11024" max="11025" width="8.125" style="401" bestFit="1" customWidth="1"/>
    <col min="11026" max="11026" width="9.125" style="401"/>
    <col min="11027" max="11027" width="21" style="401" customWidth="1"/>
    <col min="11028" max="11028" width="9.875" style="401" customWidth="1"/>
    <col min="11029" max="11029" width="8.125" style="401" bestFit="1" customWidth="1"/>
    <col min="11030" max="11030" width="10.75" style="401" customWidth="1"/>
    <col min="11031" max="11031" width="13.25" style="401" customWidth="1"/>
    <col min="11032" max="11032" width="12.125" style="401" customWidth="1"/>
    <col min="11033" max="11033" width="11.625" style="401" customWidth="1"/>
    <col min="11034" max="11034" width="15" style="401" customWidth="1"/>
    <col min="11035" max="11035" width="17.875" style="401" customWidth="1"/>
    <col min="11036" max="11261" width="9.125" style="401"/>
    <col min="11262" max="11262" width="7.875" style="401" customWidth="1"/>
    <col min="11263" max="11263" width="57.125" style="401" bestFit="1" customWidth="1"/>
    <col min="11264" max="11264" width="9.25" style="401" customWidth="1"/>
    <col min="11265" max="11265" width="7.375" style="401" customWidth="1"/>
    <col min="11266" max="11267" width="12.375" style="401" customWidth="1"/>
    <col min="11268" max="11268" width="11.75" style="401" customWidth="1"/>
    <col min="11269" max="11269" width="12.125" style="401" customWidth="1"/>
    <col min="11270" max="11270" width="13.75" style="401" customWidth="1"/>
    <col min="11271" max="11271" width="12.25" style="401" customWidth="1"/>
    <col min="11272" max="11272" width="8.125" style="401" bestFit="1" customWidth="1"/>
    <col min="11273" max="11273" width="10" style="401" customWidth="1"/>
    <col min="11274" max="11274" width="8.125" style="401" bestFit="1" customWidth="1"/>
    <col min="11275" max="11275" width="13.375" style="401" customWidth="1"/>
    <col min="11276" max="11276" width="12.75" style="401" customWidth="1"/>
    <col min="11277" max="11277" width="9.125" style="401"/>
    <col min="11278" max="11279" width="9.125" style="401" bestFit="1"/>
    <col min="11280" max="11281" width="8.125" style="401" bestFit="1" customWidth="1"/>
    <col min="11282" max="11282" width="9.125" style="401"/>
    <col min="11283" max="11283" width="21" style="401" customWidth="1"/>
    <col min="11284" max="11284" width="9.875" style="401" customWidth="1"/>
    <col min="11285" max="11285" width="8.125" style="401" bestFit="1" customWidth="1"/>
    <col min="11286" max="11286" width="10.75" style="401" customWidth="1"/>
    <col min="11287" max="11287" width="13.25" style="401" customWidth="1"/>
    <col min="11288" max="11288" width="12.125" style="401" customWidth="1"/>
    <col min="11289" max="11289" width="11.625" style="401" customWidth="1"/>
    <col min="11290" max="11290" width="15" style="401" customWidth="1"/>
    <col min="11291" max="11291" width="17.875" style="401" customWidth="1"/>
    <col min="11292" max="11517" width="9.125" style="401"/>
    <col min="11518" max="11518" width="7.875" style="401" customWidth="1"/>
    <col min="11519" max="11519" width="57.125" style="401" bestFit="1" customWidth="1"/>
    <col min="11520" max="11520" width="9.25" style="401" customWidth="1"/>
    <col min="11521" max="11521" width="7.375" style="401" customWidth="1"/>
    <col min="11522" max="11523" width="12.375" style="401" customWidth="1"/>
    <col min="11524" max="11524" width="11.75" style="401" customWidth="1"/>
    <col min="11525" max="11525" width="12.125" style="401" customWidth="1"/>
    <col min="11526" max="11526" width="13.75" style="401" customWidth="1"/>
    <col min="11527" max="11527" width="12.25" style="401" customWidth="1"/>
    <col min="11528" max="11528" width="8.125" style="401" bestFit="1" customWidth="1"/>
    <col min="11529" max="11529" width="10" style="401" customWidth="1"/>
    <col min="11530" max="11530" width="8.125" style="401" bestFit="1" customWidth="1"/>
    <col min="11531" max="11531" width="13.375" style="401" customWidth="1"/>
    <col min="11532" max="11532" width="12.75" style="401" customWidth="1"/>
    <col min="11533" max="11533" width="9.125" style="401"/>
    <col min="11534" max="11535" width="9.125" style="401" bestFit="1"/>
    <col min="11536" max="11537" width="8.125" style="401" bestFit="1" customWidth="1"/>
    <col min="11538" max="11538" width="9.125" style="401"/>
    <col min="11539" max="11539" width="21" style="401" customWidth="1"/>
    <col min="11540" max="11540" width="9.875" style="401" customWidth="1"/>
    <col min="11541" max="11541" width="8.125" style="401" bestFit="1" customWidth="1"/>
    <col min="11542" max="11542" width="10.75" style="401" customWidth="1"/>
    <col min="11543" max="11543" width="13.25" style="401" customWidth="1"/>
    <col min="11544" max="11544" width="12.125" style="401" customWidth="1"/>
    <col min="11545" max="11545" width="11.625" style="401" customWidth="1"/>
    <col min="11546" max="11546" width="15" style="401" customWidth="1"/>
    <col min="11547" max="11547" width="17.875" style="401" customWidth="1"/>
    <col min="11548" max="11773" width="9.125" style="401"/>
    <col min="11774" max="11774" width="7.875" style="401" customWidth="1"/>
    <col min="11775" max="11775" width="57.125" style="401" bestFit="1" customWidth="1"/>
    <col min="11776" max="11776" width="9.25" style="401" customWidth="1"/>
    <col min="11777" max="11777" width="7.375" style="401" customWidth="1"/>
    <col min="11778" max="11779" width="12.375" style="401" customWidth="1"/>
    <col min="11780" max="11780" width="11.75" style="401" customWidth="1"/>
    <col min="11781" max="11781" width="12.125" style="401" customWidth="1"/>
    <col min="11782" max="11782" width="13.75" style="401" customWidth="1"/>
    <col min="11783" max="11783" width="12.25" style="401" customWidth="1"/>
    <col min="11784" max="11784" width="8.125" style="401" bestFit="1" customWidth="1"/>
    <col min="11785" max="11785" width="10" style="401" customWidth="1"/>
    <col min="11786" max="11786" width="8.125" style="401" bestFit="1" customWidth="1"/>
    <col min="11787" max="11787" width="13.375" style="401" customWidth="1"/>
    <col min="11788" max="11788" width="12.75" style="401" customWidth="1"/>
    <col min="11789" max="11789" width="9.125" style="401"/>
    <col min="11790" max="11791" width="9.125" style="401" bestFit="1"/>
    <col min="11792" max="11793" width="8.125" style="401" bestFit="1" customWidth="1"/>
    <col min="11794" max="11794" width="9.125" style="401"/>
    <col min="11795" max="11795" width="21" style="401" customWidth="1"/>
    <col min="11796" max="11796" width="9.875" style="401" customWidth="1"/>
    <col min="11797" max="11797" width="8.125" style="401" bestFit="1" customWidth="1"/>
    <col min="11798" max="11798" width="10.75" style="401" customWidth="1"/>
    <col min="11799" max="11799" width="13.25" style="401" customWidth="1"/>
    <col min="11800" max="11800" width="12.125" style="401" customWidth="1"/>
    <col min="11801" max="11801" width="11.625" style="401" customWidth="1"/>
    <col min="11802" max="11802" width="15" style="401" customWidth="1"/>
    <col min="11803" max="11803" width="17.875" style="401" customWidth="1"/>
    <col min="11804" max="12029" width="9.125" style="401"/>
    <col min="12030" max="12030" width="7.875" style="401" customWidth="1"/>
    <col min="12031" max="12031" width="57.125" style="401" bestFit="1" customWidth="1"/>
    <col min="12032" max="12032" width="9.25" style="401" customWidth="1"/>
    <col min="12033" max="12033" width="7.375" style="401" customWidth="1"/>
    <col min="12034" max="12035" width="12.375" style="401" customWidth="1"/>
    <col min="12036" max="12036" width="11.75" style="401" customWidth="1"/>
    <col min="12037" max="12037" width="12.125" style="401" customWidth="1"/>
    <col min="12038" max="12038" width="13.75" style="401" customWidth="1"/>
    <col min="12039" max="12039" width="12.25" style="401" customWidth="1"/>
    <col min="12040" max="12040" width="8.125" style="401" bestFit="1" customWidth="1"/>
    <col min="12041" max="12041" width="10" style="401" customWidth="1"/>
    <col min="12042" max="12042" width="8.125" style="401" bestFit="1" customWidth="1"/>
    <col min="12043" max="12043" width="13.375" style="401" customWidth="1"/>
    <col min="12044" max="12044" width="12.75" style="401" customWidth="1"/>
    <col min="12045" max="12045" width="9.125" style="401"/>
    <col min="12046" max="12047" width="9.125" style="401" bestFit="1"/>
    <col min="12048" max="12049" width="8.125" style="401" bestFit="1" customWidth="1"/>
    <col min="12050" max="12050" width="9.125" style="401"/>
    <col min="12051" max="12051" width="21" style="401" customWidth="1"/>
    <col min="12052" max="12052" width="9.875" style="401" customWidth="1"/>
    <col min="12053" max="12053" width="8.125" style="401" bestFit="1" customWidth="1"/>
    <col min="12054" max="12054" width="10.75" style="401" customWidth="1"/>
    <col min="12055" max="12055" width="13.25" style="401" customWidth="1"/>
    <col min="12056" max="12056" width="12.125" style="401" customWidth="1"/>
    <col min="12057" max="12057" width="11.625" style="401" customWidth="1"/>
    <col min="12058" max="12058" width="15" style="401" customWidth="1"/>
    <col min="12059" max="12059" width="17.875" style="401" customWidth="1"/>
    <col min="12060" max="12285" width="9.125" style="401"/>
    <col min="12286" max="12286" width="7.875" style="401" customWidth="1"/>
    <col min="12287" max="12287" width="57.125" style="401" bestFit="1" customWidth="1"/>
    <col min="12288" max="12288" width="9.25" style="401" customWidth="1"/>
    <col min="12289" max="12289" width="7.375" style="401" customWidth="1"/>
    <col min="12290" max="12291" width="12.375" style="401" customWidth="1"/>
    <col min="12292" max="12292" width="11.75" style="401" customWidth="1"/>
    <col min="12293" max="12293" width="12.125" style="401" customWidth="1"/>
    <col min="12294" max="12294" width="13.75" style="401" customWidth="1"/>
    <col min="12295" max="12295" width="12.25" style="401" customWidth="1"/>
    <col min="12296" max="12296" width="8.125" style="401" bestFit="1" customWidth="1"/>
    <col min="12297" max="12297" width="10" style="401" customWidth="1"/>
    <col min="12298" max="12298" width="8.125" style="401" bestFit="1" customWidth="1"/>
    <col min="12299" max="12299" width="13.375" style="401" customWidth="1"/>
    <col min="12300" max="12300" width="12.75" style="401" customWidth="1"/>
    <col min="12301" max="12301" width="9.125" style="401"/>
    <col min="12302" max="12303" width="9.125" style="401" bestFit="1"/>
    <col min="12304" max="12305" width="8.125" style="401" bestFit="1" customWidth="1"/>
    <col min="12306" max="12306" width="9.125" style="401"/>
    <col min="12307" max="12307" width="21" style="401" customWidth="1"/>
    <col min="12308" max="12308" width="9.875" style="401" customWidth="1"/>
    <col min="12309" max="12309" width="8.125" style="401" bestFit="1" customWidth="1"/>
    <col min="12310" max="12310" width="10.75" style="401" customWidth="1"/>
    <col min="12311" max="12311" width="13.25" style="401" customWidth="1"/>
    <col min="12312" max="12312" width="12.125" style="401" customWidth="1"/>
    <col min="12313" max="12313" width="11.625" style="401" customWidth="1"/>
    <col min="12314" max="12314" width="15" style="401" customWidth="1"/>
    <col min="12315" max="12315" width="17.875" style="401" customWidth="1"/>
    <col min="12316" max="12541" width="9.125" style="401"/>
    <col min="12542" max="12542" width="7.875" style="401" customWidth="1"/>
    <col min="12543" max="12543" width="57.125" style="401" bestFit="1" customWidth="1"/>
    <col min="12544" max="12544" width="9.25" style="401" customWidth="1"/>
    <col min="12545" max="12545" width="7.375" style="401" customWidth="1"/>
    <col min="12546" max="12547" width="12.375" style="401" customWidth="1"/>
    <col min="12548" max="12548" width="11.75" style="401" customWidth="1"/>
    <col min="12549" max="12549" width="12.125" style="401" customWidth="1"/>
    <col min="12550" max="12550" width="13.75" style="401" customWidth="1"/>
    <col min="12551" max="12551" width="12.25" style="401" customWidth="1"/>
    <col min="12552" max="12552" width="8.125" style="401" bestFit="1" customWidth="1"/>
    <col min="12553" max="12553" width="10" style="401" customWidth="1"/>
    <col min="12554" max="12554" width="8.125" style="401" bestFit="1" customWidth="1"/>
    <col min="12555" max="12555" width="13.375" style="401" customWidth="1"/>
    <col min="12556" max="12556" width="12.75" style="401" customWidth="1"/>
    <col min="12557" max="12557" width="9.125" style="401"/>
    <col min="12558" max="12559" width="9.125" style="401" bestFit="1"/>
    <col min="12560" max="12561" width="8.125" style="401" bestFit="1" customWidth="1"/>
    <col min="12562" max="12562" width="9.125" style="401"/>
    <col min="12563" max="12563" width="21" style="401" customWidth="1"/>
    <col min="12564" max="12564" width="9.875" style="401" customWidth="1"/>
    <col min="12565" max="12565" width="8.125" style="401" bestFit="1" customWidth="1"/>
    <col min="12566" max="12566" width="10.75" style="401" customWidth="1"/>
    <col min="12567" max="12567" width="13.25" style="401" customWidth="1"/>
    <col min="12568" max="12568" width="12.125" style="401" customWidth="1"/>
    <col min="12569" max="12569" width="11.625" style="401" customWidth="1"/>
    <col min="12570" max="12570" width="15" style="401" customWidth="1"/>
    <col min="12571" max="12571" width="17.875" style="401" customWidth="1"/>
    <col min="12572" max="12797" width="9.125" style="401"/>
    <col min="12798" max="12798" width="7.875" style="401" customWidth="1"/>
    <col min="12799" max="12799" width="57.125" style="401" bestFit="1" customWidth="1"/>
    <col min="12800" max="12800" width="9.25" style="401" customWidth="1"/>
    <col min="12801" max="12801" width="7.375" style="401" customWidth="1"/>
    <col min="12802" max="12803" width="12.375" style="401" customWidth="1"/>
    <col min="12804" max="12804" width="11.75" style="401" customWidth="1"/>
    <col min="12805" max="12805" width="12.125" style="401" customWidth="1"/>
    <col min="12806" max="12806" width="13.75" style="401" customWidth="1"/>
    <col min="12807" max="12807" width="12.25" style="401" customWidth="1"/>
    <col min="12808" max="12808" width="8.125" style="401" bestFit="1" customWidth="1"/>
    <col min="12809" max="12809" width="10" style="401" customWidth="1"/>
    <col min="12810" max="12810" width="8.125" style="401" bestFit="1" customWidth="1"/>
    <col min="12811" max="12811" width="13.375" style="401" customWidth="1"/>
    <col min="12812" max="12812" width="12.75" style="401" customWidth="1"/>
    <col min="12813" max="12813" width="9.125" style="401"/>
    <col min="12814" max="12815" width="9.125" style="401" bestFit="1"/>
    <col min="12816" max="12817" width="8.125" style="401" bestFit="1" customWidth="1"/>
    <col min="12818" max="12818" width="9.125" style="401"/>
    <col min="12819" max="12819" width="21" style="401" customWidth="1"/>
    <col min="12820" max="12820" width="9.875" style="401" customWidth="1"/>
    <col min="12821" max="12821" width="8.125" style="401" bestFit="1" customWidth="1"/>
    <col min="12822" max="12822" width="10.75" style="401" customWidth="1"/>
    <col min="12823" max="12823" width="13.25" style="401" customWidth="1"/>
    <col min="12824" max="12824" width="12.125" style="401" customWidth="1"/>
    <col min="12825" max="12825" width="11.625" style="401" customWidth="1"/>
    <col min="12826" max="12826" width="15" style="401" customWidth="1"/>
    <col min="12827" max="12827" width="17.875" style="401" customWidth="1"/>
    <col min="12828" max="13053" width="9.125" style="401"/>
    <col min="13054" max="13054" width="7.875" style="401" customWidth="1"/>
    <col min="13055" max="13055" width="57.125" style="401" bestFit="1" customWidth="1"/>
    <col min="13056" max="13056" width="9.25" style="401" customWidth="1"/>
    <col min="13057" max="13057" width="7.375" style="401" customWidth="1"/>
    <col min="13058" max="13059" width="12.375" style="401" customWidth="1"/>
    <col min="13060" max="13060" width="11.75" style="401" customWidth="1"/>
    <col min="13061" max="13061" width="12.125" style="401" customWidth="1"/>
    <col min="13062" max="13062" width="13.75" style="401" customWidth="1"/>
    <col min="13063" max="13063" width="12.25" style="401" customWidth="1"/>
    <col min="13064" max="13064" width="8.125" style="401" bestFit="1" customWidth="1"/>
    <col min="13065" max="13065" width="10" style="401" customWidth="1"/>
    <col min="13066" max="13066" width="8.125" style="401" bestFit="1" customWidth="1"/>
    <col min="13067" max="13067" width="13.375" style="401" customWidth="1"/>
    <col min="13068" max="13068" width="12.75" style="401" customWidth="1"/>
    <col min="13069" max="13069" width="9.125" style="401"/>
    <col min="13070" max="13071" width="9.125" style="401" bestFit="1"/>
    <col min="13072" max="13073" width="8.125" style="401" bestFit="1" customWidth="1"/>
    <col min="13074" max="13074" width="9.125" style="401"/>
    <col min="13075" max="13075" width="21" style="401" customWidth="1"/>
    <col min="13076" max="13076" width="9.875" style="401" customWidth="1"/>
    <col min="13077" max="13077" width="8.125" style="401" bestFit="1" customWidth="1"/>
    <col min="13078" max="13078" width="10.75" style="401" customWidth="1"/>
    <col min="13079" max="13079" width="13.25" style="401" customWidth="1"/>
    <col min="13080" max="13080" width="12.125" style="401" customWidth="1"/>
    <col min="13081" max="13081" width="11.625" style="401" customWidth="1"/>
    <col min="13082" max="13082" width="15" style="401" customWidth="1"/>
    <col min="13083" max="13083" width="17.875" style="401" customWidth="1"/>
    <col min="13084" max="13309" width="9.125" style="401"/>
    <col min="13310" max="13310" width="7.875" style="401" customWidth="1"/>
    <col min="13311" max="13311" width="57.125" style="401" bestFit="1" customWidth="1"/>
    <col min="13312" max="13312" width="9.25" style="401" customWidth="1"/>
    <col min="13313" max="13313" width="7.375" style="401" customWidth="1"/>
    <col min="13314" max="13315" width="12.375" style="401" customWidth="1"/>
    <col min="13316" max="13316" width="11.75" style="401" customWidth="1"/>
    <col min="13317" max="13317" width="12.125" style="401" customWidth="1"/>
    <col min="13318" max="13318" width="13.75" style="401" customWidth="1"/>
    <col min="13319" max="13319" width="12.25" style="401" customWidth="1"/>
    <col min="13320" max="13320" width="8.125" style="401" bestFit="1" customWidth="1"/>
    <col min="13321" max="13321" width="10" style="401" customWidth="1"/>
    <col min="13322" max="13322" width="8.125" style="401" bestFit="1" customWidth="1"/>
    <col min="13323" max="13323" width="13.375" style="401" customWidth="1"/>
    <col min="13324" max="13324" width="12.75" style="401" customWidth="1"/>
    <col min="13325" max="13325" width="9.125" style="401"/>
    <col min="13326" max="13327" width="9.125" style="401" bestFit="1"/>
    <col min="13328" max="13329" width="8.125" style="401" bestFit="1" customWidth="1"/>
    <col min="13330" max="13330" width="9.125" style="401"/>
    <col min="13331" max="13331" width="21" style="401" customWidth="1"/>
    <col min="13332" max="13332" width="9.875" style="401" customWidth="1"/>
    <col min="13333" max="13333" width="8.125" style="401" bestFit="1" customWidth="1"/>
    <col min="13334" max="13334" width="10.75" style="401" customWidth="1"/>
    <col min="13335" max="13335" width="13.25" style="401" customWidth="1"/>
    <col min="13336" max="13336" width="12.125" style="401" customWidth="1"/>
    <col min="13337" max="13337" width="11.625" style="401" customWidth="1"/>
    <col min="13338" max="13338" width="15" style="401" customWidth="1"/>
    <col min="13339" max="13339" width="17.875" style="401" customWidth="1"/>
    <col min="13340" max="13565" width="9.125" style="401"/>
    <col min="13566" max="13566" width="7.875" style="401" customWidth="1"/>
    <col min="13567" max="13567" width="57.125" style="401" bestFit="1" customWidth="1"/>
    <col min="13568" max="13568" width="9.25" style="401" customWidth="1"/>
    <col min="13569" max="13569" width="7.375" style="401" customWidth="1"/>
    <col min="13570" max="13571" width="12.375" style="401" customWidth="1"/>
    <col min="13572" max="13572" width="11.75" style="401" customWidth="1"/>
    <col min="13573" max="13573" width="12.125" style="401" customWidth="1"/>
    <col min="13574" max="13574" width="13.75" style="401" customWidth="1"/>
    <col min="13575" max="13575" width="12.25" style="401" customWidth="1"/>
    <col min="13576" max="13576" width="8.125" style="401" bestFit="1" customWidth="1"/>
    <col min="13577" max="13577" width="10" style="401" customWidth="1"/>
    <col min="13578" max="13578" width="8.125" style="401" bestFit="1" customWidth="1"/>
    <col min="13579" max="13579" width="13.375" style="401" customWidth="1"/>
    <col min="13580" max="13580" width="12.75" style="401" customWidth="1"/>
    <col min="13581" max="13581" width="9.125" style="401"/>
    <col min="13582" max="13583" width="9.125" style="401" bestFit="1"/>
    <col min="13584" max="13585" width="8.125" style="401" bestFit="1" customWidth="1"/>
    <col min="13586" max="13586" width="9.125" style="401"/>
    <col min="13587" max="13587" width="21" style="401" customWidth="1"/>
    <col min="13588" max="13588" width="9.875" style="401" customWidth="1"/>
    <col min="13589" max="13589" width="8.125" style="401" bestFit="1" customWidth="1"/>
    <col min="13590" max="13590" width="10.75" style="401" customWidth="1"/>
    <col min="13591" max="13591" width="13.25" style="401" customWidth="1"/>
    <col min="13592" max="13592" width="12.125" style="401" customWidth="1"/>
    <col min="13593" max="13593" width="11.625" style="401" customWidth="1"/>
    <col min="13594" max="13594" width="15" style="401" customWidth="1"/>
    <col min="13595" max="13595" width="17.875" style="401" customWidth="1"/>
    <col min="13596" max="13821" width="9.125" style="401"/>
    <col min="13822" max="13822" width="7.875" style="401" customWidth="1"/>
    <col min="13823" max="13823" width="57.125" style="401" bestFit="1" customWidth="1"/>
    <col min="13824" max="13824" width="9.25" style="401" customWidth="1"/>
    <col min="13825" max="13825" width="7.375" style="401" customWidth="1"/>
    <col min="13826" max="13827" width="12.375" style="401" customWidth="1"/>
    <col min="13828" max="13828" width="11.75" style="401" customWidth="1"/>
    <col min="13829" max="13829" width="12.125" style="401" customWidth="1"/>
    <col min="13830" max="13830" width="13.75" style="401" customWidth="1"/>
    <col min="13831" max="13831" width="12.25" style="401" customWidth="1"/>
    <col min="13832" max="13832" width="8.125" style="401" bestFit="1" customWidth="1"/>
    <col min="13833" max="13833" width="10" style="401" customWidth="1"/>
    <col min="13834" max="13834" width="8.125" style="401" bestFit="1" customWidth="1"/>
    <col min="13835" max="13835" width="13.375" style="401" customWidth="1"/>
    <col min="13836" max="13836" width="12.75" style="401" customWidth="1"/>
    <col min="13837" max="13837" width="9.125" style="401"/>
    <col min="13838" max="13839" width="9.125" style="401" bestFit="1"/>
    <col min="13840" max="13841" width="8.125" style="401" bestFit="1" customWidth="1"/>
    <col min="13842" max="13842" width="9.125" style="401"/>
    <col min="13843" max="13843" width="21" style="401" customWidth="1"/>
    <col min="13844" max="13844" width="9.875" style="401" customWidth="1"/>
    <col min="13845" max="13845" width="8.125" style="401" bestFit="1" customWidth="1"/>
    <col min="13846" max="13846" width="10.75" style="401" customWidth="1"/>
    <col min="13847" max="13847" width="13.25" style="401" customWidth="1"/>
    <col min="13848" max="13848" width="12.125" style="401" customWidth="1"/>
    <col min="13849" max="13849" width="11.625" style="401" customWidth="1"/>
    <col min="13850" max="13850" width="15" style="401" customWidth="1"/>
    <col min="13851" max="13851" width="17.875" style="401" customWidth="1"/>
    <col min="13852" max="14077" width="9.125" style="401"/>
    <col min="14078" max="14078" width="7.875" style="401" customWidth="1"/>
    <col min="14079" max="14079" width="57.125" style="401" bestFit="1" customWidth="1"/>
    <col min="14080" max="14080" width="9.25" style="401" customWidth="1"/>
    <col min="14081" max="14081" width="7.375" style="401" customWidth="1"/>
    <col min="14082" max="14083" width="12.375" style="401" customWidth="1"/>
    <col min="14084" max="14084" width="11.75" style="401" customWidth="1"/>
    <col min="14085" max="14085" width="12.125" style="401" customWidth="1"/>
    <col min="14086" max="14086" width="13.75" style="401" customWidth="1"/>
    <col min="14087" max="14087" width="12.25" style="401" customWidth="1"/>
    <col min="14088" max="14088" width="8.125" style="401" bestFit="1" customWidth="1"/>
    <col min="14089" max="14089" width="10" style="401" customWidth="1"/>
    <col min="14090" max="14090" width="8.125" style="401" bestFit="1" customWidth="1"/>
    <col min="14091" max="14091" width="13.375" style="401" customWidth="1"/>
    <col min="14092" max="14092" width="12.75" style="401" customWidth="1"/>
    <col min="14093" max="14093" width="9.125" style="401"/>
    <col min="14094" max="14095" width="9.125" style="401" bestFit="1"/>
    <col min="14096" max="14097" width="8.125" style="401" bestFit="1" customWidth="1"/>
    <col min="14098" max="14098" width="9.125" style="401"/>
    <col min="14099" max="14099" width="21" style="401" customWidth="1"/>
    <col min="14100" max="14100" width="9.875" style="401" customWidth="1"/>
    <col min="14101" max="14101" width="8.125" style="401" bestFit="1" customWidth="1"/>
    <col min="14102" max="14102" width="10.75" style="401" customWidth="1"/>
    <col min="14103" max="14103" width="13.25" style="401" customWidth="1"/>
    <col min="14104" max="14104" width="12.125" style="401" customWidth="1"/>
    <col min="14105" max="14105" width="11.625" style="401" customWidth="1"/>
    <col min="14106" max="14106" width="15" style="401" customWidth="1"/>
    <col min="14107" max="14107" width="17.875" style="401" customWidth="1"/>
    <col min="14108" max="14333" width="9.125" style="401"/>
    <col min="14334" max="14334" width="7.875" style="401" customWidth="1"/>
    <col min="14335" max="14335" width="57.125" style="401" bestFit="1" customWidth="1"/>
    <col min="14336" max="14336" width="9.25" style="401" customWidth="1"/>
    <col min="14337" max="14337" width="7.375" style="401" customWidth="1"/>
    <col min="14338" max="14339" width="12.375" style="401" customWidth="1"/>
    <col min="14340" max="14340" width="11.75" style="401" customWidth="1"/>
    <col min="14341" max="14341" width="12.125" style="401" customWidth="1"/>
    <col min="14342" max="14342" width="13.75" style="401" customWidth="1"/>
    <col min="14343" max="14343" width="12.25" style="401" customWidth="1"/>
    <col min="14344" max="14344" width="8.125" style="401" bestFit="1" customWidth="1"/>
    <col min="14345" max="14345" width="10" style="401" customWidth="1"/>
    <col min="14346" max="14346" width="8.125" style="401" bestFit="1" customWidth="1"/>
    <col min="14347" max="14347" width="13.375" style="401" customWidth="1"/>
    <col min="14348" max="14348" width="12.75" style="401" customWidth="1"/>
    <col min="14349" max="14349" width="9.125" style="401"/>
    <col min="14350" max="14351" width="9.125" style="401" bestFit="1"/>
    <col min="14352" max="14353" width="8.125" style="401" bestFit="1" customWidth="1"/>
    <col min="14354" max="14354" width="9.125" style="401"/>
    <col min="14355" max="14355" width="21" style="401" customWidth="1"/>
    <col min="14356" max="14356" width="9.875" style="401" customWidth="1"/>
    <col min="14357" max="14357" width="8.125" style="401" bestFit="1" customWidth="1"/>
    <col min="14358" max="14358" width="10.75" style="401" customWidth="1"/>
    <col min="14359" max="14359" width="13.25" style="401" customWidth="1"/>
    <col min="14360" max="14360" width="12.125" style="401" customWidth="1"/>
    <col min="14361" max="14361" width="11.625" style="401" customWidth="1"/>
    <col min="14362" max="14362" width="15" style="401" customWidth="1"/>
    <col min="14363" max="14363" width="17.875" style="401" customWidth="1"/>
    <col min="14364" max="14589" width="9.125" style="401"/>
    <col min="14590" max="14590" width="7.875" style="401" customWidth="1"/>
    <col min="14591" max="14591" width="57.125" style="401" bestFit="1" customWidth="1"/>
    <col min="14592" max="14592" width="9.25" style="401" customWidth="1"/>
    <col min="14593" max="14593" width="7.375" style="401" customWidth="1"/>
    <col min="14594" max="14595" width="12.375" style="401" customWidth="1"/>
    <col min="14596" max="14596" width="11.75" style="401" customWidth="1"/>
    <col min="14597" max="14597" width="12.125" style="401" customWidth="1"/>
    <col min="14598" max="14598" width="13.75" style="401" customWidth="1"/>
    <col min="14599" max="14599" width="12.25" style="401" customWidth="1"/>
    <col min="14600" max="14600" width="8.125" style="401" bestFit="1" customWidth="1"/>
    <col min="14601" max="14601" width="10" style="401" customWidth="1"/>
    <col min="14602" max="14602" width="8.125" style="401" bestFit="1" customWidth="1"/>
    <col min="14603" max="14603" width="13.375" style="401" customWidth="1"/>
    <col min="14604" max="14604" width="12.75" style="401" customWidth="1"/>
    <col min="14605" max="14605" width="9.125" style="401"/>
    <col min="14606" max="14607" width="9.125" style="401" bestFit="1"/>
    <col min="14608" max="14609" width="8.125" style="401" bestFit="1" customWidth="1"/>
    <col min="14610" max="14610" width="9.125" style="401"/>
    <col min="14611" max="14611" width="21" style="401" customWidth="1"/>
    <col min="14612" max="14612" width="9.875" style="401" customWidth="1"/>
    <col min="14613" max="14613" width="8.125" style="401" bestFit="1" customWidth="1"/>
    <col min="14614" max="14614" width="10.75" style="401" customWidth="1"/>
    <col min="14615" max="14615" width="13.25" style="401" customWidth="1"/>
    <col min="14616" max="14616" width="12.125" style="401" customWidth="1"/>
    <col min="14617" max="14617" width="11.625" style="401" customWidth="1"/>
    <col min="14618" max="14618" width="15" style="401" customWidth="1"/>
    <col min="14619" max="14619" width="17.875" style="401" customWidth="1"/>
    <col min="14620" max="14845" width="9.125" style="401"/>
    <col min="14846" max="14846" width="7.875" style="401" customWidth="1"/>
    <col min="14847" max="14847" width="57.125" style="401" bestFit="1" customWidth="1"/>
    <col min="14848" max="14848" width="9.25" style="401" customWidth="1"/>
    <col min="14849" max="14849" width="7.375" style="401" customWidth="1"/>
    <col min="14850" max="14851" width="12.375" style="401" customWidth="1"/>
    <col min="14852" max="14852" width="11.75" style="401" customWidth="1"/>
    <col min="14853" max="14853" width="12.125" style="401" customWidth="1"/>
    <col min="14854" max="14854" width="13.75" style="401" customWidth="1"/>
    <col min="14855" max="14855" width="12.25" style="401" customWidth="1"/>
    <col min="14856" max="14856" width="8.125" style="401" bestFit="1" customWidth="1"/>
    <col min="14857" max="14857" width="10" style="401" customWidth="1"/>
    <col min="14858" max="14858" width="8.125" style="401" bestFit="1" customWidth="1"/>
    <col min="14859" max="14859" width="13.375" style="401" customWidth="1"/>
    <col min="14860" max="14860" width="12.75" style="401" customWidth="1"/>
    <col min="14861" max="14861" width="9.125" style="401"/>
    <col min="14862" max="14863" width="9.125" style="401" bestFit="1"/>
    <col min="14864" max="14865" width="8.125" style="401" bestFit="1" customWidth="1"/>
    <col min="14866" max="14866" width="9.125" style="401"/>
    <col min="14867" max="14867" width="21" style="401" customWidth="1"/>
    <col min="14868" max="14868" width="9.875" style="401" customWidth="1"/>
    <col min="14869" max="14869" width="8.125" style="401" bestFit="1" customWidth="1"/>
    <col min="14870" max="14870" width="10.75" style="401" customWidth="1"/>
    <col min="14871" max="14871" width="13.25" style="401" customWidth="1"/>
    <col min="14872" max="14872" width="12.125" style="401" customWidth="1"/>
    <col min="14873" max="14873" width="11.625" style="401" customWidth="1"/>
    <col min="14874" max="14874" width="15" style="401" customWidth="1"/>
    <col min="14875" max="14875" width="17.875" style="401" customWidth="1"/>
    <col min="14876" max="15101" width="9.125" style="401"/>
    <col min="15102" max="15102" width="7.875" style="401" customWidth="1"/>
    <col min="15103" max="15103" width="57.125" style="401" bestFit="1" customWidth="1"/>
    <col min="15104" max="15104" width="9.25" style="401" customWidth="1"/>
    <col min="15105" max="15105" width="7.375" style="401" customWidth="1"/>
    <col min="15106" max="15107" width="12.375" style="401" customWidth="1"/>
    <col min="15108" max="15108" width="11.75" style="401" customWidth="1"/>
    <col min="15109" max="15109" width="12.125" style="401" customWidth="1"/>
    <col min="15110" max="15110" width="13.75" style="401" customWidth="1"/>
    <col min="15111" max="15111" width="12.25" style="401" customWidth="1"/>
    <col min="15112" max="15112" width="8.125" style="401" bestFit="1" customWidth="1"/>
    <col min="15113" max="15113" width="10" style="401" customWidth="1"/>
    <col min="15114" max="15114" width="8.125" style="401" bestFit="1" customWidth="1"/>
    <col min="15115" max="15115" width="13.375" style="401" customWidth="1"/>
    <col min="15116" max="15116" width="12.75" style="401" customWidth="1"/>
    <col min="15117" max="15117" width="9.125" style="401"/>
    <col min="15118" max="15119" width="9.125" style="401" bestFit="1"/>
    <col min="15120" max="15121" width="8.125" style="401" bestFit="1" customWidth="1"/>
    <col min="15122" max="15122" width="9.125" style="401"/>
    <col min="15123" max="15123" width="21" style="401" customWidth="1"/>
    <col min="15124" max="15124" width="9.875" style="401" customWidth="1"/>
    <col min="15125" max="15125" width="8.125" style="401" bestFit="1" customWidth="1"/>
    <col min="15126" max="15126" width="10.75" style="401" customWidth="1"/>
    <col min="15127" max="15127" width="13.25" style="401" customWidth="1"/>
    <col min="15128" max="15128" width="12.125" style="401" customWidth="1"/>
    <col min="15129" max="15129" width="11.625" style="401" customWidth="1"/>
    <col min="15130" max="15130" width="15" style="401" customWidth="1"/>
    <col min="15131" max="15131" width="17.875" style="401" customWidth="1"/>
    <col min="15132" max="15357" width="9.125" style="401"/>
    <col min="15358" max="15358" width="7.875" style="401" customWidth="1"/>
    <col min="15359" max="15359" width="57.125" style="401" bestFit="1" customWidth="1"/>
    <col min="15360" max="15360" width="9.25" style="401" customWidth="1"/>
    <col min="15361" max="15361" width="7.375" style="401" customWidth="1"/>
    <col min="15362" max="15363" width="12.375" style="401" customWidth="1"/>
    <col min="15364" max="15364" width="11.75" style="401" customWidth="1"/>
    <col min="15365" max="15365" width="12.125" style="401" customWidth="1"/>
    <col min="15366" max="15366" width="13.75" style="401" customWidth="1"/>
    <col min="15367" max="15367" width="12.25" style="401" customWidth="1"/>
    <col min="15368" max="15368" width="8.125" style="401" bestFit="1" customWidth="1"/>
    <col min="15369" max="15369" width="10" style="401" customWidth="1"/>
    <col min="15370" max="15370" width="8.125" style="401" bestFit="1" customWidth="1"/>
    <col min="15371" max="15371" width="13.375" style="401" customWidth="1"/>
    <col min="15372" max="15372" width="12.75" style="401" customWidth="1"/>
    <col min="15373" max="15373" width="9.125" style="401"/>
    <col min="15374" max="15375" width="9.125" style="401" bestFit="1"/>
    <col min="15376" max="15377" width="8.125" style="401" bestFit="1" customWidth="1"/>
    <col min="15378" max="15378" width="9.125" style="401"/>
    <col min="15379" max="15379" width="21" style="401" customWidth="1"/>
    <col min="15380" max="15380" width="9.875" style="401" customWidth="1"/>
    <col min="15381" max="15381" width="8.125" style="401" bestFit="1" customWidth="1"/>
    <col min="15382" max="15382" width="10.75" style="401" customWidth="1"/>
    <col min="15383" max="15383" width="13.25" style="401" customWidth="1"/>
    <col min="15384" max="15384" width="12.125" style="401" customWidth="1"/>
    <col min="15385" max="15385" width="11.625" style="401" customWidth="1"/>
    <col min="15386" max="15386" width="15" style="401" customWidth="1"/>
    <col min="15387" max="15387" width="17.875" style="401" customWidth="1"/>
    <col min="15388" max="15613" width="9.125" style="401"/>
    <col min="15614" max="15614" width="7.875" style="401" customWidth="1"/>
    <col min="15615" max="15615" width="57.125" style="401" bestFit="1" customWidth="1"/>
    <col min="15616" max="15616" width="9.25" style="401" customWidth="1"/>
    <col min="15617" max="15617" width="7.375" style="401" customWidth="1"/>
    <col min="15618" max="15619" width="12.375" style="401" customWidth="1"/>
    <col min="15620" max="15620" width="11.75" style="401" customWidth="1"/>
    <col min="15621" max="15621" width="12.125" style="401" customWidth="1"/>
    <col min="15622" max="15622" width="13.75" style="401" customWidth="1"/>
    <col min="15623" max="15623" width="12.25" style="401" customWidth="1"/>
    <col min="15624" max="15624" width="8.125" style="401" bestFit="1" customWidth="1"/>
    <col min="15625" max="15625" width="10" style="401" customWidth="1"/>
    <col min="15626" max="15626" width="8.125" style="401" bestFit="1" customWidth="1"/>
    <col min="15627" max="15627" width="13.375" style="401" customWidth="1"/>
    <col min="15628" max="15628" width="12.75" style="401" customWidth="1"/>
    <col min="15629" max="15629" width="9.125" style="401"/>
    <col min="15630" max="15631" width="9.125" style="401" bestFit="1"/>
    <col min="15632" max="15633" width="8.125" style="401" bestFit="1" customWidth="1"/>
    <col min="15634" max="15634" width="9.125" style="401"/>
    <col min="15635" max="15635" width="21" style="401" customWidth="1"/>
    <col min="15636" max="15636" width="9.875" style="401" customWidth="1"/>
    <col min="15637" max="15637" width="8.125" style="401" bestFit="1" customWidth="1"/>
    <col min="15638" max="15638" width="10.75" style="401" customWidth="1"/>
    <col min="15639" max="15639" width="13.25" style="401" customWidth="1"/>
    <col min="15640" max="15640" width="12.125" style="401" customWidth="1"/>
    <col min="15641" max="15641" width="11.625" style="401" customWidth="1"/>
    <col min="15642" max="15642" width="15" style="401" customWidth="1"/>
    <col min="15643" max="15643" width="17.875" style="401" customWidth="1"/>
    <col min="15644" max="15869" width="9.125" style="401"/>
    <col min="15870" max="15870" width="7.875" style="401" customWidth="1"/>
    <col min="15871" max="15871" width="57.125" style="401" bestFit="1" customWidth="1"/>
    <col min="15872" max="15872" width="9.25" style="401" customWidth="1"/>
    <col min="15873" max="15873" width="7.375" style="401" customWidth="1"/>
    <col min="15874" max="15875" width="12.375" style="401" customWidth="1"/>
    <col min="15876" max="15876" width="11.75" style="401" customWidth="1"/>
    <col min="15877" max="15877" width="12.125" style="401" customWidth="1"/>
    <col min="15878" max="15878" width="13.75" style="401" customWidth="1"/>
    <col min="15879" max="15879" width="12.25" style="401" customWidth="1"/>
    <col min="15880" max="15880" width="8.125" style="401" bestFit="1" customWidth="1"/>
    <col min="15881" max="15881" width="10" style="401" customWidth="1"/>
    <col min="15882" max="15882" width="8.125" style="401" bestFit="1" customWidth="1"/>
    <col min="15883" max="15883" width="13.375" style="401" customWidth="1"/>
    <col min="15884" max="15884" width="12.75" style="401" customWidth="1"/>
    <col min="15885" max="15885" width="9.125" style="401"/>
    <col min="15886" max="15887" width="9.125" style="401" bestFit="1"/>
    <col min="15888" max="15889" width="8.125" style="401" bestFit="1" customWidth="1"/>
    <col min="15890" max="15890" width="9.125" style="401"/>
    <col min="15891" max="15891" width="21" style="401" customWidth="1"/>
    <col min="15892" max="15892" width="9.875" style="401" customWidth="1"/>
    <col min="15893" max="15893" width="8.125" style="401" bestFit="1" customWidth="1"/>
    <col min="15894" max="15894" width="10.75" style="401" customWidth="1"/>
    <col min="15895" max="15895" width="13.25" style="401" customWidth="1"/>
    <col min="15896" max="15896" width="12.125" style="401" customWidth="1"/>
    <col min="15897" max="15897" width="11.625" style="401" customWidth="1"/>
    <col min="15898" max="15898" width="15" style="401" customWidth="1"/>
    <col min="15899" max="15899" width="17.875" style="401" customWidth="1"/>
    <col min="15900" max="16125" width="9.125" style="401"/>
    <col min="16126" max="16126" width="7.875" style="401" customWidth="1"/>
    <col min="16127" max="16127" width="57.125" style="401" bestFit="1" customWidth="1"/>
    <col min="16128" max="16128" width="9.25" style="401" customWidth="1"/>
    <col min="16129" max="16129" width="7.375" style="401" customWidth="1"/>
    <col min="16130" max="16131" width="12.375" style="401" customWidth="1"/>
    <col min="16132" max="16132" width="11.75" style="401" customWidth="1"/>
    <col min="16133" max="16133" width="12.125" style="401" customWidth="1"/>
    <col min="16134" max="16134" width="13.75" style="401" customWidth="1"/>
    <col min="16135" max="16135" width="12.25" style="401" customWidth="1"/>
    <col min="16136" max="16136" width="8.125" style="401" bestFit="1" customWidth="1"/>
    <col min="16137" max="16137" width="10" style="401" customWidth="1"/>
    <col min="16138" max="16138" width="8.125" style="401" bestFit="1" customWidth="1"/>
    <col min="16139" max="16139" width="13.375" style="401" customWidth="1"/>
    <col min="16140" max="16140" width="12.75" style="401" customWidth="1"/>
    <col min="16141" max="16141" width="9.125" style="401"/>
    <col min="16142" max="16143" width="9.125" style="401" bestFit="1"/>
    <col min="16144" max="16145" width="8.125" style="401" bestFit="1" customWidth="1"/>
    <col min="16146" max="16146" width="9.125" style="401"/>
    <col min="16147" max="16147" width="21" style="401" customWidth="1"/>
    <col min="16148" max="16148" width="9.875" style="401" customWidth="1"/>
    <col min="16149" max="16149" width="8.125" style="401" bestFit="1" customWidth="1"/>
    <col min="16150" max="16150" width="10.75" style="401" customWidth="1"/>
    <col min="16151" max="16151" width="13.25" style="401" customWidth="1"/>
    <col min="16152" max="16152" width="12.125" style="401" customWidth="1"/>
    <col min="16153" max="16153" width="11.625" style="401" customWidth="1"/>
    <col min="16154" max="16154" width="15" style="401" customWidth="1"/>
    <col min="16155" max="16155" width="17.875" style="401" customWidth="1"/>
    <col min="16156" max="16383" width="9.125" style="401"/>
    <col min="16384" max="16384" width="9.125" style="401" customWidth="1"/>
  </cols>
  <sheetData>
    <row r="1" spans="1:28" s="400" customFormat="1" ht="19.05" customHeight="1">
      <c r="A1" s="439"/>
      <c r="B1" s="600" t="s">
        <v>604</v>
      </c>
      <c r="C1" s="601" t="s">
        <v>605</v>
      </c>
      <c r="D1" s="602"/>
      <c r="E1" s="603"/>
      <c r="F1" s="603"/>
      <c r="G1" s="600"/>
      <c r="H1" s="600"/>
      <c r="I1" s="600"/>
      <c r="J1" s="602"/>
      <c r="K1" s="484"/>
      <c r="L1" s="446"/>
      <c r="M1" s="446"/>
    </row>
    <row r="2" spans="1:28" s="400" customFormat="1" ht="19.05" customHeight="1">
      <c r="A2" s="439"/>
      <c r="B2" s="604" t="s">
        <v>495</v>
      </c>
      <c r="C2" s="605" t="s">
        <v>435</v>
      </c>
      <c r="D2" s="606"/>
      <c r="E2" s="605"/>
      <c r="F2" s="605"/>
      <c r="G2" s="605"/>
      <c r="H2" s="605"/>
      <c r="I2" s="604"/>
      <c r="J2" s="607"/>
      <c r="K2" s="484"/>
      <c r="L2" s="446"/>
      <c r="M2" s="446"/>
    </row>
    <row r="3" spans="1:28" s="400" customFormat="1" ht="19.05" customHeight="1">
      <c r="A3" s="439"/>
      <c r="B3" s="604" t="s">
        <v>606</v>
      </c>
      <c r="C3" s="605" t="s">
        <v>602</v>
      </c>
      <c r="D3" s="606"/>
      <c r="E3" s="605"/>
      <c r="F3" s="605"/>
      <c r="G3" s="605"/>
      <c r="H3" s="605"/>
      <c r="I3" s="605" t="s">
        <v>601</v>
      </c>
      <c r="J3" s="607"/>
      <c r="K3" s="484"/>
      <c r="L3" s="446"/>
      <c r="M3" s="446"/>
    </row>
    <row r="4" spans="1:28" s="400" customFormat="1" ht="19.05" customHeight="1">
      <c r="A4" s="439"/>
      <c r="B4" s="604"/>
      <c r="C4" s="611" t="s">
        <v>603</v>
      </c>
      <c r="D4" s="611"/>
      <c r="E4" s="611"/>
      <c r="F4" s="608"/>
      <c r="G4" s="604"/>
      <c r="H4" s="605"/>
      <c r="I4" s="605" t="s">
        <v>600</v>
      </c>
      <c r="J4" s="605" t="s">
        <v>597</v>
      </c>
      <c r="K4" s="484"/>
      <c r="L4" s="446"/>
      <c r="M4" s="446"/>
    </row>
    <row r="5" spans="1:28" s="400" customFormat="1" ht="19.05" customHeight="1">
      <c r="A5" s="439"/>
      <c r="B5" s="604"/>
      <c r="C5" s="605" t="s">
        <v>443</v>
      </c>
      <c r="D5" s="609"/>
      <c r="E5" s="609"/>
      <c r="F5" s="610" t="s">
        <v>599</v>
      </c>
      <c r="G5" s="604"/>
      <c r="H5" s="605"/>
      <c r="I5" s="605" t="s">
        <v>600</v>
      </c>
      <c r="J5" s="604" t="s">
        <v>598</v>
      </c>
      <c r="K5" s="484"/>
      <c r="L5" s="446"/>
      <c r="M5" s="446"/>
    </row>
    <row r="6" spans="1:28" s="400" customFormat="1" ht="19.05" customHeight="1">
      <c r="A6" s="760" t="s">
        <v>6</v>
      </c>
      <c r="B6" s="760" t="s">
        <v>0</v>
      </c>
      <c r="C6" s="763" t="s">
        <v>430</v>
      </c>
      <c r="D6" s="763"/>
      <c r="E6" s="768" t="s">
        <v>431</v>
      </c>
      <c r="F6" s="768"/>
      <c r="G6" s="768" t="s">
        <v>432</v>
      </c>
      <c r="H6" s="768"/>
      <c r="I6" s="487" t="s">
        <v>7</v>
      </c>
      <c r="J6" s="766" t="s">
        <v>4</v>
      </c>
      <c r="K6" s="484"/>
      <c r="L6" s="446"/>
      <c r="M6" s="446"/>
    </row>
    <row r="7" spans="1:28" s="400" customFormat="1" ht="19.05" customHeight="1">
      <c r="A7" s="761"/>
      <c r="B7" s="762"/>
      <c r="C7" s="488" t="s">
        <v>1</v>
      </c>
      <c r="D7" s="489" t="s">
        <v>2</v>
      </c>
      <c r="E7" s="466" t="s">
        <v>433</v>
      </c>
      <c r="F7" s="466" t="s">
        <v>9</v>
      </c>
      <c r="G7" s="466" t="s">
        <v>433</v>
      </c>
      <c r="H7" s="466" t="s">
        <v>9</v>
      </c>
      <c r="I7" s="474" t="s">
        <v>268</v>
      </c>
      <c r="J7" s="767"/>
      <c r="K7" s="484"/>
      <c r="L7" s="446"/>
      <c r="M7" s="446"/>
    </row>
    <row r="8" spans="1:28" ht="19.05" customHeight="1">
      <c r="A8" s="440">
        <v>1</v>
      </c>
      <c r="B8" s="451" t="s">
        <v>436</v>
      </c>
      <c r="C8" s="410"/>
      <c r="D8" s="452"/>
      <c r="E8" s="452"/>
      <c r="F8" s="452"/>
      <c r="G8" s="453"/>
      <c r="H8" s="452"/>
      <c r="I8" s="452"/>
      <c r="J8" s="454"/>
      <c r="K8" s="484"/>
      <c r="L8" s="446"/>
      <c r="M8" s="446"/>
      <c r="O8" s="401"/>
      <c r="P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</row>
    <row r="9" spans="1:28" ht="19.05" customHeight="1">
      <c r="A9" s="472"/>
      <c r="B9" s="444" t="s">
        <v>490</v>
      </c>
      <c r="C9" s="473">
        <v>3</v>
      </c>
      <c r="D9" s="441" t="s">
        <v>21</v>
      </c>
      <c r="E9" s="445">
        <v>0</v>
      </c>
      <c r="F9" s="445">
        <f>ROUND(C9*E9,0)</f>
        <v>0</v>
      </c>
      <c r="G9" s="445">
        <v>40</v>
      </c>
      <c r="H9" s="444">
        <f>ROUND(C9*G9,0)</f>
        <v>120</v>
      </c>
      <c r="I9" s="444">
        <f t="shared" ref="I9" si="0">F9+H9</f>
        <v>120</v>
      </c>
      <c r="J9" s="475" t="s">
        <v>488</v>
      </c>
      <c r="K9" s="484"/>
      <c r="L9" s="446"/>
      <c r="M9" s="446"/>
      <c r="O9" s="401"/>
      <c r="P9" s="401"/>
      <c r="R9" s="401"/>
      <c r="S9" s="401"/>
      <c r="T9" s="401"/>
      <c r="U9" s="401"/>
      <c r="V9" s="401"/>
      <c r="W9" s="401"/>
      <c r="X9" s="401"/>
      <c r="Y9" s="401"/>
      <c r="Z9" s="401"/>
      <c r="AA9" s="401"/>
      <c r="AB9" s="401"/>
    </row>
    <row r="10" spans="1:28" ht="19.05" customHeight="1">
      <c r="A10" s="443"/>
      <c r="B10" s="444" t="s">
        <v>491</v>
      </c>
      <c r="C10" s="445">
        <v>51</v>
      </c>
      <c r="D10" s="441" t="s">
        <v>21</v>
      </c>
      <c r="E10" s="445">
        <v>0</v>
      </c>
      <c r="F10" s="445">
        <f>ROUND(C10*E10,0)</f>
        <v>0</v>
      </c>
      <c r="G10" s="445">
        <v>75</v>
      </c>
      <c r="H10" s="444">
        <f>ROUND(C10*G10,0)</f>
        <v>3825</v>
      </c>
      <c r="I10" s="444">
        <f t="shared" ref="I10:I27" si="1">F10+H10</f>
        <v>3825</v>
      </c>
      <c r="J10" s="475" t="s">
        <v>488</v>
      </c>
      <c r="K10" s="484"/>
      <c r="L10" s="446"/>
      <c r="M10" s="446"/>
      <c r="O10" s="401"/>
      <c r="P10" s="401"/>
      <c r="R10" s="401"/>
      <c r="S10" s="401"/>
      <c r="T10" s="401"/>
      <c r="U10" s="401"/>
      <c r="V10" s="401"/>
      <c r="W10" s="401"/>
      <c r="X10" s="401"/>
      <c r="Y10" s="401"/>
      <c r="Z10" s="401"/>
      <c r="AA10" s="401"/>
      <c r="AB10" s="401"/>
    </row>
    <row r="11" spans="1:28" ht="19.05" customHeight="1">
      <c r="A11" s="443"/>
      <c r="B11" s="444" t="s">
        <v>492</v>
      </c>
      <c r="C11" s="445">
        <v>48</v>
      </c>
      <c r="D11" s="441" t="s">
        <v>21</v>
      </c>
      <c r="E11" s="445">
        <v>0</v>
      </c>
      <c r="F11" s="445">
        <f t="shared" ref="F11:F27" si="2">C11*E11</f>
        <v>0</v>
      </c>
      <c r="G11" s="445">
        <v>50</v>
      </c>
      <c r="H11" s="444">
        <f t="shared" ref="H11:H27" si="3">C11*G11</f>
        <v>2400</v>
      </c>
      <c r="I11" s="444">
        <f t="shared" si="1"/>
        <v>2400</v>
      </c>
      <c r="J11" s="482" t="s">
        <v>488</v>
      </c>
      <c r="K11" s="484"/>
      <c r="L11" s="458"/>
      <c r="M11" s="446"/>
      <c r="O11" s="401"/>
      <c r="P11" s="401"/>
      <c r="R11" s="401"/>
      <c r="S11" s="401"/>
      <c r="T11" s="401"/>
      <c r="U11" s="401"/>
      <c r="V11" s="401"/>
      <c r="W11" s="401"/>
      <c r="X11" s="401"/>
      <c r="Y11" s="401"/>
      <c r="Z11" s="401"/>
      <c r="AA11" s="401"/>
      <c r="AB11" s="401"/>
    </row>
    <row r="12" spans="1:28" ht="19.05" customHeight="1">
      <c r="A12" s="443"/>
      <c r="B12" s="444" t="s">
        <v>482</v>
      </c>
      <c r="C12" s="445">
        <v>168</v>
      </c>
      <c r="D12" s="441" t="s">
        <v>21</v>
      </c>
      <c r="E12" s="445">
        <v>0</v>
      </c>
      <c r="F12" s="445">
        <f t="shared" ref="F12" si="4">C12*E12</f>
        <v>0</v>
      </c>
      <c r="G12" s="445">
        <v>35</v>
      </c>
      <c r="H12" s="444">
        <f t="shared" ref="H12" si="5">C12*G12</f>
        <v>5880</v>
      </c>
      <c r="I12" s="444">
        <f t="shared" ref="I12" si="6">F12+H12</f>
        <v>5880</v>
      </c>
      <c r="J12" s="482" t="s">
        <v>488</v>
      </c>
      <c r="K12" s="484"/>
      <c r="L12" s="458"/>
      <c r="M12" s="446"/>
      <c r="O12" s="401"/>
      <c r="P12" s="401"/>
      <c r="R12" s="401"/>
      <c r="S12" s="401"/>
      <c r="T12" s="401"/>
      <c r="U12" s="401"/>
      <c r="V12" s="401"/>
      <c r="W12" s="401"/>
      <c r="X12" s="401"/>
      <c r="Y12" s="401"/>
      <c r="Z12" s="401"/>
      <c r="AA12" s="401"/>
      <c r="AB12" s="401"/>
    </row>
    <row r="13" spans="1:28" ht="19.05" customHeight="1">
      <c r="A13" s="443"/>
      <c r="B13" s="444" t="s">
        <v>493</v>
      </c>
      <c r="C13" s="445"/>
      <c r="D13" s="441"/>
      <c r="E13" s="445"/>
      <c r="F13" s="445"/>
      <c r="G13" s="445"/>
      <c r="H13" s="444"/>
      <c r="I13" s="444"/>
      <c r="J13" s="442"/>
      <c r="K13" s="484"/>
      <c r="L13" s="458"/>
      <c r="M13" s="446"/>
      <c r="O13" s="401"/>
      <c r="P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</row>
    <row r="14" spans="1:28" ht="19.05" customHeight="1">
      <c r="A14" s="443"/>
      <c r="B14" s="444" t="s">
        <v>510</v>
      </c>
      <c r="C14" s="445">
        <v>48</v>
      </c>
      <c r="D14" s="441" t="s">
        <v>21</v>
      </c>
      <c r="E14" s="445">
        <v>0</v>
      </c>
      <c r="F14" s="445">
        <f t="shared" si="2"/>
        <v>0</v>
      </c>
      <c r="G14" s="445">
        <v>25</v>
      </c>
      <c r="H14" s="444">
        <f t="shared" si="3"/>
        <v>1200</v>
      </c>
      <c r="I14" s="444">
        <f t="shared" si="1"/>
        <v>1200</v>
      </c>
      <c r="J14" s="482" t="s">
        <v>488</v>
      </c>
      <c r="K14" s="484"/>
      <c r="L14" s="458"/>
      <c r="M14" s="446"/>
      <c r="O14" s="401"/>
      <c r="P14" s="401"/>
      <c r="R14" s="401"/>
      <c r="S14" s="401"/>
      <c r="T14" s="401"/>
      <c r="U14" s="401"/>
      <c r="V14" s="401"/>
      <c r="W14" s="401"/>
      <c r="X14" s="401"/>
      <c r="Y14" s="401"/>
      <c r="Z14" s="401"/>
      <c r="AA14" s="401"/>
      <c r="AB14" s="401"/>
    </row>
    <row r="15" spans="1:28" ht="19.05" customHeight="1">
      <c r="A15" s="443"/>
      <c r="B15" s="444" t="s">
        <v>493</v>
      </c>
      <c r="C15" s="445"/>
      <c r="D15" s="441"/>
      <c r="E15" s="445"/>
      <c r="F15" s="445"/>
      <c r="G15" s="445"/>
      <c r="H15" s="444"/>
      <c r="I15" s="444"/>
      <c r="J15" s="482"/>
      <c r="K15" s="484"/>
      <c r="L15" s="458"/>
      <c r="M15" s="446"/>
      <c r="O15" s="401"/>
      <c r="P15" s="401"/>
      <c r="R15" s="401"/>
      <c r="S15" s="401"/>
      <c r="T15" s="401"/>
      <c r="U15" s="401"/>
      <c r="V15" s="401"/>
      <c r="W15" s="401"/>
      <c r="X15" s="401"/>
      <c r="Y15" s="401"/>
      <c r="Z15" s="401"/>
      <c r="AA15" s="401"/>
      <c r="AB15" s="401"/>
    </row>
    <row r="16" spans="1:28" ht="19.05" customHeight="1">
      <c r="A16" s="443"/>
      <c r="B16" s="444" t="s">
        <v>511</v>
      </c>
      <c r="C16" s="445">
        <v>16</v>
      </c>
      <c r="D16" s="441" t="s">
        <v>25</v>
      </c>
      <c r="E16" s="445">
        <v>0</v>
      </c>
      <c r="F16" s="445">
        <f t="shared" si="2"/>
        <v>0</v>
      </c>
      <c r="G16" s="445">
        <v>690</v>
      </c>
      <c r="H16" s="444">
        <f t="shared" si="3"/>
        <v>11040</v>
      </c>
      <c r="I16" s="444">
        <f t="shared" si="1"/>
        <v>11040</v>
      </c>
      <c r="J16" s="475" t="s">
        <v>489</v>
      </c>
      <c r="K16" s="484">
        <f>345*2</f>
        <v>690</v>
      </c>
      <c r="L16" s="446"/>
      <c r="M16" s="446"/>
      <c r="O16" s="401"/>
      <c r="P16" s="401"/>
      <c r="R16" s="401"/>
      <c r="S16" s="401"/>
      <c r="T16" s="401"/>
      <c r="U16" s="401"/>
      <c r="V16" s="401"/>
      <c r="W16" s="401"/>
      <c r="X16" s="401"/>
      <c r="Y16" s="401"/>
      <c r="Z16" s="401"/>
      <c r="AA16" s="401"/>
      <c r="AB16" s="401"/>
    </row>
    <row r="17" spans="1:28" s="457" customFormat="1" ht="19.05" customHeight="1">
      <c r="A17" s="476"/>
      <c r="B17" s="483" t="s">
        <v>512</v>
      </c>
      <c r="C17" s="478"/>
      <c r="D17" s="479"/>
      <c r="E17" s="478"/>
      <c r="F17" s="478"/>
      <c r="G17" s="478"/>
      <c r="H17" s="477"/>
      <c r="I17" s="477"/>
      <c r="J17" s="480"/>
      <c r="K17" s="485"/>
      <c r="L17" s="455"/>
      <c r="M17" s="455"/>
      <c r="N17" s="456"/>
    </row>
    <row r="18" spans="1:28" ht="19.05" customHeight="1">
      <c r="A18" s="443"/>
      <c r="B18" s="444" t="s">
        <v>483</v>
      </c>
      <c r="C18" s="445">
        <v>4</v>
      </c>
      <c r="D18" s="441" t="s">
        <v>434</v>
      </c>
      <c r="E18" s="445">
        <v>0</v>
      </c>
      <c r="F18" s="445">
        <f t="shared" si="2"/>
        <v>0</v>
      </c>
      <c r="G18" s="445">
        <v>60</v>
      </c>
      <c r="H18" s="444">
        <f t="shared" si="3"/>
        <v>240</v>
      </c>
      <c r="I18" s="444">
        <f t="shared" si="1"/>
        <v>240</v>
      </c>
      <c r="J18" s="482" t="s">
        <v>488</v>
      </c>
      <c r="K18" s="484"/>
      <c r="L18" s="446"/>
      <c r="M18" s="446"/>
      <c r="O18" s="401"/>
      <c r="P18" s="401"/>
      <c r="R18" s="401"/>
      <c r="S18" s="401"/>
      <c r="T18" s="401"/>
      <c r="U18" s="401"/>
      <c r="V18" s="401"/>
      <c r="W18" s="401"/>
      <c r="X18" s="401"/>
      <c r="Y18" s="401"/>
      <c r="Z18" s="401"/>
      <c r="AA18" s="401"/>
      <c r="AB18" s="401"/>
    </row>
    <row r="19" spans="1:28" ht="19.05" customHeight="1">
      <c r="A19" s="443"/>
      <c r="B19" s="444" t="s">
        <v>485</v>
      </c>
      <c r="C19" s="445">
        <v>2</v>
      </c>
      <c r="D19" s="441" t="s">
        <v>434</v>
      </c>
      <c r="E19" s="445">
        <v>0</v>
      </c>
      <c r="F19" s="445">
        <f t="shared" ref="F19" si="7">C19*E19</f>
        <v>0</v>
      </c>
      <c r="G19" s="445">
        <v>60</v>
      </c>
      <c r="H19" s="444">
        <f t="shared" ref="H19" si="8">C19*G19</f>
        <v>120</v>
      </c>
      <c r="I19" s="444">
        <f t="shared" ref="I19" si="9">F19+H19</f>
        <v>120</v>
      </c>
      <c r="J19" s="482" t="s">
        <v>488</v>
      </c>
      <c r="K19" s="484"/>
      <c r="L19" s="446"/>
      <c r="M19" s="446"/>
      <c r="O19" s="401"/>
      <c r="P19" s="401"/>
      <c r="R19" s="401"/>
      <c r="S19" s="401"/>
      <c r="T19" s="401"/>
      <c r="U19" s="401"/>
      <c r="V19" s="401"/>
      <c r="W19" s="401"/>
      <c r="X19" s="401"/>
      <c r="Y19" s="401"/>
      <c r="Z19" s="401"/>
      <c r="AA19" s="401"/>
      <c r="AB19" s="401"/>
    </row>
    <row r="20" spans="1:28" ht="19.05" customHeight="1">
      <c r="A20" s="443"/>
      <c r="B20" s="444" t="s">
        <v>484</v>
      </c>
      <c r="C20" s="445">
        <v>10</v>
      </c>
      <c r="D20" s="441" t="s">
        <v>434</v>
      </c>
      <c r="E20" s="445">
        <v>0</v>
      </c>
      <c r="F20" s="445">
        <f t="shared" ref="F20" si="10">C20*E20</f>
        <v>0</v>
      </c>
      <c r="G20" s="445">
        <v>60</v>
      </c>
      <c r="H20" s="444">
        <f t="shared" ref="H20" si="11">C20*G20</f>
        <v>600</v>
      </c>
      <c r="I20" s="444">
        <f t="shared" ref="I20" si="12">F20+H20</f>
        <v>600</v>
      </c>
      <c r="J20" s="482" t="s">
        <v>488</v>
      </c>
      <c r="K20" s="484"/>
      <c r="L20" s="446"/>
      <c r="M20" s="446"/>
      <c r="O20" s="401"/>
      <c r="P20" s="401"/>
      <c r="R20" s="401"/>
      <c r="S20" s="401"/>
      <c r="T20" s="401"/>
      <c r="U20" s="401"/>
      <c r="V20" s="401"/>
      <c r="W20" s="401"/>
      <c r="X20" s="401"/>
      <c r="Y20" s="401"/>
      <c r="Z20" s="401"/>
      <c r="AA20" s="401"/>
      <c r="AB20" s="401"/>
    </row>
    <row r="21" spans="1:28" ht="19.05" customHeight="1">
      <c r="A21" s="443"/>
      <c r="B21" s="444" t="s">
        <v>486</v>
      </c>
      <c r="C21" s="445">
        <v>4</v>
      </c>
      <c r="D21" s="441" t="s">
        <v>25</v>
      </c>
      <c r="E21" s="445">
        <v>0</v>
      </c>
      <c r="F21" s="445">
        <f t="shared" ref="F21" si="13">C21*E21</f>
        <v>0</v>
      </c>
      <c r="G21" s="445">
        <v>100</v>
      </c>
      <c r="H21" s="444">
        <f t="shared" ref="H21" si="14">C21*G21</f>
        <v>400</v>
      </c>
      <c r="I21" s="444">
        <f t="shared" ref="I21" si="15">F21+H21</f>
        <v>400</v>
      </c>
      <c r="J21" s="482" t="s">
        <v>488</v>
      </c>
      <c r="K21" s="484"/>
      <c r="L21" s="446"/>
      <c r="M21" s="446"/>
      <c r="O21" s="401"/>
      <c r="P21" s="401"/>
      <c r="R21" s="401"/>
      <c r="S21" s="401"/>
      <c r="T21" s="401"/>
      <c r="U21" s="401"/>
      <c r="V21" s="401"/>
      <c r="W21" s="401"/>
      <c r="X21" s="401"/>
      <c r="Y21" s="401"/>
      <c r="Z21" s="401"/>
      <c r="AA21" s="401"/>
      <c r="AB21" s="401"/>
    </row>
    <row r="22" spans="1:28" ht="19.05" customHeight="1">
      <c r="A22" s="443"/>
      <c r="B22" s="444" t="s">
        <v>494</v>
      </c>
      <c r="C22" s="445">
        <v>9</v>
      </c>
      <c r="D22" s="441" t="s">
        <v>295</v>
      </c>
      <c r="E22" s="445">
        <v>0</v>
      </c>
      <c r="F22" s="445">
        <v>0</v>
      </c>
      <c r="G22" s="445">
        <v>65</v>
      </c>
      <c r="H22" s="444">
        <f t="shared" ref="H22:H23" si="16">C22*G22</f>
        <v>585</v>
      </c>
      <c r="I22" s="444">
        <f t="shared" ref="I22:I23" si="17">F22+H22</f>
        <v>585</v>
      </c>
      <c r="J22" s="482" t="s">
        <v>488</v>
      </c>
      <c r="K22" s="484"/>
      <c r="L22" s="446"/>
      <c r="M22" s="471"/>
      <c r="O22" s="401"/>
      <c r="P22" s="401"/>
      <c r="R22" s="401"/>
      <c r="S22" s="401"/>
      <c r="T22" s="401"/>
      <c r="U22" s="401"/>
      <c r="V22" s="401"/>
      <c r="W22" s="401"/>
      <c r="X22" s="401"/>
      <c r="Y22" s="401"/>
      <c r="Z22" s="401"/>
      <c r="AA22" s="401"/>
      <c r="AB22" s="401"/>
    </row>
    <row r="23" spans="1:28" ht="19.05" customHeight="1">
      <c r="A23" s="443"/>
      <c r="B23" s="444" t="s">
        <v>513</v>
      </c>
      <c r="C23" s="445">
        <v>4</v>
      </c>
      <c r="D23" s="441" t="s">
        <v>448</v>
      </c>
      <c r="E23" s="445">
        <v>0</v>
      </c>
      <c r="F23" s="445">
        <v>0</v>
      </c>
      <c r="G23" s="445">
        <v>2760</v>
      </c>
      <c r="H23" s="444">
        <f t="shared" si="16"/>
        <v>11040</v>
      </c>
      <c r="I23" s="444">
        <f t="shared" si="17"/>
        <v>11040</v>
      </c>
      <c r="J23" s="475" t="s">
        <v>489</v>
      </c>
      <c r="K23" s="484">
        <f>345*8</f>
        <v>2760</v>
      </c>
      <c r="L23" s="446"/>
      <c r="M23" s="446"/>
      <c r="O23" s="401"/>
      <c r="P23" s="401"/>
      <c r="R23" s="401"/>
      <c r="S23" s="401"/>
      <c r="T23" s="401"/>
      <c r="U23" s="401"/>
      <c r="V23" s="401"/>
      <c r="W23" s="401"/>
      <c r="X23" s="401"/>
      <c r="Y23" s="401"/>
      <c r="Z23" s="401"/>
      <c r="AA23" s="401"/>
      <c r="AB23" s="401"/>
    </row>
    <row r="24" spans="1:28" ht="19.05" customHeight="1">
      <c r="A24" s="459"/>
      <c r="B24" s="444" t="s">
        <v>514</v>
      </c>
      <c r="C24" s="445"/>
      <c r="D24" s="441"/>
      <c r="E24" s="445"/>
      <c r="F24" s="445"/>
      <c r="G24" s="461"/>
      <c r="H24" s="444"/>
      <c r="I24" s="444"/>
      <c r="J24" s="475"/>
      <c r="K24" s="484"/>
      <c r="L24" s="446"/>
      <c r="M24" s="446"/>
      <c r="O24" s="401"/>
      <c r="P24" s="401"/>
      <c r="R24" s="401"/>
      <c r="S24" s="401"/>
      <c r="T24" s="401"/>
      <c r="U24" s="401"/>
      <c r="V24" s="401"/>
      <c r="W24" s="401"/>
      <c r="X24" s="401"/>
      <c r="Y24" s="401"/>
      <c r="Z24" s="401"/>
      <c r="AA24" s="401"/>
      <c r="AB24" s="401"/>
    </row>
    <row r="25" spans="1:28" ht="19.05" customHeight="1">
      <c r="A25" s="459"/>
      <c r="B25" s="460" t="s">
        <v>515</v>
      </c>
      <c r="C25" s="445">
        <v>1</v>
      </c>
      <c r="D25" s="441" t="s">
        <v>104</v>
      </c>
      <c r="E25" s="445">
        <v>0</v>
      </c>
      <c r="F25" s="445">
        <v>0</v>
      </c>
      <c r="G25" s="461">
        <v>600</v>
      </c>
      <c r="H25" s="444">
        <f t="shared" ref="H25" si="18">C25*G25</f>
        <v>600</v>
      </c>
      <c r="I25" s="444">
        <f t="shared" ref="I25" si="19">F25+H25</f>
        <v>600</v>
      </c>
      <c r="J25" s="482" t="s">
        <v>488</v>
      </c>
      <c r="K25" s="484"/>
      <c r="L25" s="446"/>
      <c r="M25" s="446"/>
      <c r="O25" s="401"/>
      <c r="P25" s="401"/>
      <c r="R25" s="401"/>
      <c r="S25" s="401"/>
      <c r="T25" s="401"/>
      <c r="U25" s="401"/>
      <c r="V25" s="401"/>
      <c r="W25" s="401"/>
      <c r="X25" s="401"/>
      <c r="Y25" s="401"/>
      <c r="Z25" s="401"/>
      <c r="AA25" s="401"/>
      <c r="AB25" s="401"/>
    </row>
    <row r="26" spans="1:28" ht="19.05" customHeight="1">
      <c r="A26" s="459"/>
      <c r="B26" s="460" t="s">
        <v>516</v>
      </c>
      <c r="C26" s="461"/>
      <c r="D26" s="462"/>
      <c r="E26" s="461"/>
      <c r="F26" s="461"/>
      <c r="G26" s="461"/>
      <c r="H26" s="460"/>
      <c r="I26" s="460"/>
      <c r="J26" s="463"/>
      <c r="K26" s="484"/>
      <c r="L26" s="446"/>
      <c r="M26" s="446"/>
      <c r="O26" s="401"/>
      <c r="P26" s="401"/>
      <c r="R26" s="401"/>
      <c r="S26" s="401"/>
      <c r="T26" s="401"/>
      <c r="U26" s="401"/>
      <c r="V26" s="401"/>
      <c r="W26" s="401"/>
      <c r="X26" s="401"/>
      <c r="Y26" s="401"/>
      <c r="Z26" s="401"/>
      <c r="AA26" s="401"/>
      <c r="AB26" s="401"/>
    </row>
    <row r="27" spans="1:28" ht="19.05" customHeight="1">
      <c r="A27" s="459"/>
      <c r="B27" s="460" t="s">
        <v>487</v>
      </c>
      <c r="C27" s="461">
        <v>21</v>
      </c>
      <c r="D27" s="462" t="s">
        <v>25</v>
      </c>
      <c r="E27" s="461">
        <v>0</v>
      </c>
      <c r="F27" s="461">
        <f t="shared" si="2"/>
        <v>0</v>
      </c>
      <c r="G27" s="461">
        <v>120</v>
      </c>
      <c r="H27" s="460">
        <f t="shared" si="3"/>
        <v>2520</v>
      </c>
      <c r="I27" s="460">
        <f t="shared" si="1"/>
        <v>2520</v>
      </c>
      <c r="J27" s="482" t="s">
        <v>488</v>
      </c>
      <c r="K27" s="484"/>
      <c r="L27" s="446"/>
      <c r="M27" s="446"/>
      <c r="O27" s="401"/>
      <c r="P27" s="401"/>
      <c r="R27" s="401"/>
      <c r="S27" s="401"/>
      <c r="T27" s="401"/>
      <c r="U27" s="401"/>
      <c r="V27" s="401"/>
      <c r="W27" s="401"/>
      <c r="X27" s="401"/>
      <c r="Y27" s="401"/>
      <c r="Z27" s="401"/>
      <c r="AA27" s="401"/>
      <c r="AB27" s="401"/>
    </row>
    <row r="28" spans="1:28" ht="19.05" customHeight="1">
      <c r="A28" s="464"/>
      <c r="B28" s="447" t="s">
        <v>446</v>
      </c>
      <c r="C28" s="465"/>
      <c r="D28" s="448"/>
      <c r="E28" s="465"/>
      <c r="F28" s="465"/>
      <c r="G28" s="465"/>
      <c r="H28" s="447"/>
      <c r="I28" s="447">
        <f>SUM(I9:I27)</f>
        <v>40570</v>
      </c>
      <c r="J28" s="466"/>
      <c r="K28" s="484"/>
      <c r="L28" s="446"/>
      <c r="M28" s="446"/>
      <c r="O28" s="401"/>
      <c r="P28" s="401"/>
      <c r="R28" s="401"/>
      <c r="S28" s="401"/>
      <c r="T28" s="401"/>
      <c r="U28" s="401"/>
      <c r="V28" s="401"/>
      <c r="W28" s="401"/>
      <c r="X28" s="401"/>
      <c r="Y28" s="401"/>
      <c r="Z28" s="401"/>
      <c r="AA28" s="401"/>
      <c r="AB28" s="401"/>
    </row>
    <row r="29" spans="1:28" ht="19.05" customHeight="1">
      <c r="A29" s="467">
        <v>2</v>
      </c>
      <c r="B29" s="468" t="s">
        <v>438</v>
      </c>
      <c r="C29" s="469"/>
      <c r="D29" s="470"/>
      <c r="E29" s="469"/>
      <c r="F29" s="469"/>
      <c r="G29" s="469"/>
      <c r="H29" s="469"/>
      <c r="I29" s="469"/>
      <c r="J29" s="470"/>
      <c r="K29" s="471"/>
      <c r="L29" s="446"/>
      <c r="M29" s="446"/>
      <c r="O29" s="401"/>
      <c r="P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  <c r="AB29" s="401"/>
    </row>
    <row r="30" spans="1:28" ht="19.05" customHeight="1">
      <c r="A30" s="444"/>
      <c r="B30" s="444" t="s">
        <v>437</v>
      </c>
      <c r="C30" s="444">
        <v>93</v>
      </c>
      <c r="D30" s="441" t="s">
        <v>21</v>
      </c>
      <c r="E30" s="444">
        <v>726</v>
      </c>
      <c r="F30" s="444">
        <f t="shared" ref="F30:F81" si="20">ROUND(C30*E30,0)</f>
        <v>67518</v>
      </c>
      <c r="G30" s="444">
        <v>94</v>
      </c>
      <c r="H30" s="444">
        <f t="shared" ref="H30:H81" si="21">ROUND(C30*G30,0)</f>
        <v>8742</v>
      </c>
      <c r="I30" s="444">
        <f t="shared" ref="I30:I81" si="22">F30+H30</f>
        <v>76260</v>
      </c>
      <c r="J30" s="475" t="s">
        <v>506</v>
      </c>
      <c r="K30" s="471"/>
      <c r="L30" s="446"/>
      <c r="M30" s="446"/>
      <c r="O30" s="401"/>
      <c r="P30" s="401"/>
      <c r="R30" s="401"/>
      <c r="S30" s="401"/>
      <c r="T30" s="401"/>
      <c r="U30" s="401"/>
      <c r="V30" s="401"/>
      <c r="W30" s="401"/>
      <c r="X30" s="401"/>
      <c r="Y30" s="401"/>
      <c r="Z30" s="401"/>
      <c r="AA30" s="401"/>
      <c r="AB30" s="401"/>
    </row>
    <row r="31" spans="1:28" ht="19.05" customHeight="1">
      <c r="A31" s="444"/>
      <c r="B31" s="444" t="s">
        <v>457</v>
      </c>
      <c r="C31" s="444">
        <v>158</v>
      </c>
      <c r="D31" s="441" t="s">
        <v>21</v>
      </c>
      <c r="E31" s="444">
        <v>0</v>
      </c>
      <c r="F31" s="444">
        <f>ROUND(C31*E31,0)</f>
        <v>0</v>
      </c>
      <c r="G31" s="444">
        <v>74</v>
      </c>
      <c r="H31" s="444">
        <f t="shared" ref="H31" si="23">ROUND(C31*G31,0)</f>
        <v>11692</v>
      </c>
      <c r="I31" s="444">
        <f t="shared" ref="I31" si="24">F31+H31</f>
        <v>11692</v>
      </c>
      <c r="J31" s="482" t="s">
        <v>488</v>
      </c>
      <c r="K31" s="579"/>
      <c r="L31" s="446"/>
      <c r="M31" s="446"/>
      <c r="O31" s="401"/>
      <c r="P31" s="401"/>
      <c r="R31" s="401"/>
      <c r="S31" s="401"/>
      <c r="T31" s="401"/>
      <c r="U31" s="401"/>
      <c r="V31" s="401"/>
      <c r="W31" s="401"/>
      <c r="X31" s="401"/>
      <c r="Y31" s="401"/>
      <c r="Z31" s="401"/>
      <c r="AA31" s="401"/>
      <c r="AB31" s="401"/>
    </row>
    <row r="32" spans="1:28" ht="19.05" customHeight="1">
      <c r="A32" s="441" t="s">
        <v>467</v>
      </c>
      <c r="B32" s="444" t="s">
        <v>466</v>
      </c>
      <c r="C32" s="444">
        <v>84</v>
      </c>
      <c r="D32" s="441" t="s">
        <v>21</v>
      </c>
      <c r="E32" s="444">
        <v>308</v>
      </c>
      <c r="F32" s="445">
        <f t="shared" ref="F32:F50" si="25">C32*E32</f>
        <v>25872</v>
      </c>
      <c r="G32" s="444">
        <v>166</v>
      </c>
      <c r="H32" s="444">
        <f t="shared" ref="H32:H48" si="26">ROUND(C32*G32,0)</f>
        <v>13944</v>
      </c>
      <c r="I32" s="444">
        <f t="shared" ref="I32:I48" si="27">F32+H32</f>
        <v>39816</v>
      </c>
      <c r="J32" s="482" t="s">
        <v>506</v>
      </c>
      <c r="K32" s="471"/>
      <c r="L32" s="446"/>
      <c r="M32" s="446"/>
      <c r="O32" s="401"/>
      <c r="P32" s="401"/>
      <c r="R32" s="401"/>
      <c r="S32" s="401"/>
      <c r="T32" s="401"/>
      <c r="U32" s="401"/>
      <c r="V32" s="401"/>
      <c r="W32" s="401"/>
      <c r="X32" s="401"/>
      <c r="Y32" s="401"/>
      <c r="Z32" s="401"/>
      <c r="AA32" s="401"/>
      <c r="AB32" s="401"/>
    </row>
    <row r="33" spans="1:28" ht="19.05" customHeight="1">
      <c r="A33" s="441" t="s">
        <v>468</v>
      </c>
      <c r="B33" s="444" t="s">
        <v>526</v>
      </c>
      <c r="C33" s="444">
        <v>14</v>
      </c>
      <c r="D33" s="441" t="s">
        <v>21</v>
      </c>
      <c r="E33" s="444">
        <v>458</v>
      </c>
      <c r="F33" s="445">
        <f t="shared" si="25"/>
        <v>6412</v>
      </c>
      <c r="G33" s="444">
        <v>189</v>
      </c>
      <c r="H33" s="444">
        <f t="shared" ref="H33" si="28">ROUND(C33*G33,0)</f>
        <v>2646</v>
      </c>
      <c r="I33" s="444">
        <f t="shared" ref="I33" si="29">F33+H33</f>
        <v>9058</v>
      </c>
      <c r="J33" s="482" t="s">
        <v>506</v>
      </c>
      <c r="K33" s="471"/>
      <c r="L33" s="446"/>
      <c r="M33" s="446"/>
      <c r="O33" s="401"/>
      <c r="P33" s="401"/>
      <c r="R33" s="401"/>
      <c r="S33" s="401"/>
      <c r="T33" s="401"/>
      <c r="U33" s="401"/>
      <c r="V33" s="401"/>
      <c r="W33" s="401"/>
      <c r="X33" s="401"/>
      <c r="Y33" s="401"/>
      <c r="Z33" s="401"/>
      <c r="AA33" s="401"/>
      <c r="AB33" s="401"/>
    </row>
    <row r="34" spans="1:28" ht="19.05" customHeight="1">
      <c r="A34" s="441"/>
      <c r="B34" s="444" t="s">
        <v>544</v>
      </c>
      <c r="C34" s="444"/>
      <c r="D34" s="441"/>
      <c r="E34" s="444"/>
      <c r="F34" s="445"/>
      <c r="G34" s="444"/>
      <c r="H34" s="444"/>
      <c r="I34" s="444"/>
      <c r="J34" s="441"/>
      <c r="K34" s="471"/>
      <c r="L34" s="446"/>
      <c r="M34" s="446"/>
      <c r="O34" s="401"/>
      <c r="P34" s="401"/>
      <c r="R34" s="401"/>
      <c r="S34" s="401"/>
      <c r="T34" s="401"/>
      <c r="U34" s="401"/>
      <c r="V34" s="401"/>
      <c r="W34" s="401"/>
      <c r="X34" s="401"/>
      <c r="Y34" s="401"/>
      <c r="Z34" s="401"/>
      <c r="AA34" s="401"/>
      <c r="AB34" s="401"/>
    </row>
    <row r="35" spans="1:28" ht="19.05" customHeight="1">
      <c r="A35" s="441" t="s">
        <v>469</v>
      </c>
      <c r="B35" s="444" t="s">
        <v>545</v>
      </c>
      <c r="C35" s="444">
        <v>20</v>
      </c>
      <c r="D35" s="441" t="s">
        <v>21</v>
      </c>
      <c r="E35" s="444">
        <v>2400</v>
      </c>
      <c r="F35" s="445">
        <f t="shared" si="25"/>
        <v>48000</v>
      </c>
      <c r="G35" s="444">
        <v>265</v>
      </c>
      <c r="H35" s="444">
        <f t="shared" ref="H35" si="30">ROUND(C35*G35,0)</f>
        <v>5300</v>
      </c>
      <c r="I35" s="444">
        <f t="shared" ref="I35" si="31">F35+H35</f>
        <v>53300</v>
      </c>
      <c r="J35" s="482" t="s">
        <v>546</v>
      </c>
      <c r="K35" s="471"/>
      <c r="L35" s="471"/>
      <c r="M35" s="446"/>
      <c r="O35" s="401"/>
      <c r="P35" s="401"/>
      <c r="R35" s="401"/>
      <c r="S35" s="401"/>
      <c r="T35" s="401"/>
      <c r="U35" s="401"/>
      <c r="V35" s="401"/>
      <c r="W35" s="401"/>
      <c r="X35" s="401"/>
      <c r="Y35" s="401"/>
      <c r="Z35" s="401"/>
      <c r="AA35" s="401"/>
      <c r="AB35" s="401"/>
    </row>
    <row r="36" spans="1:28" ht="19.05" customHeight="1">
      <c r="A36" s="441" t="s">
        <v>471</v>
      </c>
      <c r="B36" s="444" t="s">
        <v>547</v>
      </c>
      <c r="C36" s="444">
        <v>40</v>
      </c>
      <c r="D36" s="441" t="s">
        <v>21</v>
      </c>
      <c r="E36" s="444">
        <v>670</v>
      </c>
      <c r="F36" s="445">
        <f t="shared" si="25"/>
        <v>26800</v>
      </c>
      <c r="G36" s="444">
        <v>166</v>
      </c>
      <c r="H36" s="444">
        <f t="shared" ref="H36:H37" si="32">ROUND(C36*G36,0)</f>
        <v>6640</v>
      </c>
      <c r="I36" s="444">
        <f t="shared" ref="I36:I37" si="33">F36+H36</f>
        <v>33440</v>
      </c>
      <c r="J36" s="482" t="s">
        <v>546</v>
      </c>
      <c r="K36" s="471"/>
      <c r="L36" s="446"/>
      <c r="M36" s="446"/>
      <c r="O36" s="401"/>
      <c r="P36" s="401"/>
      <c r="R36" s="401"/>
      <c r="S36" s="401"/>
      <c r="T36" s="401"/>
      <c r="U36" s="401"/>
      <c r="V36" s="401"/>
      <c r="W36" s="401"/>
      <c r="X36" s="401"/>
      <c r="Y36" s="401"/>
      <c r="Z36" s="401"/>
      <c r="AA36" s="401"/>
      <c r="AB36" s="401"/>
    </row>
    <row r="37" spans="1:28" ht="19.05" customHeight="1">
      <c r="A37" s="444"/>
      <c r="B37" s="444" t="s">
        <v>551</v>
      </c>
      <c r="C37" s="444">
        <v>14</v>
      </c>
      <c r="D37" s="441" t="s">
        <v>295</v>
      </c>
      <c r="E37" s="444">
        <v>206</v>
      </c>
      <c r="F37" s="445">
        <f t="shared" si="25"/>
        <v>2884</v>
      </c>
      <c r="G37" s="444">
        <v>55</v>
      </c>
      <c r="H37" s="444">
        <f t="shared" si="32"/>
        <v>770</v>
      </c>
      <c r="I37" s="444">
        <f t="shared" si="33"/>
        <v>3654</v>
      </c>
      <c r="J37" s="475" t="s">
        <v>509</v>
      </c>
      <c r="K37" s="583">
        <f>2145*0.1*0.1*1</f>
        <v>21.450000000000003</v>
      </c>
      <c r="L37" s="584">
        <v>59</v>
      </c>
      <c r="M37" s="764">
        <f>K37+L37+K38</f>
        <v>205.57640000000004</v>
      </c>
      <c r="O37" s="401"/>
      <c r="P37" s="401"/>
      <c r="R37" s="401"/>
      <c r="S37" s="401"/>
      <c r="T37" s="401"/>
      <c r="U37" s="401"/>
      <c r="V37" s="401"/>
      <c r="W37" s="401"/>
      <c r="X37" s="401"/>
      <c r="Y37" s="401"/>
      <c r="Z37" s="401"/>
      <c r="AA37" s="401"/>
      <c r="AB37" s="401"/>
    </row>
    <row r="38" spans="1:28" ht="19.05" customHeight="1">
      <c r="A38" s="444"/>
      <c r="B38" s="444" t="s">
        <v>552</v>
      </c>
      <c r="C38" s="444"/>
      <c r="D38" s="441"/>
      <c r="E38" s="444"/>
      <c r="F38" s="445"/>
      <c r="G38" s="444"/>
      <c r="H38" s="444"/>
      <c r="I38" s="444"/>
      <c r="J38" s="441"/>
      <c r="K38" s="583">
        <f>2*0.1*686*0.912</f>
        <v>125.12640000000002</v>
      </c>
      <c r="L38" s="583"/>
      <c r="M38" s="765"/>
      <c r="O38" s="401"/>
      <c r="P38" s="401"/>
      <c r="R38" s="401"/>
      <c r="S38" s="401"/>
      <c r="T38" s="401"/>
      <c r="U38" s="401"/>
      <c r="V38" s="401"/>
      <c r="W38" s="401"/>
      <c r="X38" s="401"/>
      <c r="Y38" s="401"/>
      <c r="Z38" s="401"/>
      <c r="AA38" s="401"/>
      <c r="AB38" s="401"/>
    </row>
    <row r="39" spans="1:28" ht="19.05" customHeight="1">
      <c r="A39" s="444"/>
      <c r="B39" s="444" t="s">
        <v>473</v>
      </c>
      <c r="C39" s="444">
        <v>90</v>
      </c>
      <c r="D39" s="441" t="s">
        <v>295</v>
      </c>
      <c r="E39" s="444">
        <v>240</v>
      </c>
      <c r="F39" s="445">
        <f t="shared" si="25"/>
        <v>21600</v>
      </c>
      <c r="G39" s="444">
        <v>27</v>
      </c>
      <c r="H39" s="444">
        <f t="shared" ref="H39" si="34">ROUND(C39*G39,0)</f>
        <v>2430</v>
      </c>
      <c r="I39" s="444">
        <f t="shared" ref="I39" si="35">F39+H39</f>
        <v>24030</v>
      </c>
      <c r="J39" s="482" t="s">
        <v>546</v>
      </c>
      <c r="K39" s="471">
        <f>2400/10</f>
        <v>240</v>
      </c>
      <c r="L39" s="471">
        <f>265/10</f>
        <v>26.5</v>
      </c>
      <c r="M39" s="446"/>
      <c r="O39" s="401"/>
      <c r="P39" s="401"/>
      <c r="R39" s="401"/>
      <c r="S39" s="401"/>
      <c r="T39" s="401"/>
      <c r="U39" s="401"/>
      <c r="V39" s="401"/>
      <c r="W39" s="401"/>
      <c r="X39" s="401"/>
      <c r="Y39" s="401"/>
      <c r="Z39" s="401"/>
      <c r="AA39" s="401"/>
      <c r="AB39" s="401"/>
    </row>
    <row r="40" spans="1:28" ht="19.05" customHeight="1">
      <c r="A40" s="444"/>
      <c r="B40" s="444" t="s">
        <v>472</v>
      </c>
      <c r="C40" s="444">
        <v>45</v>
      </c>
      <c r="D40" s="441" t="s">
        <v>295</v>
      </c>
      <c r="E40" s="444">
        <v>452</v>
      </c>
      <c r="F40" s="445">
        <f t="shared" si="25"/>
        <v>20340</v>
      </c>
      <c r="G40" s="444">
        <v>70</v>
      </c>
      <c r="H40" s="444">
        <f t="shared" ref="H40" si="36">ROUND(C40*G40,0)</f>
        <v>3150</v>
      </c>
      <c r="I40" s="444">
        <f t="shared" ref="I40" si="37">F40+H40</f>
        <v>23490</v>
      </c>
      <c r="J40" s="482" t="s">
        <v>546</v>
      </c>
      <c r="K40" s="580">
        <f>0.3*0.3</f>
        <v>0.09</v>
      </c>
      <c r="L40" s="471">
        <f>11*137</f>
        <v>1507</v>
      </c>
      <c r="M40" s="446">
        <f>0.3*1*1507</f>
        <v>452.09999999999997</v>
      </c>
      <c r="O40" s="401"/>
      <c r="P40" s="401"/>
      <c r="R40" s="401"/>
      <c r="S40" s="401"/>
      <c r="T40" s="401"/>
      <c r="U40" s="401"/>
      <c r="V40" s="401"/>
      <c r="W40" s="401"/>
      <c r="X40" s="401"/>
      <c r="Y40" s="401"/>
      <c r="Z40" s="401"/>
      <c r="AA40" s="401"/>
      <c r="AB40" s="401"/>
    </row>
    <row r="41" spans="1:28" ht="19.05" customHeight="1">
      <c r="A41" s="444"/>
      <c r="B41" s="577" t="s">
        <v>537</v>
      </c>
      <c r="C41" s="444">
        <v>19</v>
      </c>
      <c r="D41" s="441" t="s">
        <v>21</v>
      </c>
      <c r="E41" s="444">
        <v>62</v>
      </c>
      <c r="F41" s="445">
        <f t="shared" ref="F41" si="38">C41*E41</f>
        <v>1178</v>
      </c>
      <c r="G41" s="444">
        <v>30</v>
      </c>
      <c r="H41" s="444">
        <f t="shared" ref="H41" si="39">ROUND(C41*G41,0)</f>
        <v>570</v>
      </c>
      <c r="I41" s="444">
        <f t="shared" ref="I41" si="40">F41+H41</f>
        <v>1748</v>
      </c>
      <c r="J41" s="475" t="s">
        <v>509</v>
      </c>
      <c r="K41" s="471"/>
      <c r="L41" s="446"/>
      <c r="M41" s="446"/>
      <c r="O41" s="401"/>
      <c r="P41" s="401"/>
      <c r="R41" s="401"/>
      <c r="S41" s="401"/>
      <c r="T41" s="401"/>
      <c r="U41" s="401"/>
      <c r="V41" s="401"/>
      <c r="W41" s="401"/>
      <c r="X41" s="401"/>
      <c r="Y41" s="401"/>
      <c r="Z41" s="401"/>
      <c r="AA41" s="401"/>
      <c r="AB41" s="401"/>
    </row>
    <row r="42" spans="1:28" ht="19.05" customHeight="1">
      <c r="A42" s="444"/>
      <c r="B42" s="577" t="s">
        <v>538</v>
      </c>
      <c r="C42" s="444"/>
      <c r="D42" s="441"/>
      <c r="E42" s="444"/>
      <c r="F42" s="445"/>
      <c r="G42" s="444"/>
      <c r="H42" s="444"/>
      <c r="I42" s="444"/>
      <c r="J42" s="441"/>
      <c r="K42" s="471"/>
      <c r="L42" s="446"/>
      <c r="M42" s="446"/>
      <c r="O42" s="401"/>
      <c r="P42" s="401"/>
      <c r="R42" s="401"/>
      <c r="S42" s="401"/>
      <c r="T42" s="401"/>
      <c r="U42" s="401"/>
      <c r="V42" s="401"/>
      <c r="W42" s="401"/>
      <c r="X42" s="401"/>
      <c r="Y42" s="401"/>
      <c r="Z42" s="401"/>
      <c r="AA42" s="401"/>
      <c r="AB42" s="401"/>
    </row>
    <row r="43" spans="1:28" ht="19.05" customHeight="1">
      <c r="A43" s="444"/>
      <c r="B43" s="577" t="s">
        <v>539</v>
      </c>
      <c r="C43" s="444"/>
      <c r="D43" s="441"/>
      <c r="E43" s="444"/>
      <c r="F43" s="445"/>
      <c r="G43" s="444"/>
      <c r="H43" s="444"/>
      <c r="I43" s="444"/>
      <c r="J43" s="441"/>
      <c r="K43" s="471"/>
      <c r="L43" s="446"/>
      <c r="M43" s="446"/>
      <c r="O43" s="401"/>
      <c r="P43" s="401"/>
      <c r="R43" s="401"/>
      <c r="S43" s="401"/>
      <c r="T43" s="401"/>
      <c r="U43" s="401"/>
      <c r="V43" s="401"/>
      <c r="W43" s="401"/>
      <c r="X43" s="401"/>
      <c r="Y43" s="401"/>
      <c r="Z43" s="401"/>
      <c r="AA43" s="401"/>
      <c r="AB43" s="401"/>
    </row>
    <row r="44" spans="1:28" ht="19.05" customHeight="1">
      <c r="A44" s="441" t="s">
        <v>470</v>
      </c>
      <c r="B44" s="444" t="s">
        <v>456</v>
      </c>
      <c r="C44" s="444">
        <v>24</v>
      </c>
      <c r="D44" s="441" t="s">
        <v>21</v>
      </c>
      <c r="E44" s="444">
        <v>59</v>
      </c>
      <c r="F44" s="445">
        <f>C44*E44</f>
        <v>1416</v>
      </c>
      <c r="G44" s="444">
        <v>87</v>
      </c>
      <c r="H44" s="444">
        <f t="shared" ref="H44" si="41">ROUND(C44*G44,0)</f>
        <v>2088</v>
      </c>
      <c r="I44" s="444">
        <f t="shared" ref="I44" si="42">F44+H44</f>
        <v>3504</v>
      </c>
      <c r="J44" s="475" t="s">
        <v>509</v>
      </c>
      <c r="K44" s="471"/>
      <c r="L44" s="446"/>
      <c r="M44" s="446"/>
      <c r="O44" s="401"/>
      <c r="P44" s="401"/>
      <c r="R44" s="401"/>
      <c r="S44" s="401"/>
      <c r="T44" s="401"/>
      <c r="U44" s="401"/>
      <c r="V44" s="401"/>
      <c r="W44" s="401"/>
      <c r="X44" s="401"/>
      <c r="Y44" s="401"/>
      <c r="Z44" s="401"/>
      <c r="AA44" s="401"/>
      <c r="AB44" s="401"/>
    </row>
    <row r="45" spans="1:28" ht="19.05" customHeight="1">
      <c r="A45" s="444"/>
      <c r="B45" s="444" t="s">
        <v>590</v>
      </c>
      <c r="C45" s="444">
        <v>84</v>
      </c>
      <c r="D45" s="441" t="s">
        <v>295</v>
      </c>
      <c r="E45" s="444">
        <v>112</v>
      </c>
      <c r="F45" s="445">
        <f t="shared" si="25"/>
        <v>9408</v>
      </c>
      <c r="G45" s="444">
        <v>70</v>
      </c>
      <c r="H45" s="444">
        <f t="shared" si="26"/>
        <v>5880</v>
      </c>
      <c r="I45" s="444">
        <f t="shared" si="27"/>
        <v>15288</v>
      </c>
      <c r="J45" s="441" t="s">
        <v>569</v>
      </c>
      <c r="K45" s="471" t="s">
        <v>592</v>
      </c>
      <c r="L45" s="581">
        <f>335/3</f>
        <v>111.66666666666667</v>
      </c>
      <c r="M45" s="446"/>
      <c r="O45" s="401"/>
      <c r="P45" s="401"/>
      <c r="R45" s="401"/>
      <c r="S45" s="401"/>
      <c r="T45" s="401"/>
      <c r="U45" s="401"/>
      <c r="V45" s="401"/>
      <c r="W45" s="401"/>
      <c r="X45" s="401"/>
      <c r="Y45" s="401"/>
      <c r="Z45" s="401"/>
      <c r="AA45" s="401"/>
      <c r="AB45" s="401"/>
    </row>
    <row r="46" spans="1:28" ht="19.05" customHeight="1">
      <c r="A46" s="444"/>
      <c r="B46" s="444" t="s">
        <v>591</v>
      </c>
      <c r="C46" s="444"/>
      <c r="D46" s="441"/>
      <c r="E46" s="444"/>
      <c r="F46" s="445"/>
      <c r="G46" s="444"/>
      <c r="H46" s="444"/>
      <c r="I46" s="444"/>
      <c r="J46" s="470"/>
      <c r="K46" s="471"/>
      <c r="L46" s="446"/>
      <c r="M46" s="446"/>
      <c r="O46" s="401"/>
      <c r="P46" s="401"/>
      <c r="R46" s="401"/>
      <c r="S46" s="401"/>
      <c r="T46" s="401"/>
      <c r="U46" s="401"/>
      <c r="V46" s="401"/>
      <c r="W46" s="401"/>
      <c r="X46" s="401"/>
      <c r="Y46" s="401"/>
      <c r="Z46" s="401"/>
      <c r="AA46" s="401"/>
      <c r="AB46" s="401"/>
    </row>
    <row r="47" spans="1:28" ht="19.05" customHeight="1">
      <c r="A47" s="441" t="s">
        <v>474</v>
      </c>
      <c r="B47" s="444" t="s">
        <v>439</v>
      </c>
      <c r="C47" s="444">
        <v>48</v>
      </c>
      <c r="D47" s="441" t="s">
        <v>21</v>
      </c>
      <c r="E47" s="444">
        <v>877</v>
      </c>
      <c r="F47" s="445">
        <f t="shared" si="25"/>
        <v>42096</v>
      </c>
      <c r="G47" s="444">
        <v>174</v>
      </c>
      <c r="H47" s="444">
        <f t="shared" si="26"/>
        <v>8352</v>
      </c>
      <c r="I47" s="444">
        <f t="shared" si="27"/>
        <v>50448</v>
      </c>
      <c r="J47" s="482" t="s">
        <v>506</v>
      </c>
      <c r="K47" s="471"/>
      <c r="L47" s="446"/>
      <c r="M47" s="446"/>
      <c r="O47" s="401"/>
      <c r="P47" s="401"/>
      <c r="R47" s="401"/>
      <c r="S47" s="401"/>
      <c r="T47" s="401"/>
      <c r="U47" s="401"/>
      <c r="V47" s="401"/>
      <c r="W47" s="401"/>
      <c r="X47" s="401"/>
      <c r="Y47" s="401"/>
      <c r="Z47" s="401"/>
      <c r="AA47" s="401"/>
      <c r="AB47" s="401"/>
    </row>
    <row r="48" spans="1:28" ht="19.05" customHeight="1">
      <c r="A48" s="441" t="s">
        <v>475</v>
      </c>
      <c r="B48" s="444" t="s">
        <v>541</v>
      </c>
      <c r="C48" s="444">
        <v>77</v>
      </c>
      <c r="D48" s="441" t="s">
        <v>21</v>
      </c>
      <c r="E48" s="444">
        <v>261</v>
      </c>
      <c r="F48" s="445">
        <f t="shared" si="25"/>
        <v>20097</v>
      </c>
      <c r="G48" s="444">
        <v>75</v>
      </c>
      <c r="H48" s="444">
        <f t="shared" si="26"/>
        <v>5775</v>
      </c>
      <c r="I48" s="444">
        <f t="shared" si="27"/>
        <v>25872</v>
      </c>
      <c r="J48" s="475" t="s">
        <v>506</v>
      </c>
      <c r="K48" s="471"/>
      <c r="L48" s="446"/>
      <c r="M48" s="446"/>
      <c r="O48" s="401"/>
      <c r="P48" s="401"/>
      <c r="R48" s="401"/>
      <c r="S48" s="401"/>
      <c r="T48" s="401"/>
      <c r="U48" s="401"/>
      <c r="V48" s="401"/>
      <c r="W48" s="401"/>
      <c r="X48" s="401"/>
      <c r="Y48" s="401"/>
      <c r="Z48" s="401"/>
      <c r="AA48" s="401"/>
      <c r="AB48" s="401"/>
    </row>
    <row r="49" spans="1:28" ht="19.05" customHeight="1">
      <c r="A49" s="444"/>
      <c r="B49" s="444" t="s">
        <v>542</v>
      </c>
      <c r="C49" s="444"/>
      <c r="D49" s="441"/>
      <c r="E49" s="444"/>
      <c r="F49" s="445"/>
      <c r="G49" s="444"/>
      <c r="H49" s="444"/>
      <c r="I49" s="444"/>
      <c r="J49" s="441"/>
      <c r="K49" s="471"/>
      <c r="L49" s="446"/>
      <c r="M49" s="446"/>
      <c r="O49" s="401"/>
      <c r="P49" s="401"/>
      <c r="R49" s="401"/>
      <c r="S49" s="401"/>
      <c r="T49" s="401"/>
      <c r="U49" s="401"/>
      <c r="V49" s="401"/>
      <c r="W49" s="401"/>
      <c r="X49" s="401"/>
      <c r="Y49" s="401"/>
      <c r="Z49" s="401"/>
      <c r="AA49" s="401"/>
      <c r="AB49" s="401"/>
    </row>
    <row r="50" spans="1:28" ht="19.05" customHeight="1">
      <c r="A50" s="444"/>
      <c r="B50" s="578" t="s">
        <v>540</v>
      </c>
      <c r="C50" s="444">
        <v>77</v>
      </c>
      <c r="D50" s="441" t="s">
        <v>21</v>
      </c>
      <c r="E50" s="444">
        <v>53</v>
      </c>
      <c r="F50" s="445">
        <f t="shared" si="25"/>
        <v>4081</v>
      </c>
      <c r="G50" s="444">
        <v>30</v>
      </c>
      <c r="H50" s="444">
        <f t="shared" ref="H50" si="43">ROUND(C50*G50,0)</f>
        <v>2310</v>
      </c>
      <c r="I50" s="444">
        <f t="shared" ref="I50" si="44">F50+H50</f>
        <v>6391</v>
      </c>
      <c r="J50" s="482" t="s">
        <v>506</v>
      </c>
      <c r="K50" s="471"/>
      <c r="L50" s="446"/>
      <c r="M50" s="446"/>
      <c r="O50" s="401"/>
      <c r="P50" s="401"/>
      <c r="R50" s="401"/>
      <c r="S50" s="401"/>
      <c r="T50" s="401"/>
      <c r="U50" s="401"/>
      <c r="V50" s="401"/>
      <c r="W50" s="401"/>
      <c r="X50" s="401"/>
      <c r="Y50" s="401"/>
      <c r="Z50" s="401"/>
      <c r="AA50" s="401"/>
      <c r="AB50" s="401"/>
    </row>
    <row r="51" spans="1:28" s="457" customFormat="1" ht="19.05" customHeight="1">
      <c r="A51" s="477"/>
      <c r="B51" s="577" t="s">
        <v>538</v>
      </c>
      <c r="C51" s="477"/>
      <c r="D51" s="479"/>
      <c r="E51" s="477"/>
      <c r="F51" s="478"/>
      <c r="G51" s="477"/>
      <c r="H51" s="477"/>
      <c r="I51" s="477"/>
      <c r="J51" s="479"/>
      <c r="K51" s="481"/>
      <c r="L51" s="455"/>
      <c r="M51" s="455"/>
      <c r="N51" s="456"/>
    </row>
    <row r="52" spans="1:28" s="457" customFormat="1" ht="19.05" customHeight="1">
      <c r="A52" s="477"/>
      <c r="B52" s="577" t="s">
        <v>539</v>
      </c>
      <c r="C52" s="477"/>
      <c r="D52" s="479"/>
      <c r="E52" s="477"/>
      <c r="F52" s="478"/>
      <c r="G52" s="477"/>
      <c r="H52" s="477"/>
      <c r="I52" s="477"/>
      <c r="J52" s="479"/>
      <c r="K52" s="481"/>
      <c r="L52" s="455"/>
      <c r="M52" s="455"/>
      <c r="N52" s="456"/>
    </row>
    <row r="53" spans="1:28" ht="19.05" customHeight="1">
      <c r="A53" s="444"/>
      <c r="B53" s="444" t="s">
        <v>553</v>
      </c>
      <c r="C53" s="444">
        <v>12</v>
      </c>
      <c r="D53" s="441" t="s">
        <v>441</v>
      </c>
      <c r="E53" s="444">
        <v>252</v>
      </c>
      <c r="F53" s="445">
        <f t="shared" ref="F53:F75" si="45">C53*E53</f>
        <v>3024</v>
      </c>
      <c r="G53" s="444">
        <v>93</v>
      </c>
      <c r="H53" s="444">
        <f t="shared" ref="H53" si="46">ROUND(C53*G53,0)</f>
        <v>1116</v>
      </c>
      <c r="I53" s="444">
        <f t="shared" ref="I53:I79" si="47">F53+H53</f>
        <v>4140</v>
      </c>
      <c r="J53" s="482" t="s">
        <v>506</v>
      </c>
      <c r="K53" s="471">
        <f>SUM(K54:K57)</f>
        <v>251.83130000000006</v>
      </c>
      <c r="L53" s="589">
        <f>SUM(L54:L57)</f>
        <v>92.724809500000021</v>
      </c>
      <c r="M53" s="582"/>
      <c r="O53" s="401"/>
      <c r="P53" s="401"/>
      <c r="R53" s="401"/>
      <c r="S53" s="401"/>
      <c r="T53" s="401"/>
      <c r="U53" s="401"/>
      <c r="V53" s="401"/>
      <c r="W53" s="401"/>
      <c r="X53" s="401"/>
      <c r="Y53" s="401"/>
      <c r="Z53" s="401"/>
      <c r="AA53" s="401"/>
      <c r="AB53" s="401"/>
    </row>
    <row r="54" spans="1:28" ht="19.05" customHeight="1">
      <c r="A54" s="444"/>
      <c r="B54" s="444" t="s">
        <v>552</v>
      </c>
      <c r="C54" s="444"/>
      <c r="D54" s="441"/>
      <c r="E54" s="444"/>
      <c r="F54" s="445"/>
      <c r="G54" s="444"/>
      <c r="H54" s="444"/>
      <c r="I54" s="444"/>
      <c r="J54" s="441"/>
      <c r="K54" s="471">
        <v>59</v>
      </c>
      <c r="L54" s="446">
        <v>55</v>
      </c>
      <c r="M54" s="401"/>
      <c r="O54" s="401"/>
      <c r="P54" s="401"/>
      <c r="R54" s="401"/>
      <c r="S54" s="401"/>
      <c r="T54" s="401"/>
      <c r="U54" s="401"/>
      <c r="V54" s="401"/>
      <c r="W54" s="401"/>
      <c r="X54" s="401"/>
      <c r="Y54" s="401"/>
      <c r="Z54" s="401"/>
      <c r="AA54" s="401"/>
      <c r="AB54" s="401"/>
    </row>
    <row r="55" spans="1:28" ht="19.05" customHeight="1">
      <c r="A55" s="444"/>
      <c r="B55" s="444" t="s">
        <v>455</v>
      </c>
      <c r="C55" s="444"/>
      <c r="D55" s="441"/>
      <c r="E55" s="444"/>
      <c r="F55" s="445"/>
      <c r="G55" s="444"/>
      <c r="H55" s="444"/>
      <c r="I55" s="444"/>
      <c r="J55" s="441"/>
      <c r="K55" s="471">
        <f>(3*0.45*2)*0.499*1.05*26</f>
        <v>36.781290000000006</v>
      </c>
      <c r="L55" s="471">
        <f>(3*0.45*2)*0.499*1.05*4.3</f>
        <v>6.083059500000001</v>
      </c>
      <c r="M55" s="582"/>
      <c r="O55" s="401"/>
      <c r="P55" s="401"/>
      <c r="R55" s="401"/>
      <c r="S55" s="401"/>
      <c r="T55" s="401"/>
      <c r="U55" s="401"/>
      <c r="V55" s="401"/>
      <c r="W55" s="401"/>
      <c r="X55" s="401"/>
      <c r="Y55" s="401"/>
      <c r="Z55" s="401"/>
      <c r="AA55" s="401"/>
      <c r="AB55" s="401"/>
    </row>
    <row r="56" spans="1:28" ht="19.95" customHeight="1">
      <c r="A56" s="444"/>
      <c r="B56" s="444" t="s">
        <v>454</v>
      </c>
      <c r="C56" s="444"/>
      <c r="D56" s="441"/>
      <c r="E56" s="444"/>
      <c r="F56" s="445"/>
      <c r="G56" s="444"/>
      <c r="H56" s="444"/>
      <c r="I56" s="444"/>
      <c r="J56" s="441"/>
      <c r="K56" s="583">
        <f>2145*0.45*0.45*0.1</f>
        <v>43.436250000000001</v>
      </c>
      <c r="L56" s="584">
        <f>327*0.45*0.45*0.1</f>
        <v>6.6217500000000005</v>
      </c>
      <c r="M56" s="582"/>
      <c r="O56" s="401"/>
      <c r="P56" s="401"/>
      <c r="R56" s="401"/>
      <c r="S56" s="401"/>
      <c r="T56" s="401"/>
      <c r="U56" s="401"/>
      <c r="V56" s="401"/>
      <c r="W56" s="401"/>
      <c r="X56" s="401"/>
      <c r="Y56" s="401"/>
      <c r="Z56" s="401"/>
      <c r="AA56" s="401"/>
      <c r="AB56" s="401"/>
    </row>
    <row r="57" spans="1:28" s="584" customFormat="1" ht="19.95" customHeight="1">
      <c r="A57" s="585"/>
      <c r="B57" s="586" t="s">
        <v>568</v>
      </c>
      <c r="C57" s="444"/>
      <c r="D57" s="441"/>
      <c r="E57" s="444"/>
      <c r="F57" s="445"/>
      <c r="G57" s="444"/>
      <c r="H57" s="444"/>
      <c r="I57" s="444"/>
      <c r="J57" s="441"/>
      <c r="K57" s="583">
        <f>0.1*4*0.45*686*0.912</f>
        <v>112.61376000000003</v>
      </c>
      <c r="L57" s="583">
        <f>0.1*4*0.45*139</f>
        <v>25.020000000000003</v>
      </c>
      <c r="M57" s="582"/>
    </row>
    <row r="58" spans="1:28" ht="19.95" customHeight="1">
      <c r="A58" s="444"/>
      <c r="B58" s="444" t="s">
        <v>561</v>
      </c>
      <c r="C58" s="444">
        <v>6</v>
      </c>
      <c r="D58" s="441" t="s">
        <v>21</v>
      </c>
      <c r="E58" s="444">
        <v>334</v>
      </c>
      <c r="F58" s="445">
        <f t="shared" si="45"/>
        <v>2004</v>
      </c>
      <c r="G58" s="444">
        <v>51</v>
      </c>
      <c r="H58" s="444">
        <f t="shared" ref="H58" si="48">ROUND(C58*G58,0)</f>
        <v>306</v>
      </c>
      <c r="I58" s="444">
        <f t="shared" ref="I58" si="49">F58+H58</f>
        <v>2310</v>
      </c>
      <c r="J58" s="482" t="s">
        <v>506</v>
      </c>
      <c r="K58" s="471">
        <f>SUM(K60:K61)</f>
        <v>334.01042999999999</v>
      </c>
      <c r="L58" s="588">
        <f>SUM(L60:L61)</f>
        <v>51.077686499999999</v>
      </c>
      <c r="M58" s="446"/>
      <c r="O58" s="401"/>
      <c r="P58" s="401"/>
      <c r="R58" s="401"/>
      <c r="S58" s="401"/>
      <c r="T58" s="401"/>
      <c r="U58" s="401"/>
      <c r="V58" s="401"/>
      <c r="W58" s="401"/>
      <c r="X58" s="401"/>
      <c r="Y58" s="401"/>
      <c r="Z58" s="401"/>
      <c r="AA58" s="401"/>
      <c r="AB58" s="401"/>
    </row>
    <row r="59" spans="1:28" ht="19.95" customHeight="1">
      <c r="A59" s="444"/>
      <c r="B59" s="444" t="s">
        <v>562</v>
      </c>
      <c r="C59" s="444"/>
      <c r="D59" s="441"/>
      <c r="E59" s="444"/>
      <c r="F59" s="445"/>
      <c r="G59" s="444"/>
      <c r="H59" s="444"/>
      <c r="I59" s="444"/>
      <c r="J59" s="441"/>
      <c r="K59" s="471"/>
      <c r="L59" s="446"/>
      <c r="M59" s="446"/>
      <c r="O59" s="401"/>
      <c r="P59" s="401"/>
      <c r="R59" s="401"/>
      <c r="S59" s="401"/>
      <c r="T59" s="401"/>
      <c r="U59" s="401"/>
      <c r="V59" s="401"/>
      <c r="W59" s="401"/>
      <c r="X59" s="401"/>
      <c r="Y59" s="401"/>
      <c r="Z59" s="401"/>
      <c r="AA59" s="401"/>
      <c r="AB59" s="401"/>
    </row>
    <row r="60" spans="1:28" ht="19.95" customHeight="1">
      <c r="A60" s="444"/>
      <c r="B60" s="444" t="s">
        <v>453</v>
      </c>
      <c r="C60" s="444"/>
      <c r="D60" s="441"/>
      <c r="E60" s="444"/>
      <c r="F60" s="445"/>
      <c r="G60" s="444"/>
      <c r="H60" s="444"/>
      <c r="I60" s="444"/>
      <c r="J60" s="441"/>
      <c r="K60" s="471">
        <f>(2*3*0.15)*0.499*1.05*26</f>
        <v>12.260429999999999</v>
      </c>
      <c r="L60" s="471">
        <f>(2*3*0.15)*0.499*1.05*4.3</f>
        <v>2.0276864999999997</v>
      </c>
      <c r="M60" s="446"/>
      <c r="O60" s="401"/>
      <c r="P60" s="401"/>
      <c r="R60" s="401"/>
      <c r="S60" s="401"/>
      <c r="T60" s="401"/>
      <c r="U60" s="401"/>
      <c r="V60" s="401"/>
      <c r="W60" s="401"/>
      <c r="X60" s="401"/>
      <c r="Y60" s="401"/>
      <c r="Z60" s="401"/>
      <c r="AA60" s="401"/>
      <c r="AB60" s="401"/>
    </row>
    <row r="61" spans="1:28" ht="19.95" customHeight="1">
      <c r="A61" s="444"/>
      <c r="B61" s="444" t="s">
        <v>454</v>
      </c>
      <c r="C61" s="444"/>
      <c r="D61" s="441"/>
      <c r="E61" s="444"/>
      <c r="F61" s="445"/>
      <c r="G61" s="444"/>
      <c r="H61" s="444"/>
      <c r="I61" s="444"/>
      <c r="J61" s="441"/>
      <c r="K61" s="583">
        <f>2145*1*1*0.15</f>
        <v>321.75</v>
      </c>
      <c r="L61" s="584">
        <f>327*1*1*0.15</f>
        <v>49.05</v>
      </c>
      <c r="M61" s="446"/>
      <c r="O61" s="401"/>
      <c r="P61" s="401"/>
      <c r="R61" s="401"/>
      <c r="S61" s="401"/>
      <c r="T61" s="401"/>
      <c r="U61" s="401"/>
      <c r="V61" s="401"/>
      <c r="W61" s="401"/>
      <c r="X61" s="401"/>
      <c r="Y61" s="401"/>
      <c r="Z61" s="401"/>
      <c r="AA61" s="401"/>
      <c r="AB61" s="401"/>
    </row>
    <row r="62" spans="1:28" ht="19.95" customHeight="1">
      <c r="A62" s="444"/>
      <c r="B62" s="444" t="s">
        <v>556</v>
      </c>
      <c r="C62" s="444">
        <v>8</v>
      </c>
      <c r="D62" s="441" t="s">
        <v>105</v>
      </c>
      <c r="E62" s="444">
        <v>1500</v>
      </c>
      <c r="F62" s="445">
        <f t="shared" si="45"/>
        <v>12000</v>
      </c>
      <c r="G62" s="444">
        <v>0</v>
      </c>
      <c r="H62" s="444">
        <f t="shared" ref="H62:H70" si="50">ROUND(C62*G62,0)</f>
        <v>0</v>
      </c>
      <c r="I62" s="444">
        <f t="shared" ref="I62:I70" si="51">F62+H62</f>
        <v>12000</v>
      </c>
      <c r="J62" s="482" t="s">
        <v>554</v>
      </c>
      <c r="K62" s="471"/>
      <c r="L62" s="446"/>
      <c r="M62" s="446"/>
      <c r="O62" s="401"/>
      <c r="P62" s="401"/>
      <c r="R62" s="401"/>
      <c r="S62" s="401"/>
      <c r="T62" s="401"/>
      <c r="U62" s="401"/>
      <c r="V62" s="401"/>
      <c r="W62" s="401"/>
      <c r="X62" s="401"/>
      <c r="Y62" s="401"/>
      <c r="Z62" s="401"/>
      <c r="AA62" s="401"/>
      <c r="AB62" s="401"/>
    </row>
    <row r="63" spans="1:28" ht="19.95" customHeight="1">
      <c r="A63" s="444"/>
      <c r="B63" s="444" t="s">
        <v>555</v>
      </c>
      <c r="C63" s="444"/>
      <c r="D63" s="441"/>
      <c r="E63" s="444"/>
      <c r="F63" s="445"/>
      <c r="G63" s="444"/>
      <c r="H63" s="444"/>
      <c r="I63" s="444"/>
      <c r="J63" s="482"/>
      <c r="K63" s="471"/>
      <c r="L63" s="446"/>
      <c r="M63" s="446"/>
      <c r="O63" s="401"/>
      <c r="P63" s="401"/>
      <c r="R63" s="401"/>
      <c r="S63" s="401"/>
      <c r="T63" s="401"/>
      <c r="U63" s="401"/>
      <c r="V63" s="401"/>
      <c r="W63" s="401"/>
      <c r="X63" s="401"/>
      <c r="Y63" s="401"/>
      <c r="Z63" s="401"/>
      <c r="AA63" s="401"/>
      <c r="AB63" s="401"/>
    </row>
    <row r="64" spans="1:28" ht="19.95" customHeight="1">
      <c r="A64" s="444"/>
      <c r="B64" s="444" t="s">
        <v>593</v>
      </c>
      <c r="C64" s="444">
        <v>4</v>
      </c>
      <c r="D64" s="441" t="s">
        <v>105</v>
      </c>
      <c r="E64" s="444">
        <v>1500</v>
      </c>
      <c r="F64" s="445">
        <f t="shared" ref="F64" si="52">C64*E64</f>
        <v>6000</v>
      </c>
      <c r="G64" s="444">
        <v>0</v>
      </c>
      <c r="H64" s="444">
        <f t="shared" ref="H64" si="53">ROUND(C64*G64,0)</f>
        <v>0</v>
      </c>
      <c r="I64" s="444">
        <f t="shared" ref="I64" si="54">F64+H64</f>
        <v>6000</v>
      </c>
      <c r="J64" s="482" t="s">
        <v>554</v>
      </c>
      <c r="K64" s="471"/>
      <c r="L64" s="446"/>
      <c r="M64" s="446"/>
      <c r="O64" s="401"/>
      <c r="P64" s="401"/>
      <c r="R64" s="401"/>
      <c r="S64" s="401"/>
      <c r="T64" s="401"/>
      <c r="U64" s="401"/>
      <c r="V64" s="401"/>
      <c r="W64" s="401"/>
      <c r="X64" s="401"/>
      <c r="Y64" s="401"/>
      <c r="Z64" s="401"/>
      <c r="AA64" s="401"/>
      <c r="AB64" s="401"/>
    </row>
    <row r="65" spans="1:28" ht="19.95" customHeight="1">
      <c r="A65" s="444"/>
      <c r="B65" s="444" t="s">
        <v>560</v>
      </c>
      <c r="C65" s="444"/>
      <c r="D65" s="441"/>
      <c r="E65" s="444"/>
      <c r="F65" s="445"/>
      <c r="G65" s="444"/>
      <c r="H65" s="444"/>
      <c r="I65" s="444"/>
      <c r="J65" s="482"/>
      <c r="K65" s="471"/>
      <c r="L65" s="446"/>
      <c r="M65" s="446"/>
      <c r="O65" s="401"/>
      <c r="P65" s="401"/>
      <c r="R65" s="401"/>
      <c r="S65" s="401"/>
      <c r="T65" s="401"/>
      <c r="U65" s="401"/>
      <c r="V65" s="401"/>
      <c r="W65" s="401"/>
      <c r="X65" s="401"/>
      <c r="Y65" s="401"/>
      <c r="Z65" s="401"/>
      <c r="AA65" s="401"/>
      <c r="AB65" s="401"/>
    </row>
    <row r="66" spans="1:28" ht="19.95" customHeight="1">
      <c r="A66" s="444"/>
      <c r="B66" s="444" t="s">
        <v>594</v>
      </c>
      <c r="C66" s="444">
        <v>8</v>
      </c>
      <c r="D66" s="441" t="s">
        <v>105</v>
      </c>
      <c r="E66" s="444">
        <v>900</v>
      </c>
      <c r="F66" s="445">
        <f t="shared" si="45"/>
        <v>7200</v>
      </c>
      <c r="G66" s="444">
        <v>0</v>
      </c>
      <c r="H66" s="444">
        <f t="shared" si="50"/>
        <v>0</v>
      </c>
      <c r="I66" s="444">
        <f t="shared" si="51"/>
        <v>7200</v>
      </c>
      <c r="J66" s="482" t="s">
        <v>554</v>
      </c>
      <c r="K66" s="471"/>
      <c r="L66" s="446"/>
      <c r="M66" s="446"/>
      <c r="O66" s="401"/>
      <c r="P66" s="401"/>
      <c r="R66" s="401"/>
      <c r="S66" s="401"/>
      <c r="T66" s="401"/>
      <c r="U66" s="401"/>
      <c r="V66" s="401"/>
      <c r="W66" s="401"/>
      <c r="X66" s="401"/>
      <c r="Y66" s="401"/>
      <c r="Z66" s="401"/>
      <c r="AA66" s="401"/>
      <c r="AB66" s="401"/>
    </row>
    <row r="67" spans="1:28" ht="19.95" customHeight="1">
      <c r="A67" s="444"/>
      <c r="B67" s="444" t="s">
        <v>560</v>
      </c>
      <c r="C67" s="444"/>
      <c r="D67" s="441"/>
      <c r="E67" s="444"/>
      <c r="F67" s="445"/>
      <c r="G67" s="444"/>
      <c r="H67" s="444"/>
      <c r="I67" s="444"/>
      <c r="J67" s="482"/>
      <c r="K67" s="471"/>
      <c r="L67" s="446"/>
      <c r="M67" s="446"/>
      <c r="O67" s="401"/>
      <c r="P67" s="401"/>
      <c r="R67" s="401"/>
      <c r="S67" s="401"/>
      <c r="T67" s="401"/>
      <c r="U67" s="401"/>
      <c r="V67" s="401"/>
      <c r="W67" s="401"/>
      <c r="X67" s="401"/>
      <c r="Y67" s="401"/>
      <c r="Z67" s="401"/>
      <c r="AA67" s="401"/>
      <c r="AB67" s="401"/>
    </row>
    <row r="68" spans="1:28" ht="19.95" customHeight="1">
      <c r="A68" s="444"/>
      <c r="B68" s="444" t="s">
        <v>595</v>
      </c>
      <c r="C68" s="444">
        <v>12</v>
      </c>
      <c r="D68" s="441" t="s">
        <v>105</v>
      </c>
      <c r="E68" s="444">
        <v>600</v>
      </c>
      <c r="F68" s="445">
        <f t="shared" ref="F68" si="55">C68*E68</f>
        <v>7200</v>
      </c>
      <c r="G68" s="444">
        <v>0</v>
      </c>
      <c r="H68" s="444">
        <f t="shared" ref="H68" si="56">ROUND(C68*G68,0)</f>
        <v>0</v>
      </c>
      <c r="I68" s="444">
        <f t="shared" ref="I68" si="57">F68+H68</f>
        <v>7200</v>
      </c>
      <c r="J68" s="482" t="s">
        <v>554</v>
      </c>
      <c r="K68" s="471"/>
      <c r="L68" s="446"/>
      <c r="M68" s="446"/>
      <c r="O68" s="401"/>
      <c r="P68" s="401"/>
      <c r="R68" s="401"/>
      <c r="S68" s="401"/>
      <c r="T68" s="401"/>
      <c r="U68" s="401"/>
      <c r="V68" s="401"/>
      <c r="W68" s="401"/>
      <c r="X68" s="401"/>
      <c r="Y68" s="401"/>
      <c r="Z68" s="401"/>
      <c r="AA68" s="401"/>
      <c r="AB68" s="401"/>
    </row>
    <row r="69" spans="1:28" ht="19.95" customHeight="1">
      <c r="A69" s="444"/>
      <c r="B69" s="444" t="s">
        <v>559</v>
      </c>
      <c r="C69" s="444"/>
      <c r="D69" s="441"/>
      <c r="E69" s="444"/>
      <c r="F69" s="445"/>
      <c r="G69" s="444"/>
      <c r="H69" s="444"/>
      <c r="I69" s="444"/>
      <c r="J69" s="482"/>
      <c r="K69" s="471"/>
      <c r="L69" s="446"/>
      <c r="M69" s="446"/>
      <c r="O69" s="401"/>
      <c r="P69" s="401"/>
      <c r="R69" s="401"/>
      <c r="S69" s="401"/>
      <c r="T69" s="401"/>
      <c r="U69" s="401"/>
      <c r="V69" s="401"/>
      <c r="W69" s="401"/>
      <c r="X69" s="401"/>
      <c r="Y69" s="401"/>
      <c r="Z69" s="401"/>
      <c r="AA69" s="401"/>
      <c r="AB69" s="401"/>
    </row>
    <row r="70" spans="1:28" ht="19.95" customHeight="1">
      <c r="A70" s="444"/>
      <c r="B70" s="444" t="s">
        <v>558</v>
      </c>
      <c r="C70" s="444">
        <v>20</v>
      </c>
      <c r="D70" s="441" t="s">
        <v>105</v>
      </c>
      <c r="E70" s="444">
        <v>600</v>
      </c>
      <c r="F70" s="445">
        <f t="shared" si="45"/>
        <v>12000</v>
      </c>
      <c r="G70" s="444">
        <v>0</v>
      </c>
      <c r="H70" s="444">
        <f t="shared" si="50"/>
        <v>0</v>
      </c>
      <c r="I70" s="444">
        <f t="shared" si="51"/>
        <v>12000</v>
      </c>
      <c r="J70" s="482" t="s">
        <v>554</v>
      </c>
      <c r="K70" s="471"/>
      <c r="L70" s="446"/>
      <c r="M70" s="446"/>
      <c r="O70" s="401"/>
      <c r="P70" s="401"/>
      <c r="R70" s="401"/>
      <c r="S70" s="401"/>
      <c r="T70" s="401"/>
      <c r="U70" s="401"/>
      <c r="V70" s="401"/>
      <c r="W70" s="401"/>
      <c r="X70" s="401"/>
      <c r="Y70" s="401"/>
      <c r="Z70" s="401"/>
      <c r="AA70" s="401"/>
      <c r="AB70" s="401"/>
    </row>
    <row r="71" spans="1:28" s="457" customFormat="1" ht="19.95" customHeight="1">
      <c r="A71" s="477"/>
      <c r="B71" s="444" t="s">
        <v>555</v>
      </c>
      <c r="C71" s="477"/>
      <c r="D71" s="479"/>
      <c r="E71" s="477"/>
      <c r="F71" s="478"/>
      <c r="G71" s="477"/>
      <c r="H71" s="477"/>
      <c r="I71" s="477"/>
      <c r="J71" s="482"/>
      <c r="K71" s="481"/>
      <c r="L71" s="455"/>
      <c r="M71" s="455"/>
      <c r="N71" s="456"/>
    </row>
    <row r="72" spans="1:28" ht="19.95" customHeight="1">
      <c r="A72" s="444"/>
      <c r="B72" s="444" t="s">
        <v>557</v>
      </c>
      <c r="C72" s="444">
        <v>8</v>
      </c>
      <c r="D72" s="441" t="s">
        <v>105</v>
      </c>
      <c r="E72" s="444">
        <v>650</v>
      </c>
      <c r="F72" s="445">
        <f t="shared" ref="F72" si="58">C72*E72</f>
        <v>5200</v>
      </c>
      <c r="G72" s="444">
        <v>0</v>
      </c>
      <c r="H72" s="444">
        <f t="shared" ref="H72" si="59">ROUND(C72*G72,0)</f>
        <v>0</v>
      </c>
      <c r="I72" s="444">
        <f t="shared" ref="I72" si="60">F72+H72</f>
        <v>5200</v>
      </c>
      <c r="J72" s="482" t="s">
        <v>554</v>
      </c>
      <c r="K72" s="471"/>
      <c r="L72" s="446"/>
      <c r="M72" s="446"/>
      <c r="O72" s="401"/>
      <c r="P72" s="401"/>
      <c r="R72" s="401"/>
      <c r="S72" s="401"/>
      <c r="T72" s="401"/>
      <c r="U72" s="401"/>
      <c r="V72" s="401"/>
      <c r="W72" s="401"/>
      <c r="X72" s="401"/>
      <c r="Y72" s="401"/>
      <c r="Z72" s="401"/>
      <c r="AA72" s="401"/>
      <c r="AB72" s="401"/>
    </row>
    <row r="73" spans="1:28" ht="19.95" customHeight="1">
      <c r="A73" s="444"/>
      <c r="B73" s="444" t="s">
        <v>555</v>
      </c>
      <c r="C73" s="444"/>
      <c r="D73" s="441"/>
      <c r="E73" s="444"/>
      <c r="F73" s="445"/>
      <c r="G73" s="444"/>
      <c r="H73" s="444"/>
      <c r="I73" s="444"/>
      <c r="J73" s="482"/>
      <c r="K73" s="471"/>
      <c r="L73" s="446"/>
      <c r="M73" s="446"/>
      <c r="O73" s="401"/>
      <c r="P73" s="401"/>
      <c r="R73" s="401"/>
      <c r="S73" s="401"/>
      <c r="T73" s="401"/>
      <c r="U73" s="401"/>
      <c r="V73" s="401"/>
      <c r="W73" s="401"/>
      <c r="X73" s="401"/>
      <c r="Y73" s="401"/>
      <c r="Z73" s="401"/>
      <c r="AA73" s="401"/>
      <c r="AB73" s="401"/>
    </row>
    <row r="74" spans="1:28" ht="19.95" customHeight="1">
      <c r="A74" s="444"/>
      <c r="B74" s="444" t="s">
        <v>480</v>
      </c>
      <c r="C74" s="444">
        <v>4</v>
      </c>
      <c r="D74" s="441" t="s">
        <v>105</v>
      </c>
      <c r="E74" s="444">
        <v>210</v>
      </c>
      <c r="F74" s="445">
        <f t="shared" ref="F74" si="61">C74*E74</f>
        <v>840</v>
      </c>
      <c r="G74" s="444">
        <v>70</v>
      </c>
      <c r="H74" s="444">
        <f t="shared" ref="H74" si="62">ROUND(C74*G74,0)</f>
        <v>280</v>
      </c>
      <c r="I74" s="444">
        <f t="shared" ref="I74" si="63">F74+H74</f>
        <v>1120</v>
      </c>
      <c r="J74" s="475" t="s">
        <v>506</v>
      </c>
      <c r="K74" s="471"/>
      <c r="L74" s="446"/>
      <c r="M74" s="446"/>
      <c r="O74" s="401"/>
      <c r="P74" s="401"/>
      <c r="R74" s="401"/>
      <c r="S74" s="401"/>
      <c r="T74" s="401"/>
      <c r="U74" s="401"/>
      <c r="V74" s="401"/>
      <c r="W74" s="401"/>
      <c r="X74" s="401"/>
      <c r="Y74" s="401"/>
      <c r="Z74" s="401"/>
      <c r="AA74" s="401"/>
      <c r="AB74" s="401"/>
    </row>
    <row r="75" spans="1:28" ht="19.95" customHeight="1">
      <c r="A75" s="444"/>
      <c r="B75" s="444" t="s">
        <v>563</v>
      </c>
      <c r="C75" s="444">
        <v>8</v>
      </c>
      <c r="D75" s="441" t="s">
        <v>295</v>
      </c>
      <c r="E75" s="444">
        <v>4050</v>
      </c>
      <c r="F75" s="445">
        <f t="shared" si="45"/>
        <v>32400</v>
      </c>
      <c r="G75" s="444">
        <v>0</v>
      </c>
      <c r="H75" s="444">
        <f t="shared" ref="H75" si="64">ROUND(C75*G75,0)</f>
        <v>0</v>
      </c>
      <c r="I75" s="444">
        <f t="shared" ref="I75" si="65">F75+H75</f>
        <v>32400</v>
      </c>
      <c r="J75" s="441" t="s">
        <v>569</v>
      </c>
      <c r="K75" s="471"/>
      <c r="L75" s="446"/>
      <c r="M75" s="582">
        <f>SUM(M76:M78)+3190+30</f>
        <v>4017.6074199999998</v>
      </c>
      <c r="O75" s="401"/>
      <c r="P75" s="401"/>
      <c r="R75" s="401"/>
      <c r="S75" s="401"/>
      <c r="T75" s="401"/>
      <c r="U75" s="401"/>
      <c r="V75" s="401"/>
      <c r="W75" s="401"/>
      <c r="X75" s="401"/>
      <c r="Y75" s="401"/>
      <c r="Z75" s="401"/>
      <c r="AA75" s="401"/>
      <c r="AB75" s="401"/>
    </row>
    <row r="76" spans="1:28" ht="19.95" customHeight="1">
      <c r="A76" s="444"/>
      <c r="B76" s="444" t="s">
        <v>453</v>
      </c>
      <c r="C76" s="444"/>
      <c r="D76" s="441"/>
      <c r="E76" s="444"/>
      <c r="F76" s="445"/>
      <c r="G76" s="444"/>
      <c r="H76" s="444"/>
      <c r="I76" s="444"/>
      <c r="J76" s="441"/>
      <c r="K76" s="471">
        <f>((10*0.8*1)+(1*4))*0.499*1.05*26</f>
        <v>163.47239999999999</v>
      </c>
      <c r="L76" s="471">
        <f>((10*0.8*1)+(1*4))*0.499*1.05*4.3</f>
        <v>27.035819999999998</v>
      </c>
      <c r="M76" s="582">
        <f>SUM(K76:L76)</f>
        <v>190.50821999999999</v>
      </c>
      <c r="O76" s="401"/>
      <c r="P76" s="401"/>
      <c r="R76" s="401"/>
      <c r="S76" s="401"/>
      <c r="T76" s="401"/>
      <c r="U76" s="401"/>
      <c r="V76" s="401"/>
      <c r="W76" s="401"/>
      <c r="X76" s="401"/>
      <c r="Y76" s="401"/>
      <c r="Z76" s="401"/>
      <c r="AA76" s="401"/>
      <c r="AB76" s="401"/>
    </row>
    <row r="77" spans="1:28" ht="19.95" customHeight="1">
      <c r="A77" s="444"/>
      <c r="B77" s="444" t="s">
        <v>454</v>
      </c>
      <c r="C77" s="444"/>
      <c r="D77" s="441"/>
      <c r="E77" s="444"/>
      <c r="F77" s="445"/>
      <c r="G77" s="444"/>
      <c r="H77" s="444"/>
      <c r="I77" s="444"/>
      <c r="J77" s="441"/>
      <c r="K77" s="583">
        <f>2145*0.1*1*0.6</f>
        <v>128.69999999999999</v>
      </c>
      <c r="L77" s="584">
        <f>327*0.1*1*0.6</f>
        <v>19.62</v>
      </c>
      <c r="M77" s="582">
        <f>SUM(K77:L77)</f>
        <v>148.32</v>
      </c>
      <c r="O77" s="401"/>
      <c r="P77" s="401"/>
      <c r="R77" s="401"/>
      <c r="S77" s="401"/>
      <c r="T77" s="401"/>
      <c r="U77" s="401"/>
      <c r="V77" s="401"/>
      <c r="W77" s="401"/>
      <c r="X77" s="401"/>
      <c r="Y77" s="401"/>
      <c r="Z77" s="401"/>
      <c r="AA77" s="401"/>
      <c r="AB77" s="401"/>
    </row>
    <row r="78" spans="1:28" s="584" customFormat="1" ht="19.95" customHeight="1">
      <c r="A78" s="585"/>
      <c r="B78" s="586" t="s">
        <v>568</v>
      </c>
      <c r="C78" s="444"/>
      <c r="D78" s="441"/>
      <c r="E78" s="444"/>
      <c r="F78" s="445"/>
      <c r="G78" s="444"/>
      <c r="H78" s="444"/>
      <c r="I78" s="444"/>
      <c r="J78" s="441"/>
      <c r="K78" s="583">
        <f>1*0.6*686*0.912</f>
        <v>375.37919999999997</v>
      </c>
      <c r="L78" s="583">
        <f>1*0.6*139</f>
        <v>83.399999999999991</v>
      </c>
      <c r="M78" s="582">
        <f>SUM(K78:L78)</f>
        <v>458.77919999999995</v>
      </c>
    </row>
    <row r="79" spans="1:28" ht="19.05" customHeight="1">
      <c r="A79" s="444"/>
      <c r="B79" s="444" t="s">
        <v>564</v>
      </c>
      <c r="C79" s="444">
        <v>24</v>
      </c>
      <c r="D79" s="441" t="s">
        <v>25</v>
      </c>
      <c r="E79" s="444">
        <v>864</v>
      </c>
      <c r="F79" s="444">
        <f t="shared" ref="F79" si="66">ROUND(C79*E79,0)</f>
        <v>20736</v>
      </c>
      <c r="G79" s="444">
        <v>115</v>
      </c>
      <c r="H79" s="444">
        <f t="shared" ref="H79" si="67">ROUND(C79*G79,0)</f>
        <v>2760</v>
      </c>
      <c r="I79" s="444">
        <f t="shared" si="47"/>
        <v>23496</v>
      </c>
      <c r="J79" s="475" t="s">
        <v>506</v>
      </c>
      <c r="K79" s="471">
        <v>735</v>
      </c>
      <c r="L79" s="446">
        <v>129</v>
      </c>
      <c r="M79" s="446"/>
      <c r="O79" s="401"/>
      <c r="P79" s="401"/>
      <c r="R79" s="401"/>
      <c r="S79" s="401"/>
      <c r="T79" s="401"/>
      <c r="U79" s="401"/>
      <c r="V79" s="401"/>
      <c r="W79" s="401"/>
      <c r="X79" s="401"/>
      <c r="Y79" s="401"/>
      <c r="Z79" s="401"/>
      <c r="AA79" s="401"/>
      <c r="AB79" s="401"/>
    </row>
    <row r="80" spans="1:28" ht="19.05" customHeight="1">
      <c r="A80" s="444"/>
      <c r="B80" s="444" t="s">
        <v>565</v>
      </c>
      <c r="C80" s="444"/>
      <c r="D80" s="441"/>
      <c r="E80" s="444"/>
      <c r="F80" s="444"/>
      <c r="G80" s="444"/>
      <c r="H80" s="444"/>
      <c r="I80" s="444"/>
      <c r="J80" s="441"/>
      <c r="K80" s="471"/>
      <c r="L80" s="446"/>
      <c r="M80" s="446"/>
      <c r="O80" s="401"/>
      <c r="P80" s="401"/>
      <c r="R80" s="401"/>
      <c r="S80" s="401"/>
      <c r="T80" s="401"/>
      <c r="U80" s="401"/>
      <c r="V80" s="401"/>
      <c r="W80" s="401"/>
      <c r="X80" s="401"/>
      <c r="Y80" s="401"/>
      <c r="Z80" s="401"/>
      <c r="AA80" s="401"/>
      <c r="AB80" s="401"/>
    </row>
    <row r="81" spans="1:28" ht="19.05" customHeight="1">
      <c r="A81" s="469"/>
      <c r="B81" s="469" t="s">
        <v>566</v>
      </c>
      <c r="C81" s="469">
        <v>8</v>
      </c>
      <c r="D81" s="470" t="s">
        <v>25</v>
      </c>
      <c r="E81" s="469">
        <v>160</v>
      </c>
      <c r="F81" s="469">
        <f t="shared" si="20"/>
        <v>1280</v>
      </c>
      <c r="G81" s="469">
        <v>90</v>
      </c>
      <c r="H81" s="469">
        <f t="shared" si="21"/>
        <v>720</v>
      </c>
      <c r="I81" s="469">
        <f t="shared" si="22"/>
        <v>2000</v>
      </c>
      <c r="J81" s="475" t="s">
        <v>506</v>
      </c>
      <c r="K81" s="471"/>
      <c r="L81" s="446"/>
      <c r="M81" s="446"/>
      <c r="O81" s="401"/>
      <c r="P81" s="401"/>
      <c r="R81" s="401"/>
      <c r="S81" s="401"/>
      <c r="T81" s="401"/>
      <c r="U81" s="401"/>
      <c r="V81" s="401"/>
      <c r="W81" s="401"/>
      <c r="X81" s="401"/>
      <c r="Y81" s="401"/>
      <c r="Z81" s="401"/>
      <c r="AA81" s="401"/>
      <c r="AB81" s="401"/>
    </row>
    <row r="82" spans="1:28" ht="19.05" customHeight="1">
      <c r="A82" s="444"/>
      <c r="B82" s="444" t="s">
        <v>440</v>
      </c>
      <c r="C82" s="444"/>
      <c r="D82" s="441"/>
      <c r="E82" s="444"/>
      <c r="F82" s="444"/>
      <c r="G82" s="444"/>
      <c r="H82" s="444"/>
      <c r="I82" s="444"/>
      <c r="J82" s="441"/>
      <c r="K82" s="471"/>
      <c r="L82" s="471"/>
      <c r="M82" s="446"/>
      <c r="O82" s="401"/>
      <c r="P82" s="401"/>
      <c r="R82" s="401"/>
      <c r="S82" s="401"/>
      <c r="T82" s="401"/>
      <c r="U82" s="401"/>
      <c r="V82" s="401"/>
      <c r="W82" s="401"/>
      <c r="X82" s="401"/>
      <c r="Y82" s="401"/>
      <c r="Z82" s="401"/>
      <c r="AA82" s="401"/>
      <c r="AB82" s="401"/>
    </row>
    <row r="83" spans="1:28" ht="19.05" customHeight="1">
      <c r="A83" s="444"/>
      <c r="B83" s="444" t="s">
        <v>584</v>
      </c>
      <c r="C83" s="444">
        <v>32</v>
      </c>
      <c r="D83" s="441" t="s">
        <v>105</v>
      </c>
      <c r="E83" s="444">
        <v>218</v>
      </c>
      <c r="F83" s="444">
        <f t="shared" ref="F83" si="68">ROUND(C83*E83,0)</f>
        <v>6976</v>
      </c>
      <c r="G83" s="444">
        <v>205</v>
      </c>
      <c r="H83" s="444">
        <f t="shared" ref="H83" si="69">ROUND(C83*G83,0)</f>
        <v>6560</v>
      </c>
      <c r="I83" s="444">
        <f t="shared" ref="I83" si="70">F83+H83</f>
        <v>13536</v>
      </c>
      <c r="J83" s="482" t="s">
        <v>506</v>
      </c>
      <c r="K83" s="471" t="s">
        <v>567</v>
      </c>
      <c r="L83" s="446"/>
      <c r="M83" s="446"/>
      <c r="O83" s="401"/>
      <c r="P83" s="401"/>
      <c r="R83" s="401"/>
      <c r="S83" s="401"/>
      <c r="T83" s="401"/>
      <c r="U83" s="401"/>
      <c r="V83" s="401"/>
      <c r="W83" s="401"/>
      <c r="X83" s="401"/>
      <c r="Y83" s="401"/>
      <c r="Z83" s="401"/>
      <c r="AA83" s="401"/>
      <c r="AB83" s="401"/>
    </row>
    <row r="84" spans="1:28" ht="19.05" customHeight="1">
      <c r="A84" s="444"/>
      <c r="B84" s="444" t="s">
        <v>583</v>
      </c>
      <c r="C84" s="444"/>
      <c r="D84" s="441"/>
      <c r="E84" s="444"/>
      <c r="F84" s="444"/>
      <c r="G84" s="444"/>
      <c r="H84" s="444"/>
      <c r="I84" s="444"/>
      <c r="J84" s="441"/>
      <c r="K84" s="471">
        <f>(1450/100)*15</f>
        <v>217.5</v>
      </c>
      <c r="L84" s="581">
        <f>(1094/80)*15</f>
        <v>205.125</v>
      </c>
      <c r="M84" s="582"/>
      <c r="O84" s="401"/>
      <c r="P84" s="401"/>
      <c r="R84" s="401"/>
      <c r="S84" s="401"/>
      <c r="T84" s="401"/>
      <c r="U84" s="401"/>
      <c r="V84" s="401"/>
      <c r="W84" s="401"/>
      <c r="X84" s="401"/>
      <c r="Y84" s="401"/>
      <c r="Z84" s="401"/>
      <c r="AA84" s="401"/>
      <c r="AB84" s="401"/>
    </row>
    <row r="85" spans="1:28" ht="19.05" customHeight="1">
      <c r="A85" s="444"/>
      <c r="B85" s="444" t="s">
        <v>447</v>
      </c>
      <c r="C85" s="444">
        <v>4</v>
      </c>
      <c r="D85" s="441" t="s">
        <v>434</v>
      </c>
      <c r="E85" s="444">
        <v>4910</v>
      </c>
      <c r="F85" s="444">
        <f t="shared" ref="F85:F90" si="71">ROUND(C85*E85,0)</f>
        <v>19640</v>
      </c>
      <c r="G85" s="444">
        <v>450</v>
      </c>
      <c r="H85" s="444">
        <f t="shared" ref="H85" si="72">ROUND(C85*G85,0)</f>
        <v>1800</v>
      </c>
      <c r="I85" s="444">
        <f t="shared" ref="I85" si="73">F85+H85</f>
        <v>21440</v>
      </c>
      <c r="J85" s="587" t="s">
        <v>572</v>
      </c>
      <c r="K85" s="583">
        <f>0.7*2*2300</f>
        <v>3220</v>
      </c>
      <c r="L85" s="583">
        <f>(205*2)+(90*2)+1100</f>
        <v>1690</v>
      </c>
      <c r="M85" s="446"/>
      <c r="O85" s="401"/>
      <c r="P85" s="401"/>
      <c r="R85" s="401"/>
      <c r="S85" s="401"/>
      <c r="T85" s="401"/>
      <c r="U85" s="401"/>
      <c r="V85" s="401"/>
      <c r="W85" s="401"/>
      <c r="X85" s="401"/>
      <c r="Y85" s="401"/>
      <c r="Z85" s="401"/>
      <c r="AA85" s="401"/>
      <c r="AB85" s="401"/>
    </row>
    <row r="86" spans="1:28" ht="19.05" customHeight="1">
      <c r="A86" s="444"/>
      <c r="B86" s="444" t="s">
        <v>476</v>
      </c>
      <c r="C86" s="444">
        <v>6</v>
      </c>
      <c r="D86" s="441" t="s">
        <v>434</v>
      </c>
      <c r="E86" s="444">
        <v>1300</v>
      </c>
      <c r="F86" s="444">
        <f t="shared" ref="F86" si="74">ROUND(C86*E86,0)</f>
        <v>7800</v>
      </c>
      <c r="G86" s="444">
        <v>275</v>
      </c>
      <c r="H86" s="444">
        <f t="shared" ref="H86" si="75">ROUND(C86*G86,0)</f>
        <v>1650</v>
      </c>
      <c r="I86" s="444">
        <f t="shared" ref="I86" si="76">F86+H86</f>
        <v>9450</v>
      </c>
      <c r="J86" s="587" t="s">
        <v>572</v>
      </c>
      <c r="K86" s="583">
        <f>0.55*0.4*2300</f>
        <v>506.00000000000006</v>
      </c>
      <c r="L86" s="583">
        <f>(205)+(90)+500</f>
        <v>795</v>
      </c>
      <c r="M86" s="446"/>
      <c r="O86" s="401"/>
      <c r="P86" s="401"/>
      <c r="R86" s="401"/>
      <c r="S86" s="401"/>
      <c r="T86" s="401"/>
      <c r="U86" s="401"/>
      <c r="V86" s="401"/>
      <c r="W86" s="401"/>
      <c r="X86" s="401"/>
      <c r="Y86" s="401"/>
      <c r="Z86" s="401"/>
      <c r="AA86" s="401"/>
      <c r="AB86" s="401"/>
    </row>
    <row r="87" spans="1:28" ht="19.05" customHeight="1">
      <c r="A87" s="444"/>
      <c r="B87" s="444" t="s">
        <v>571</v>
      </c>
      <c r="C87" s="444">
        <v>8</v>
      </c>
      <c r="D87" s="441" t="s">
        <v>448</v>
      </c>
      <c r="E87" s="444">
        <v>11200</v>
      </c>
      <c r="F87" s="444">
        <f t="shared" si="71"/>
        <v>89600</v>
      </c>
      <c r="G87" s="444">
        <v>800</v>
      </c>
      <c r="H87" s="444">
        <f t="shared" ref="H87" si="77">ROUND(C87*G87,0)</f>
        <v>6400</v>
      </c>
      <c r="I87" s="444">
        <f t="shared" ref="I87" si="78">F87+H87</f>
        <v>96000</v>
      </c>
      <c r="J87" s="482" t="s">
        <v>577</v>
      </c>
      <c r="K87" s="583"/>
      <c r="L87" s="584"/>
      <c r="M87" s="580"/>
      <c r="O87" s="401"/>
      <c r="P87" s="401"/>
      <c r="R87" s="401"/>
      <c r="S87" s="401"/>
      <c r="T87" s="401"/>
      <c r="U87" s="401"/>
      <c r="V87" s="401"/>
      <c r="W87" s="401"/>
      <c r="X87" s="401"/>
      <c r="Y87" s="401"/>
      <c r="Z87" s="401"/>
      <c r="AA87" s="401"/>
      <c r="AB87" s="401"/>
    </row>
    <row r="88" spans="1:28" ht="19.05" customHeight="1">
      <c r="A88" s="444"/>
      <c r="B88" s="444" t="s">
        <v>570</v>
      </c>
      <c r="C88" s="444"/>
      <c r="D88" s="441"/>
      <c r="E88" s="444"/>
      <c r="F88" s="444"/>
      <c r="G88" s="444"/>
      <c r="H88" s="444"/>
      <c r="I88" s="444"/>
      <c r="J88" s="441"/>
      <c r="K88" s="583"/>
      <c r="L88" s="584"/>
      <c r="M88" s="580"/>
      <c r="O88" s="401"/>
      <c r="P88" s="401"/>
      <c r="R88" s="401"/>
      <c r="S88" s="401"/>
      <c r="T88" s="401"/>
      <c r="U88" s="401"/>
      <c r="V88" s="401"/>
      <c r="W88" s="401"/>
      <c r="X88" s="401"/>
      <c r="Y88" s="401"/>
      <c r="Z88" s="401"/>
      <c r="AA88" s="401"/>
      <c r="AB88" s="401"/>
    </row>
    <row r="89" spans="1:28" ht="19.05" customHeight="1">
      <c r="A89" s="444"/>
      <c r="B89" s="444" t="s">
        <v>580</v>
      </c>
      <c r="C89" s="444"/>
      <c r="D89" s="441"/>
      <c r="E89" s="444"/>
      <c r="F89" s="444"/>
      <c r="G89" s="444"/>
      <c r="H89" s="444"/>
      <c r="I89" s="444"/>
      <c r="J89" s="441"/>
      <c r="K89" s="583"/>
      <c r="L89" s="584"/>
      <c r="M89" s="580"/>
      <c r="O89" s="401"/>
      <c r="P89" s="401"/>
      <c r="R89" s="401"/>
      <c r="S89" s="401"/>
      <c r="T89" s="401"/>
      <c r="U89" s="401"/>
      <c r="V89" s="401"/>
      <c r="W89" s="401"/>
      <c r="X89" s="401"/>
      <c r="Y89" s="401"/>
      <c r="Z89" s="401"/>
      <c r="AA89" s="401"/>
      <c r="AB89" s="401"/>
    </row>
    <row r="90" spans="1:28" ht="19.05" customHeight="1">
      <c r="A90" s="444"/>
      <c r="B90" s="444" t="s">
        <v>573</v>
      </c>
      <c r="C90" s="444">
        <v>8</v>
      </c>
      <c r="D90" s="441" t="s">
        <v>25</v>
      </c>
      <c r="E90" s="444">
        <v>4650</v>
      </c>
      <c r="F90" s="444">
        <f t="shared" si="71"/>
        <v>37200</v>
      </c>
      <c r="G90" s="444">
        <v>450</v>
      </c>
      <c r="H90" s="444">
        <f t="shared" ref="H90" si="79">ROUND(C90*G90,0)</f>
        <v>3600</v>
      </c>
      <c r="I90" s="444">
        <f t="shared" ref="I90" si="80">F90+H90</f>
        <v>40800</v>
      </c>
      <c r="J90" s="482" t="s">
        <v>506</v>
      </c>
      <c r="K90" s="471">
        <v>4650</v>
      </c>
      <c r="L90" s="446">
        <v>3600</v>
      </c>
      <c r="M90" s="446">
        <v>5130</v>
      </c>
      <c r="O90" s="401"/>
      <c r="P90" s="401"/>
      <c r="R90" s="401"/>
      <c r="S90" s="401"/>
      <c r="T90" s="401"/>
      <c r="U90" s="401"/>
      <c r="V90" s="401"/>
      <c r="W90" s="401"/>
      <c r="X90" s="401"/>
      <c r="Y90" s="401"/>
      <c r="Z90" s="401"/>
      <c r="AA90" s="401"/>
      <c r="AB90" s="401"/>
    </row>
    <row r="91" spans="1:28" ht="19.05" customHeight="1">
      <c r="A91" s="444"/>
      <c r="B91" s="444" t="s">
        <v>574</v>
      </c>
      <c r="C91" s="444"/>
      <c r="D91" s="441"/>
      <c r="E91" s="444"/>
      <c r="F91" s="444"/>
      <c r="G91" s="444"/>
      <c r="H91" s="444"/>
      <c r="I91" s="444"/>
      <c r="J91" s="482"/>
      <c r="K91" s="471"/>
      <c r="L91" s="446"/>
      <c r="M91" s="446"/>
      <c r="O91" s="401"/>
      <c r="P91" s="401"/>
      <c r="R91" s="401"/>
      <c r="S91" s="401"/>
      <c r="T91" s="401"/>
      <c r="U91" s="401"/>
      <c r="V91" s="401"/>
      <c r="W91" s="401"/>
      <c r="X91" s="401"/>
      <c r="Y91" s="401"/>
      <c r="Z91" s="401"/>
      <c r="AA91" s="401"/>
      <c r="AB91" s="401"/>
    </row>
    <row r="92" spans="1:28" ht="19.05" customHeight="1">
      <c r="A92" s="444"/>
      <c r="B92" s="444" t="s">
        <v>575</v>
      </c>
      <c r="C92" s="444">
        <v>8</v>
      </c>
      <c r="D92" s="441" t="s">
        <v>441</v>
      </c>
      <c r="E92" s="444">
        <v>340</v>
      </c>
      <c r="F92" s="444">
        <f t="shared" ref="F92:F102" si="81">ROUND(C92*E92,0)</f>
        <v>2720</v>
      </c>
      <c r="G92" s="444">
        <v>35</v>
      </c>
      <c r="H92" s="444">
        <f t="shared" ref="H92:H95" si="82">ROUND(C92*G92,0)</f>
        <v>280</v>
      </c>
      <c r="I92" s="444">
        <f t="shared" ref="I92:I109" si="83">F92+H92</f>
        <v>3000</v>
      </c>
      <c r="J92" s="482" t="s">
        <v>506</v>
      </c>
      <c r="K92" s="471"/>
      <c r="L92" s="446"/>
      <c r="M92" s="588"/>
      <c r="O92" s="401"/>
      <c r="P92" s="401"/>
      <c r="R92" s="401"/>
      <c r="S92" s="401"/>
      <c r="T92" s="401"/>
      <c r="U92" s="401"/>
      <c r="V92" s="401"/>
      <c r="W92" s="401"/>
      <c r="X92" s="401"/>
      <c r="Y92" s="401"/>
      <c r="Z92" s="401"/>
      <c r="AA92" s="401"/>
      <c r="AB92" s="401"/>
    </row>
    <row r="93" spans="1:28" ht="19.05" customHeight="1">
      <c r="A93" s="444"/>
      <c r="B93" s="444" t="s">
        <v>576</v>
      </c>
      <c r="C93" s="444"/>
      <c r="D93" s="441"/>
      <c r="E93" s="444"/>
      <c r="F93" s="444"/>
      <c r="G93" s="444"/>
      <c r="H93" s="444"/>
      <c r="I93" s="444"/>
      <c r="J93" s="441"/>
      <c r="K93" s="471"/>
      <c r="L93" s="446"/>
      <c r="M93" s="588"/>
      <c r="O93" s="401"/>
      <c r="P93" s="401"/>
      <c r="R93" s="401"/>
      <c r="S93" s="401"/>
      <c r="T93" s="401"/>
      <c r="U93" s="401"/>
      <c r="V93" s="401"/>
      <c r="W93" s="401"/>
      <c r="X93" s="401"/>
      <c r="Y93" s="401"/>
      <c r="Z93" s="401"/>
      <c r="AA93" s="401"/>
      <c r="AB93" s="401"/>
    </row>
    <row r="94" spans="1:28" ht="19.05" customHeight="1">
      <c r="A94" s="444"/>
      <c r="B94" s="444" t="s">
        <v>442</v>
      </c>
      <c r="C94" s="444">
        <v>8</v>
      </c>
      <c r="D94" s="441" t="s">
        <v>25</v>
      </c>
      <c r="E94" s="444">
        <v>670</v>
      </c>
      <c r="F94" s="444">
        <f t="shared" si="81"/>
        <v>5360</v>
      </c>
      <c r="G94" s="444">
        <v>70</v>
      </c>
      <c r="H94" s="444">
        <f t="shared" si="82"/>
        <v>560</v>
      </c>
      <c r="I94" s="444">
        <f t="shared" si="83"/>
        <v>5920</v>
      </c>
      <c r="J94" s="482" t="s">
        <v>506</v>
      </c>
      <c r="K94" s="471"/>
      <c r="L94" s="446"/>
      <c r="M94" s="446"/>
      <c r="O94" s="401"/>
      <c r="P94" s="401"/>
      <c r="R94" s="401"/>
      <c r="S94" s="401"/>
      <c r="T94" s="401"/>
      <c r="U94" s="401"/>
      <c r="V94" s="401"/>
      <c r="W94" s="401"/>
      <c r="X94" s="401"/>
      <c r="Y94" s="401"/>
      <c r="Z94" s="401"/>
      <c r="AA94" s="401"/>
      <c r="AB94" s="401"/>
    </row>
    <row r="95" spans="1:28" ht="19.05" customHeight="1">
      <c r="A95" s="444"/>
      <c r="B95" s="444" t="s">
        <v>449</v>
      </c>
      <c r="C95" s="444">
        <v>4</v>
      </c>
      <c r="D95" s="441" t="s">
        <v>25</v>
      </c>
      <c r="E95" s="444">
        <v>25980</v>
      </c>
      <c r="F95" s="444">
        <f t="shared" si="81"/>
        <v>103920</v>
      </c>
      <c r="G95" s="444">
        <v>450</v>
      </c>
      <c r="H95" s="444">
        <f t="shared" si="82"/>
        <v>1800</v>
      </c>
      <c r="I95" s="444">
        <f t="shared" si="83"/>
        <v>105720</v>
      </c>
      <c r="J95" s="482" t="s">
        <v>506</v>
      </c>
      <c r="K95" s="471">
        <v>29500</v>
      </c>
      <c r="L95" s="446">
        <v>25980</v>
      </c>
      <c r="M95" s="446">
        <v>24990</v>
      </c>
      <c r="O95" s="401"/>
      <c r="P95" s="401"/>
      <c r="R95" s="401"/>
      <c r="S95" s="401"/>
      <c r="T95" s="401"/>
      <c r="U95" s="401"/>
      <c r="V95" s="401"/>
      <c r="W95" s="401"/>
      <c r="X95" s="401"/>
      <c r="Y95" s="401"/>
      <c r="Z95" s="401"/>
      <c r="AA95" s="401"/>
      <c r="AB95" s="401"/>
    </row>
    <row r="96" spans="1:28" ht="19.05" customHeight="1">
      <c r="A96" s="444"/>
      <c r="B96" s="444" t="s">
        <v>450</v>
      </c>
      <c r="C96" s="444"/>
      <c r="D96" s="441"/>
      <c r="E96" s="444"/>
      <c r="F96" s="444"/>
      <c r="G96" s="444"/>
      <c r="H96" s="444"/>
      <c r="I96" s="444"/>
      <c r="J96" s="441"/>
      <c r="K96" s="471"/>
      <c r="L96" s="446"/>
      <c r="M96" s="446"/>
      <c r="O96" s="401"/>
      <c r="P96" s="401"/>
      <c r="R96" s="401"/>
      <c r="S96" s="401"/>
      <c r="T96" s="401"/>
      <c r="U96" s="401"/>
      <c r="V96" s="401"/>
      <c r="W96" s="401"/>
      <c r="X96" s="401"/>
      <c r="Y96" s="401"/>
      <c r="Z96" s="401"/>
      <c r="AA96" s="401"/>
      <c r="AB96" s="401"/>
    </row>
    <row r="97" spans="1:28" ht="19.05" customHeight="1">
      <c r="A97" s="444"/>
      <c r="B97" s="444" t="s">
        <v>578</v>
      </c>
      <c r="C97" s="444">
        <v>6</v>
      </c>
      <c r="D97" s="441" t="s">
        <v>25</v>
      </c>
      <c r="E97" s="444">
        <v>6890</v>
      </c>
      <c r="F97" s="444">
        <f t="shared" si="81"/>
        <v>41340</v>
      </c>
      <c r="G97" s="444">
        <v>450</v>
      </c>
      <c r="H97" s="444">
        <f t="shared" ref="H97:H102" si="84">ROUND(C97*G97,0)</f>
        <v>2700</v>
      </c>
      <c r="I97" s="444">
        <f t="shared" ref="I97:I102" si="85">F97+H97</f>
        <v>44040</v>
      </c>
      <c r="J97" s="482" t="s">
        <v>506</v>
      </c>
      <c r="K97" s="471">
        <v>5590</v>
      </c>
      <c r="L97" s="446">
        <v>6890</v>
      </c>
      <c r="M97" s="446">
        <v>7890</v>
      </c>
      <c r="O97" s="401"/>
      <c r="P97" s="401"/>
      <c r="R97" s="401"/>
      <c r="S97" s="401"/>
      <c r="T97" s="401"/>
      <c r="U97" s="401"/>
      <c r="V97" s="401"/>
      <c r="W97" s="401"/>
      <c r="X97" s="401"/>
      <c r="Y97" s="401"/>
      <c r="Z97" s="401"/>
      <c r="AA97" s="401"/>
      <c r="AB97" s="401"/>
    </row>
    <row r="98" spans="1:28" ht="19.05" customHeight="1">
      <c r="A98" s="444"/>
      <c r="B98" s="444" t="s">
        <v>581</v>
      </c>
      <c r="C98" s="444"/>
      <c r="D98" s="441"/>
      <c r="E98" s="444"/>
      <c r="F98" s="444"/>
      <c r="G98" s="444"/>
      <c r="H98" s="444"/>
      <c r="I98" s="444"/>
      <c r="J98" s="441"/>
      <c r="K98" s="471"/>
      <c r="L98" s="446"/>
      <c r="M98" s="446"/>
      <c r="O98" s="401"/>
      <c r="P98" s="401"/>
      <c r="R98" s="401"/>
      <c r="S98" s="401"/>
      <c r="T98" s="401"/>
      <c r="U98" s="401"/>
      <c r="V98" s="401"/>
      <c r="W98" s="401"/>
      <c r="X98" s="401"/>
      <c r="Y98" s="401"/>
      <c r="Z98" s="401"/>
      <c r="AA98" s="401"/>
      <c r="AB98" s="401"/>
    </row>
    <row r="99" spans="1:28" ht="19.05" customHeight="1">
      <c r="A99" s="444"/>
      <c r="B99" s="444" t="s">
        <v>579</v>
      </c>
      <c r="C99" s="444">
        <v>2</v>
      </c>
      <c r="D99" s="441" t="s">
        <v>25</v>
      </c>
      <c r="E99" s="444">
        <v>3150</v>
      </c>
      <c r="F99" s="444">
        <f t="shared" ref="F99" si="86">ROUND(C99*E99,0)</f>
        <v>6300</v>
      </c>
      <c r="G99" s="444">
        <v>450</v>
      </c>
      <c r="H99" s="444">
        <f t="shared" ref="H99" si="87">ROUND(C99*G99,0)</f>
        <v>900</v>
      </c>
      <c r="I99" s="444">
        <f t="shared" ref="I99" si="88">F99+H99</f>
        <v>7200</v>
      </c>
      <c r="J99" s="482" t="s">
        <v>506</v>
      </c>
      <c r="K99" s="471">
        <v>3150</v>
      </c>
      <c r="L99" s="446">
        <v>3960</v>
      </c>
      <c r="M99" s="446">
        <v>2650</v>
      </c>
      <c r="O99" s="401"/>
      <c r="P99" s="401"/>
      <c r="R99" s="401"/>
      <c r="S99" s="401"/>
      <c r="T99" s="401"/>
      <c r="U99" s="401"/>
      <c r="V99" s="401"/>
      <c r="W99" s="401"/>
      <c r="X99" s="401"/>
      <c r="Y99" s="401"/>
      <c r="Z99" s="401"/>
      <c r="AA99" s="401"/>
      <c r="AB99" s="401"/>
    </row>
    <row r="100" spans="1:28" ht="19.05" customHeight="1">
      <c r="A100" s="460"/>
      <c r="B100" s="444" t="s">
        <v>581</v>
      </c>
      <c r="C100" s="460"/>
      <c r="D100" s="441"/>
      <c r="E100" s="460"/>
      <c r="F100" s="444"/>
      <c r="G100" s="460"/>
      <c r="H100" s="444"/>
      <c r="I100" s="444"/>
      <c r="J100" s="462"/>
      <c r="K100" s="471"/>
      <c r="L100" s="446"/>
      <c r="M100" s="446"/>
      <c r="O100" s="401"/>
      <c r="P100" s="401"/>
      <c r="R100" s="401"/>
      <c r="S100" s="401"/>
      <c r="T100" s="401"/>
      <c r="U100" s="401"/>
      <c r="V100" s="401"/>
      <c r="W100" s="401"/>
      <c r="X100" s="401"/>
      <c r="Y100" s="401"/>
      <c r="Z100" s="401"/>
      <c r="AA100" s="401"/>
      <c r="AB100" s="401"/>
    </row>
    <row r="101" spans="1:28" ht="19.05" customHeight="1">
      <c r="A101" s="460"/>
      <c r="B101" s="460" t="s">
        <v>452</v>
      </c>
      <c r="C101" s="460">
        <v>8</v>
      </c>
      <c r="D101" s="441" t="s">
        <v>25</v>
      </c>
      <c r="E101" s="460">
        <v>6150</v>
      </c>
      <c r="F101" s="444">
        <f t="shared" si="81"/>
        <v>49200</v>
      </c>
      <c r="G101" s="460">
        <v>70</v>
      </c>
      <c r="H101" s="444">
        <f t="shared" ref="H101" si="89">ROUND(C101*G101,0)</f>
        <v>560</v>
      </c>
      <c r="I101" s="444">
        <f t="shared" ref="I101" si="90">F101+H101</f>
        <v>49760</v>
      </c>
      <c r="J101" s="482" t="s">
        <v>506</v>
      </c>
      <c r="K101" s="471">
        <v>8890</v>
      </c>
      <c r="L101" s="446">
        <v>5460</v>
      </c>
      <c r="M101" s="446">
        <v>6150</v>
      </c>
      <c r="O101" s="401"/>
      <c r="P101" s="401"/>
      <c r="R101" s="401"/>
      <c r="S101" s="401"/>
      <c r="T101" s="401"/>
      <c r="U101" s="401"/>
      <c r="V101" s="401"/>
      <c r="W101" s="401"/>
      <c r="X101" s="401"/>
      <c r="Y101" s="401"/>
      <c r="Z101" s="401"/>
      <c r="AA101" s="401"/>
      <c r="AB101" s="401"/>
    </row>
    <row r="102" spans="1:28" ht="19.05" customHeight="1">
      <c r="A102" s="460"/>
      <c r="B102" s="460" t="s">
        <v>585</v>
      </c>
      <c r="C102" s="460">
        <v>8</v>
      </c>
      <c r="D102" s="441" t="s">
        <v>25</v>
      </c>
      <c r="E102" s="460">
        <v>2300</v>
      </c>
      <c r="F102" s="444">
        <f t="shared" si="81"/>
        <v>18400</v>
      </c>
      <c r="G102" s="460">
        <v>70</v>
      </c>
      <c r="H102" s="444">
        <f t="shared" si="84"/>
        <v>560</v>
      </c>
      <c r="I102" s="444">
        <f t="shared" si="85"/>
        <v>18960</v>
      </c>
      <c r="J102" s="441" t="s">
        <v>569</v>
      </c>
      <c r="K102" s="471">
        <f>770/(0.45*0.6)</f>
        <v>2851.8518518518517</v>
      </c>
      <c r="L102" s="471">
        <f>1150/(0.6*0.8)</f>
        <v>2395.8333333333335</v>
      </c>
      <c r="M102" s="589">
        <f>0.6*1.6*2396</f>
        <v>2300.16</v>
      </c>
      <c r="O102" s="401"/>
      <c r="P102" s="401"/>
      <c r="R102" s="401"/>
      <c r="S102" s="401"/>
      <c r="T102" s="401"/>
      <c r="U102" s="401"/>
      <c r="V102" s="401"/>
      <c r="W102" s="401"/>
      <c r="X102" s="401"/>
      <c r="Y102" s="401"/>
      <c r="Z102" s="401"/>
      <c r="AA102" s="401"/>
      <c r="AB102" s="401"/>
    </row>
    <row r="103" spans="1:28" ht="19.05" customHeight="1">
      <c r="A103" s="460"/>
      <c r="B103" s="460" t="s">
        <v>586</v>
      </c>
      <c r="C103" s="460"/>
      <c r="D103" s="441"/>
      <c r="E103" s="460"/>
      <c r="F103" s="444"/>
      <c r="G103" s="460"/>
      <c r="H103" s="444"/>
      <c r="I103" s="444"/>
      <c r="J103" s="462"/>
      <c r="K103" s="580"/>
      <c r="L103" s="446"/>
      <c r="M103" s="446"/>
      <c r="O103" s="401"/>
      <c r="P103" s="401"/>
      <c r="R103" s="401"/>
      <c r="S103" s="401"/>
      <c r="T103" s="401"/>
      <c r="U103" s="401"/>
      <c r="V103" s="401"/>
      <c r="W103" s="401"/>
      <c r="X103" s="401"/>
      <c r="Y103" s="401"/>
      <c r="Z103" s="401"/>
      <c r="AA103" s="401"/>
      <c r="AB103" s="401"/>
    </row>
    <row r="104" spans="1:28" ht="19.05" customHeight="1">
      <c r="A104" s="460"/>
      <c r="B104" s="460" t="s">
        <v>585</v>
      </c>
      <c r="C104" s="460">
        <v>8</v>
      </c>
      <c r="D104" s="441" t="s">
        <v>25</v>
      </c>
      <c r="E104" s="460">
        <v>1760</v>
      </c>
      <c r="F104" s="444">
        <f t="shared" ref="F104:F108" si="91">ROUND(C104*E104,0)</f>
        <v>14080</v>
      </c>
      <c r="G104" s="460">
        <v>70</v>
      </c>
      <c r="H104" s="444">
        <f t="shared" ref="H104:H109" si="92">ROUND(C104*G104,0)</f>
        <v>560</v>
      </c>
      <c r="I104" s="444">
        <f t="shared" ref="I104" si="93">F104+H104</f>
        <v>14640</v>
      </c>
      <c r="J104" s="441" t="s">
        <v>569</v>
      </c>
      <c r="K104" s="471">
        <f>770/(0.45*0.6)</f>
        <v>2851.8518518518517</v>
      </c>
      <c r="L104" s="471">
        <f>1150/(0.6*0.8)</f>
        <v>2395.8333333333335</v>
      </c>
      <c r="M104" s="589">
        <f>0.35*2.1*2396</f>
        <v>1761.06</v>
      </c>
      <c r="O104" s="401"/>
      <c r="P104" s="401"/>
      <c r="R104" s="401"/>
      <c r="S104" s="401"/>
      <c r="T104" s="401"/>
      <c r="U104" s="401"/>
      <c r="V104" s="401"/>
      <c r="W104" s="401"/>
      <c r="X104" s="401"/>
      <c r="Y104" s="401"/>
      <c r="Z104" s="401"/>
      <c r="AA104" s="401"/>
      <c r="AB104" s="401"/>
    </row>
    <row r="105" spans="1:28" ht="19.05" customHeight="1">
      <c r="A105" s="460"/>
      <c r="B105" s="460" t="s">
        <v>587</v>
      </c>
      <c r="C105" s="460"/>
      <c r="D105" s="441"/>
      <c r="E105" s="460"/>
      <c r="F105" s="444"/>
      <c r="G105" s="460"/>
      <c r="H105" s="444"/>
      <c r="I105" s="444"/>
      <c r="J105" s="462"/>
      <c r="K105" s="471"/>
      <c r="L105" s="471"/>
      <c r="M105" s="589"/>
      <c r="O105" s="401"/>
      <c r="P105" s="401"/>
      <c r="R105" s="401"/>
      <c r="S105" s="401"/>
      <c r="T105" s="401"/>
      <c r="U105" s="401"/>
      <c r="V105" s="401"/>
      <c r="W105" s="401"/>
      <c r="X105" s="401"/>
      <c r="Y105" s="401"/>
      <c r="Z105" s="401"/>
      <c r="AA105" s="401"/>
      <c r="AB105" s="401"/>
    </row>
    <row r="106" spans="1:28" ht="19.05" customHeight="1">
      <c r="A106" s="460"/>
      <c r="B106" s="460" t="s">
        <v>451</v>
      </c>
      <c r="C106" s="460">
        <v>4</v>
      </c>
      <c r="D106" s="441" t="s">
        <v>25</v>
      </c>
      <c r="E106" s="460">
        <v>577</v>
      </c>
      <c r="F106" s="444">
        <f t="shared" si="91"/>
        <v>2308</v>
      </c>
      <c r="G106" s="460">
        <v>70</v>
      </c>
      <c r="H106" s="444">
        <f t="shared" ref="H106" si="94">ROUND(C106*G106,0)</f>
        <v>280</v>
      </c>
      <c r="I106" s="444">
        <f t="shared" ref="I106" si="95">F106+H106</f>
        <v>2588</v>
      </c>
      <c r="J106" s="441" t="s">
        <v>569</v>
      </c>
      <c r="K106" s="471">
        <v>680</v>
      </c>
      <c r="L106" s="446">
        <v>577</v>
      </c>
      <c r="M106" s="446"/>
      <c r="O106" s="401"/>
      <c r="P106" s="401"/>
      <c r="R106" s="401"/>
      <c r="S106" s="401"/>
      <c r="T106" s="401"/>
      <c r="U106" s="401"/>
      <c r="V106" s="401"/>
      <c r="W106" s="401"/>
      <c r="X106" s="401"/>
      <c r="Y106" s="401"/>
      <c r="Z106" s="401"/>
      <c r="AA106" s="401"/>
      <c r="AB106" s="401"/>
    </row>
    <row r="107" spans="1:28" ht="19.05" customHeight="1">
      <c r="A107" s="460"/>
      <c r="B107" s="460" t="s">
        <v>588</v>
      </c>
      <c r="C107" s="460">
        <v>6</v>
      </c>
      <c r="D107" s="441" t="s">
        <v>477</v>
      </c>
      <c r="E107" s="460">
        <v>1800</v>
      </c>
      <c r="F107" s="444">
        <f t="shared" si="91"/>
        <v>10800</v>
      </c>
      <c r="G107" s="460">
        <v>55</v>
      </c>
      <c r="H107" s="444">
        <f t="shared" ref="H107:H108" si="96">ROUND(C107*G107,0)</f>
        <v>330</v>
      </c>
      <c r="I107" s="444">
        <f t="shared" ref="I107:I108" si="97">F107+H107</f>
        <v>11130</v>
      </c>
      <c r="J107" s="441" t="s">
        <v>569</v>
      </c>
      <c r="K107" s="590">
        <v>1490</v>
      </c>
      <c r="L107" s="446">
        <v>1809</v>
      </c>
      <c r="M107" s="446">
        <v>2590</v>
      </c>
      <c r="O107" s="401"/>
      <c r="P107" s="401"/>
      <c r="R107" s="401"/>
      <c r="S107" s="401"/>
      <c r="T107" s="401"/>
      <c r="U107" s="401"/>
      <c r="V107" s="401"/>
      <c r="W107" s="401"/>
      <c r="X107" s="401"/>
      <c r="Y107" s="401"/>
      <c r="Z107" s="401"/>
      <c r="AA107" s="401"/>
      <c r="AB107" s="401"/>
    </row>
    <row r="108" spans="1:28" ht="19.05" customHeight="1">
      <c r="A108" s="460"/>
      <c r="B108" s="460" t="s">
        <v>478</v>
      </c>
      <c r="C108" s="460">
        <v>8</v>
      </c>
      <c r="D108" s="441" t="s">
        <v>441</v>
      </c>
      <c r="E108" s="460">
        <v>1200</v>
      </c>
      <c r="F108" s="444">
        <f t="shared" si="91"/>
        <v>9600</v>
      </c>
      <c r="G108" s="460">
        <v>0</v>
      </c>
      <c r="H108" s="444">
        <f t="shared" si="96"/>
        <v>0</v>
      </c>
      <c r="I108" s="444">
        <f t="shared" si="97"/>
        <v>9600</v>
      </c>
      <c r="J108" s="482" t="s">
        <v>589</v>
      </c>
      <c r="K108" s="471"/>
      <c r="L108" s="446"/>
      <c r="M108" s="446"/>
      <c r="O108" s="401"/>
      <c r="P108" s="401"/>
      <c r="R108" s="401"/>
      <c r="S108" s="401"/>
      <c r="T108" s="401"/>
      <c r="U108" s="401"/>
      <c r="V108" s="401"/>
      <c r="W108" s="401"/>
      <c r="X108" s="401"/>
      <c r="Y108" s="401"/>
      <c r="Z108" s="401"/>
      <c r="AA108" s="401"/>
      <c r="AB108" s="401"/>
    </row>
    <row r="109" spans="1:28" ht="19.05" customHeight="1">
      <c r="A109" s="444"/>
      <c r="B109" s="444" t="s">
        <v>444</v>
      </c>
      <c r="C109" s="444">
        <v>12</v>
      </c>
      <c r="D109" s="441" t="s">
        <v>25</v>
      </c>
      <c r="E109" s="444">
        <v>399</v>
      </c>
      <c r="F109" s="444">
        <f t="shared" ref="F109" si="98">ROUND(C109*E109,0)</f>
        <v>4788</v>
      </c>
      <c r="G109" s="444">
        <v>75</v>
      </c>
      <c r="H109" s="444">
        <f t="shared" si="92"/>
        <v>900</v>
      </c>
      <c r="I109" s="444">
        <f t="shared" si="83"/>
        <v>5688</v>
      </c>
      <c r="J109" s="441" t="s">
        <v>569</v>
      </c>
      <c r="K109" s="471">
        <v>399</v>
      </c>
      <c r="L109" s="446">
        <v>300</v>
      </c>
      <c r="M109" s="446">
        <v>440</v>
      </c>
      <c r="O109" s="401"/>
      <c r="P109" s="401"/>
      <c r="R109" s="401"/>
      <c r="S109" s="401"/>
      <c r="T109" s="401"/>
      <c r="U109" s="401"/>
      <c r="V109" s="401"/>
      <c r="W109" s="401"/>
      <c r="X109" s="401"/>
      <c r="Y109" s="401"/>
      <c r="Z109" s="401"/>
      <c r="AA109" s="401"/>
      <c r="AB109" s="401"/>
    </row>
    <row r="110" spans="1:28" ht="19.05" customHeight="1">
      <c r="A110" s="460"/>
      <c r="B110" s="444" t="s">
        <v>481</v>
      </c>
      <c r="C110" s="460">
        <v>4</v>
      </c>
      <c r="D110" s="441" t="s">
        <v>105</v>
      </c>
      <c r="E110" s="460">
        <v>250</v>
      </c>
      <c r="F110" s="444">
        <f t="shared" ref="F110:F111" si="99">ROUND(C110*E110,0)</f>
        <v>1000</v>
      </c>
      <c r="G110" s="444">
        <v>70</v>
      </c>
      <c r="H110" s="444">
        <f t="shared" ref="H110:H111" si="100">ROUND(C110*G110,0)</f>
        <v>280</v>
      </c>
      <c r="I110" s="444">
        <f t="shared" ref="I110:I111" si="101">F110+H110</f>
        <v>1280</v>
      </c>
      <c r="J110" s="441" t="s">
        <v>569</v>
      </c>
      <c r="K110" s="471"/>
      <c r="L110" s="446"/>
      <c r="M110" s="446"/>
      <c r="O110" s="401"/>
      <c r="P110" s="401"/>
      <c r="R110" s="401"/>
      <c r="S110" s="401"/>
      <c r="T110" s="401"/>
      <c r="U110" s="401"/>
      <c r="V110" s="401"/>
      <c r="W110" s="401"/>
      <c r="X110" s="401"/>
      <c r="Y110" s="401"/>
      <c r="Z110" s="401"/>
      <c r="AA110" s="401"/>
      <c r="AB110" s="401"/>
    </row>
    <row r="111" spans="1:28" ht="19.05" customHeight="1">
      <c r="A111" s="444"/>
      <c r="B111" s="444" t="s">
        <v>582</v>
      </c>
      <c r="C111" s="444">
        <v>12</v>
      </c>
      <c r="D111" s="441" t="s">
        <v>105</v>
      </c>
      <c r="E111" s="444">
        <v>218</v>
      </c>
      <c r="F111" s="444">
        <f t="shared" si="99"/>
        <v>2616</v>
      </c>
      <c r="G111" s="444">
        <v>205</v>
      </c>
      <c r="H111" s="444">
        <f t="shared" si="100"/>
        <v>2460</v>
      </c>
      <c r="I111" s="444">
        <f t="shared" si="101"/>
        <v>5076</v>
      </c>
      <c r="J111" s="482" t="s">
        <v>506</v>
      </c>
      <c r="K111" s="471" t="s">
        <v>567</v>
      </c>
      <c r="L111" s="446"/>
      <c r="M111" s="446"/>
      <c r="O111" s="401"/>
      <c r="P111" s="401"/>
      <c r="R111" s="401"/>
      <c r="S111" s="401"/>
      <c r="T111" s="401"/>
      <c r="U111" s="401"/>
      <c r="V111" s="401"/>
      <c r="W111" s="401"/>
      <c r="X111" s="401"/>
      <c r="Y111" s="401"/>
      <c r="Z111" s="401"/>
      <c r="AA111" s="401"/>
      <c r="AB111" s="401"/>
    </row>
    <row r="112" spans="1:28" ht="19.05" customHeight="1">
      <c r="A112" s="444"/>
      <c r="B112" s="444" t="s">
        <v>583</v>
      </c>
      <c r="C112" s="444"/>
      <c r="D112" s="441"/>
      <c r="E112" s="444"/>
      <c r="F112" s="444"/>
      <c r="G112" s="444"/>
      <c r="H112" s="444"/>
      <c r="I112" s="444"/>
      <c r="J112" s="441"/>
      <c r="K112" s="471">
        <f>(1450/100)*15</f>
        <v>217.5</v>
      </c>
      <c r="L112" s="581">
        <f>(1094/80)*15</f>
        <v>205.125</v>
      </c>
      <c r="M112" s="582"/>
      <c r="O112" s="401"/>
      <c r="P112" s="401"/>
      <c r="R112" s="401"/>
      <c r="S112" s="401"/>
      <c r="T112" s="401"/>
      <c r="U112" s="401"/>
      <c r="V112" s="401"/>
      <c r="W112" s="401"/>
      <c r="X112" s="401"/>
      <c r="Y112" s="401"/>
      <c r="Z112" s="401"/>
      <c r="AA112" s="401"/>
      <c r="AB112" s="401"/>
    </row>
    <row r="113" spans="1:28" ht="19.05" customHeight="1">
      <c r="A113" s="447"/>
      <c r="B113" s="773" t="s">
        <v>479</v>
      </c>
      <c r="C113" s="774"/>
      <c r="D113" s="774"/>
      <c r="E113" s="774"/>
      <c r="F113" s="774"/>
      <c r="G113" s="774"/>
      <c r="H113" s="775"/>
      <c r="I113" s="447">
        <f>SUM(I30:I112)</f>
        <v>958885</v>
      </c>
      <c r="J113" s="448"/>
      <c r="L113" s="400"/>
      <c r="M113" s="446"/>
      <c r="O113" s="401"/>
      <c r="P113" s="401"/>
      <c r="R113" s="401"/>
      <c r="S113" s="401"/>
      <c r="T113" s="401"/>
      <c r="U113" s="401"/>
      <c r="V113" s="401"/>
      <c r="W113" s="401"/>
      <c r="X113" s="401"/>
      <c r="Y113" s="401"/>
      <c r="Z113" s="401"/>
      <c r="AA113" s="401"/>
      <c r="AB113" s="401"/>
    </row>
    <row r="114" spans="1:28" ht="19.05" customHeight="1">
      <c r="A114" s="492"/>
      <c r="B114" s="493"/>
      <c r="C114" s="494"/>
      <c r="D114" s="492"/>
      <c r="E114" s="495"/>
      <c r="F114" s="495"/>
      <c r="G114" s="493"/>
      <c r="H114" s="493"/>
      <c r="K114" s="507"/>
      <c r="L114" s="508"/>
      <c r="O114" s="401"/>
      <c r="P114" s="401"/>
      <c r="R114" s="401"/>
      <c r="S114" s="401"/>
      <c r="T114" s="401"/>
      <c r="U114" s="401"/>
      <c r="V114" s="401"/>
      <c r="W114" s="401"/>
      <c r="X114" s="401"/>
      <c r="Y114" s="401"/>
      <c r="Z114" s="401"/>
      <c r="AA114" s="401"/>
      <c r="AB114" s="401"/>
    </row>
    <row r="115" spans="1:28" s="508" customFormat="1" ht="19.05" customHeight="1">
      <c r="A115" s="498">
        <v>1</v>
      </c>
      <c r="B115" s="499" t="s">
        <v>496</v>
      </c>
      <c r="C115" s="500"/>
      <c r="D115" s="501"/>
      <c r="E115" s="502"/>
      <c r="F115" s="503"/>
      <c r="G115" s="504" t="s">
        <v>114</v>
      </c>
      <c r="H115" s="496"/>
      <c r="I115" s="505"/>
      <c r="J115" s="506"/>
      <c r="K115" s="507"/>
    </row>
    <row r="116" spans="1:28" s="508" customFormat="1" ht="19.05" customHeight="1">
      <c r="A116" s="509"/>
      <c r="B116" s="510" t="s">
        <v>497</v>
      </c>
      <c r="C116" s="511"/>
      <c r="D116" s="512">
        <v>138</v>
      </c>
      <c r="E116" s="513" t="s">
        <v>498</v>
      </c>
      <c r="F116" s="514">
        <v>3.49</v>
      </c>
      <c r="G116" s="515">
        <f>D116*F116</f>
        <v>481.62</v>
      </c>
      <c r="H116" s="511"/>
      <c r="I116" s="505"/>
      <c r="J116" s="506"/>
      <c r="K116" s="507"/>
    </row>
    <row r="117" spans="1:28" s="508" customFormat="1" ht="19.05" customHeight="1">
      <c r="A117" s="509"/>
      <c r="B117" s="510" t="s">
        <v>499</v>
      </c>
      <c r="C117" s="511"/>
      <c r="D117" s="512">
        <v>16.010000000000002</v>
      </c>
      <c r="E117" s="513" t="s">
        <v>17</v>
      </c>
      <c r="F117" s="514">
        <v>2.8</v>
      </c>
      <c r="G117" s="515">
        <f>D117*F117</f>
        <v>44.828000000000003</v>
      </c>
      <c r="H117" s="497" t="s">
        <v>114</v>
      </c>
      <c r="I117" s="505"/>
      <c r="J117" s="506"/>
      <c r="K117" s="507"/>
    </row>
    <row r="118" spans="1:28" s="508" customFormat="1" ht="19.05" customHeight="1">
      <c r="A118" s="509"/>
      <c r="B118" s="516" t="s">
        <v>500</v>
      </c>
      <c r="C118" s="511"/>
      <c r="D118" s="512">
        <v>0.4</v>
      </c>
      <c r="E118" s="210" t="s">
        <v>501</v>
      </c>
      <c r="F118" s="514">
        <v>400</v>
      </c>
      <c r="G118" s="515">
        <f>D118*F118</f>
        <v>160</v>
      </c>
      <c r="H118" s="511"/>
      <c r="I118" s="505"/>
      <c r="J118" s="506"/>
      <c r="K118" s="507"/>
    </row>
    <row r="119" spans="1:28" s="508" customFormat="1" ht="19.05" customHeight="1">
      <c r="A119" s="509"/>
      <c r="B119" s="510" t="s">
        <v>502</v>
      </c>
      <c r="C119" s="511"/>
      <c r="D119" s="512">
        <v>0.05</v>
      </c>
      <c r="E119" s="513" t="s">
        <v>104</v>
      </c>
      <c r="F119" s="514">
        <v>794</v>
      </c>
      <c r="G119" s="515">
        <f>D119*F119</f>
        <v>39.700000000000003</v>
      </c>
      <c r="H119" s="511"/>
      <c r="I119" s="505"/>
      <c r="J119" s="506"/>
      <c r="K119" s="507"/>
    </row>
    <row r="120" spans="1:28" s="508" customFormat="1" ht="19.05" customHeight="1">
      <c r="A120" s="509"/>
      <c r="B120" s="517" t="s">
        <v>503</v>
      </c>
      <c r="C120" s="518"/>
      <c r="D120" s="519">
        <v>10</v>
      </c>
      <c r="E120" s="520" t="s">
        <v>501</v>
      </c>
      <c r="F120" s="521"/>
      <c r="G120" s="522">
        <f>D120*F120</f>
        <v>0</v>
      </c>
      <c r="H120" s="518"/>
      <c r="I120" s="505"/>
      <c r="J120" s="506"/>
      <c r="K120" s="507"/>
    </row>
    <row r="121" spans="1:28" s="508" customFormat="1" ht="19.05" customHeight="1">
      <c r="A121" s="523"/>
      <c r="B121" s="769" t="s">
        <v>504</v>
      </c>
      <c r="C121" s="770"/>
      <c r="D121" s="524">
        <v>1</v>
      </c>
      <c r="E121" s="525" t="s">
        <v>21</v>
      </c>
      <c r="F121" s="526" t="s">
        <v>505</v>
      </c>
      <c r="G121" s="527">
        <f>SUM(G116:G120)</f>
        <v>726.14800000000002</v>
      </c>
      <c r="H121" s="528"/>
      <c r="I121" s="505"/>
      <c r="J121" s="506"/>
      <c r="K121" s="507"/>
    </row>
    <row r="122" spans="1:28" s="508" customFormat="1" ht="19.05" customHeight="1">
      <c r="A122" s="529"/>
      <c r="B122" s="530"/>
      <c r="C122" s="531"/>
      <c r="D122" s="529"/>
      <c r="E122" s="532"/>
      <c r="F122" s="532"/>
      <c r="G122" s="530"/>
      <c r="H122" s="530"/>
      <c r="J122" s="506"/>
      <c r="K122" s="490"/>
      <c r="L122" s="491"/>
    </row>
    <row r="123" spans="1:28" s="491" customFormat="1" ht="19.05" customHeight="1">
      <c r="A123" s="533">
        <v>2</v>
      </c>
      <c r="B123" s="534" t="s">
        <v>507</v>
      </c>
      <c r="C123" s="535"/>
      <c r="D123" s="536"/>
      <c r="E123" s="536"/>
      <c r="F123" s="536"/>
      <c r="G123" s="533" t="s">
        <v>114</v>
      </c>
      <c r="H123" s="536"/>
      <c r="I123" s="537"/>
      <c r="J123" s="537"/>
      <c r="K123" s="490"/>
    </row>
    <row r="124" spans="1:28" s="491" customFormat="1" ht="19.05" customHeight="1">
      <c r="A124" s="538"/>
      <c r="B124" s="539" t="s">
        <v>499</v>
      </c>
      <c r="C124" s="540"/>
      <c r="D124" s="541">
        <v>21</v>
      </c>
      <c r="E124" s="542" t="s">
        <v>17</v>
      </c>
      <c r="F124" s="543">
        <v>2.8</v>
      </c>
      <c r="G124" s="541">
        <f>D124*F124</f>
        <v>58.8</v>
      </c>
      <c r="H124" s="538" t="s">
        <v>114</v>
      </c>
      <c r="I124" s="537"/>
      <c r="J124" s="537"/>
      <c r="K124" s="490"/>
    </row>
    <row r="125" spans="1:28" s="491" customFormat="1" ht="19.05" customHeight="1">
      <c r="A125" s="544"/>
      <c r="B125" s="771" t="s">
        <v>508</v>
      </c>
      <c r="C125" s="772"/>
      <c r="D125" s="545">
        <v>1</v>
      </c>
      <c r="E125" s="546" t="s">
        <v>21</v>
      </c>
      <c r="F125" s="546" t="s">
        <v>505</v>
      </c>
      <c r="G125" s="545">
        <f>SUM(G124:G124)</f>
        <v>58.8</v>
      </c>
      <c r="H125" s="544"/>
      <c r="I125" s="537"/>
      <c r="J125" s="537"/>
      <c r="K125" s="486"/>
      <c r="L125" s="400"/>
    </row>
    <row r="126" spans="1:28" ht="19.05" customHeight="1">
      <c r="L126" s="400"/>
      <c r="O126" s="401"/>
      <c r="P126" s="401"/>
      <c r="R126" s="401"/>
      <c r="S126" s="401"/>
      <c r="T126" s="401"/>
      <c r="U126" s="401"/>
      <c r="V126" s="401"/>
      <c r="W126" s="401"/>
      <c r="X126" s="401"/>
      <c r="Y126" s="401"/>
      <c r="Z126" s="401"/>
      <c r="AA126" s="401"/>
      <c r="AB126" s="401"/>
    </row>
    <row r="127" spans="1:28" ht="19.05" customHeight="1">
      <c r="A127" s="547">
        <v>3</v>
      </c>
      <c r="B127" s="568" t="s">
        <v>524</v>
      </c>
      <c r="C127" s="548"/>
      <c r="D127" s="549"/>
      <c r="E127" s="550"/>
      <c r="F127" s="550"/>
      <c r="G127" s="551" t="s">
        <v>114</v>
      </c>
      <c r="H127" s="548"/>
      <c r="I127" s="552"/>
      <c r="J127" s="552"/>
      <c r="L127" s="400"/>
      <c r="O127" s="401"/>
      <c r="P127" s="401"/>
      <c r="R127" s="401"/>
      <c r="S127" s="401"/>
      <c r="T127" s="401"/>
      <c r="U127" s="401"/>
      <c r="V127" s="401"/>
      <c r="W127" s="401"/>
      <c r="X127" s="401"/>
      <c r="Y127" s="401"/>
      <c r="Z127" s="401"/>
      <c r="AA127" s="401"/>
      <c r="AB127" s="401"/>
    </row>
    <row r="128" spans="1:28" ht="19.05" customHeight="1">
      <c r="A128" s="553"/>
      <c r="B128" s="560" t="s">
        <v>525</v>
      </c>
      <c r="C128" s="554"/>
      <c r="D128" s="555">
        <v>10</v>
      </c>
      <c r="E128" s="556" t="s">
        <v>290</v>
      </c>
      <c r="F128" s="557">
        <v>24</v>
      </c>
      <c r="G128" s="558">
        <f>D128*F128</f>
        <v>240</v>
      </c>
      <c r="H128" s="554"/>
      <c r="I128" s="552">
        <f>240/10</f>
        <v>24</v>
      </c>
      <c r="J128" s="552"/>
      <c r="L128" s="400"/>
      <c r="O128" s="401"/>
      <c r="P128" s="401"/>
      <c r="R128" s="401"/>
      <c r="S128" s="401"/>
      <c r="T128" s="401"/>
      <c r="U128" s="401"/>
      <c r="V128" s="401"/>
      <c r="W128" s="401"/>
      <c r="X128" s="401"/>
      <c r="Y128" s="401"/>
      <c r="Z128" s="401"/>
      <c r="AA128" s="401"/>
      <c r="AB128" s="401"/>
    </row>
    <row r="129" spans="1:28" ht="19.05" customHeight="1">
      <c r="A129" s="553"/>
      <c r="B129" s="560" t="s">
        <v>517</v>
      </c>
      <c r="C129" s="554"/>
      <c r="D129" s="555">
        <v>5.25</v>
      </c>
      <c r="E129" s="556" t="s">
        <v>17</v>
      </c>
      <c r="F129" s="557">
        <v>10</v>
      </c>
      <c r="G129" s="558">
        <f>D129*F129</f>
        <v>52.5</v>
      </c>
      <c r="H129" s="554" t="s">
        <v>114</v>
      </c>
      <c r="I129" s="559" t="s">
        <v>518</v>
      </c>
      <c r="J129" s="552"/>
      <c r="L129" s="400"/>
      <c r="O129" s="401"/>
      <c r="P129" s="401"/>
      <c r="R129" s="401"/>
      <c r="S129" s="401"/>
      <c r="T129" s="401"/>
      <c r="U129" s="401"/>
      <c r="V129" s="401"/>
      <c r="W129" s="401"/>
      <c r="X129" s="401"/>
      <c r="Y129" s="401"/>
      <c r="Z129" s="401"/>
      <c r="AA129" s="401"/>
      <c r="AB129" s="401"/>
    </row>
    <row r="130" spans="1:28" ht="19.05" customHeight="1">
      <c r="A130" s="553"/>
      <c r="B130" s="560" t="s">
        <v>519</v>
      </c>
      <c r="C130" s="554"/>
      <c r="D130" s="555">
        <v>0.15</v>
      </c>
      <c r="E130" s="556" t="s">
        <v>17</v>
      </c>
      <c r="F130" s="557">
        <v>60</v>
      </c>
      <c r="G130" s="558">
        <f>D130*F130</f>
        <v>9</v>
      </c>
      <c r="H130" s="554"/>
      <c r="I130" s="559" t="s">
        <v>520</v>
      </c>
      <c r="J130" s="552"/>
      <c r="L130" s="400"/>
      <c r="O130" s="401"/>
      <c r="P130" s="401"/>
      <c r="R130" s="401"/>
      <c r="S130" s="401"/>
      <c r="T130" s="401"/>
      <c r="U130" s="401"/>
      <c r="V130" s="401"/>
      <c r="W130" s="401"/>
      <c r="X130" s="401"/>
      <c r="Y130" s="401"/>
      <c r="Z130" s="401"/>
      <c r="AA130" s="401"/>
      <c r="AB130" s="401"/>
    </row>
    <row r="131" spans="1:28" ht="19.05" customHeight="1">
      <c r="A131" s="553"/>
      <c r="B131" s="560" t="s">
        <v>521</v>
      </c>
      <c r="C131" s="554"/>
      <c r="D131" s="555">
        <v>0.33</v>
      </c>
      <c r="E131" s="556" t="s">
        <v>295</v>
      </c>
      <c r="F131" s="561">
        <v>21</v>
      </c>
      <c r="G131" s="558">
        <f>D131*F131</f>
        <v>6.9300000000000006</v>
      </c>
      <c r="H131" s="554"/>
      <c r="I131" s="552" t="s">
        <v>522</v>
      </c>
      <c r="J131" s="562"/>
      <c r="L131" s="400"/>
      <c r="O131" s="401"/>
      <c r="P131" s="401"/>
      <c r="R131" s="401"/>
      <c r="S131" s="401"/>
      <c r="T131" s="401"/>
      <c r="U131" s="401"/>
      <c r="V131" s="401"/>
      <c r="W131" s="401"/>
      <c r="X131" s="401"/>
      <c r="Y131" s="401"/>
      <c r="Z131" s="401"/>
      <c r="AA131" s="401"/>
      <c r="AB131" s="401"/>
    </row>
    <row r="132" spans="1:28" ht="19.05" customHeight="1">
      <c r="A132" s="563"/>
      <c r="B132" s="758" t="s">
        <v>523</v>
      </c>
      <c r="C132" s="759"/>
      <c r="D132" s="564">
        <v>1</v>
      </c>
      <c r="E132" s="565" t="s">
        <v>21</v>
      </c>
      <c r="F132" s="565" t="s">
        <v>505</v>
      </c>
      <c r="G132" s="566">
        <f>SUM(G128:G131)</f>
        <v>308.43</v>
      </c>
      <c r="H132" s="567"/>
      <c r="I132" s="552"/>
      <c r="J132" s="552"/>
      <c r="L132" s="400"/>
      <c r="O132" s="401"/>
      <c r="P132" s="401"/>
      <c r="R132" s="401"/>
      <c r="S132" s="401"/>
      <c r="T132" s="401"/>
      <c r="U132" s="401"/>
      <c r="V132" s="401"/>
      <c r="W132" s="401"/>
      <c r="X132" s="401"/>
      <c r="Y132" s="401"/>
      <c r="Z132" s="401"/>
      <c r="AA132" s="401"/>
      <c r="AB132" s="401"/>
    </row>
    <row r="133" spans="1:28" ht="19.05" customHeight="1">
      <c r="L133" s="400"/>
      <c r="O133" s="401"/>
      <c r="P133" s="401"/>
      <c r="R133" s="401"/>
      <c r="S133" s="401"/>
      <c r="T133" s="401"/>
      <c r="U133" s="401"/>
      <c r="V133" s="401"/>
      <c r="W133" s="401"/>
      <c r="X133" s="401"/>
      <c r="Y133" s="401"/>
      <c r="Z133" s="401"/>
      <c r="AA133" s="401"/>
      <c r="AB133" s="401"/>
    </row>
    <row r="134" spans="1:28" ht="19.05" customHeight="1">
      <c r="A134" s="547">
        <v>4</v>
      </c>
      <c r="B134" s="568" t="s">
        <v>543</v>
      </c>
      <c r="C134" s="548"/>
      <c r="D134" s="549"/>
      <c r="E134" s="550"/>
      <c r="F134" s="550"/>
      <c r="G134" s="551" t="s">
        <v>114</v>
      </c>
      <c r="H134" s="548"/>
      <c r="I134" s="552"/>
      <c r="J134" s="552"/>
      <c r="L134" s="400"/>
      <c r="O134" s="401"/>
      <c r="P134" s="401"/>
      <c r="R134" s="401"/>
      <c r="S134" s="401"/>
      <c r="T134" s="401"/>
      <c r="U134" s="401"/>
      <c r="V134" s="401"/>
      <c r="W134" s="401"/>
      <c r="X134" s="401"/>
      <c r="Y134" s="401"/>
      <c r="Z134" s="401"/>
      <c r="AA134" s="401"/>
      <c r="AB134" s="401"/>
    </row>
    <row r="135" spans="1:28" ht="19.05" customHeight="1">
      <c r="A135" s="553"/>
      <c r="B135" s="560" t="s">
        <v>548</v>
      </c>
      <c r="C135" s="554"/>
      <c r="D135" s="555">
        <v>3</v>
      </c>
      <c r="E135" s="556" t="s">
        <v>290</v>
      </c>
      <c r="F135" s="557">
        <v>130</v>
      </c>
      <c r="G135" s="558">
        <f>D135*F135</f>
        <v>390</v>
      </c>
      <c r="H135" s="554"/>
      <c r="I135" s="552">
        <f>517/4</f>
        <v>129.25</v>
      </c>
      <c r="J135" s="552"/>
      <c r="L135" s="400"/>
      <c r="O135" s="401"/>
      <c r="P135" s="401"/>
      <c r="R135" s="401"/>
      <c r="S135" s="401"/>
      <c r="T135" s="401"/>
      <c r="U135" s="401"/>
      <c r="V135" s="401"/>
      <c r="W135" s="401"/>
      <c r="X135" s="401"/>
      <c r="Y135" s="401"/>
      <c r="Z135" s="401"/>
      <c r="AA135" s="401"/>
      <c r="AB135" s="401"/>
    </row>
    <row r="136" spans="1:28" ht="19.05" customHeight="1">
      <c r="A136" s="553"/>
      <c r="B136" s="560" t="s">
        <v>517</v>
      </c>
      <c r="C136" s="554"/>
      <c r="D136" s="555">
        <v>5.25</v>
      </c>
      <c r="E136" s="556" t="s">
        <v>17</v>
      </c>
      <c r="F136" s="557">
        <v>10</v>
      </c>
      <c r="G136" s="558">
        <f>D136*F136</f>
        <v>52.5</v>
      </c>
      <c r="H136" s="554" t="s">
        <v>114</v>
      </c>
      <c r="I136" s="559" t="s">
        <v>518</v>
      </c>
      <c r="J136" s="559" t="s">
        <v>518</v>
      </c>
      <c r="L136" s="400"/>
      <c r="O136" s="401"/>
      <c r="P136" s="401"/>
      <c r="R136" s="401"/>
      <c r="S136" s="401"/>
      <c r="T136" s="401"/>
      <c r="U136" s="401"/>
      <c r="V136" s="401"/>
      <c r="W136" s="401"/>
      <c r="X136" s="401"/>
      <c r="Y136" s="401"/>
      <c r="Z136" s="401"/>
      <c r="AA136" s="401"/>
      <c r="AB136" s="401"/>
    </row>
    <row r="137" spans="1:28" ht="19.05" customHeight="1">
      <c r="A137" s="553"/>
      <c r="B137" s="560" t="s">
        <v>519</v>
      </c>
      <c r="C137" s="554"/>
      <c r="D137" s="555">
        <v>0.15</v>
      </c>
      <c r="E137" s="556" t="s">
        <v>17</v>
      </c>
      <c r="F137" s="557">
        <v>60</v>
      </c>
      <c r="G137" s="558">
        <f>D137*F137</f>
        <v>9</v>
      </c>
      <c r="H137" s="554"/>
      <c r="I137" s="559" t="s">
        <v>520</v>
      </c>
      <c r="J137" s="559" t="s">
        <v>520</v>
      </c>
      <c r="L137" s="400"/>
      <c r="O137" s="401"/>
      <c r="P137" s="401"/>
      <c r="R137" s="401"/>
      <c r="S137" s="401"/>
      <c r="T137" s="401"/>
      <c r="U137" s="401"/>
      <c r="V137" s="401"/>
      <c r="W137" s="401"/>
      <c r="X137" s="401"/>
      <c r="Y137" s="401"/>
      <c r="Z137" s="401"/>
      <c r="AA137" s="401"/>
      <c r="AB137" s="401"/>
    </row>
    <row r="138" spans="1:28" ht="19.05" customHeight="1">
      <c r="A138" s="553"/>
      <c r="B138" s="560" t="s">
        <v>521</v>
      </c>
      <c r="C138" s="554"/>
      <c r="D138" s="555">
        <v>0.33</v>
      </c>
      <c r="E138" s="556" t="s">
        <v>295</v>
      </c>
      <c r="F138" s="561">
        <v>21</v>
      </c>
      <c r="G138" s="558">
        <f>D138*F138</f>
        <v>6.9300000000000006</v>
      </c>
      <c r="H138" s="554"/>
      <c r="I138" s="552" t="s">
        <v>522</v>
      </c>
      <c r="J138" s="552" t="s">
        <v>522</v>
      </c>
      <c r="L138" s="400"/>
      <c r="O138" s="401"/>
      <c r="P138" s="401"/>
      <c r="R138" s="401"/>
      <c r="S138" s="401"/>
      <c r="T138" s="401"/>
      <c r="U138" s="401"/>
      <c r="V138" s="401"/>
      <c r="W138" s="401"/>
      <c r="X138" s="401"/>
      <c r="Y138" s="401"/>
      <c r="Z138" s="401"/>
      <c r="AA138" s="401"/>
      <c r="AB138" s="401"/>
    </row>
    <row r="139" spans="1:28" ht="19.05" customHeight="1">
      <c r="A139" s="563"/>
      <c r="B139" s="758" t="s">
        <v>523</v>
      </c>
      <c r="C139" s="759"/>
      <c r="D139" s="564">
        <v>1</v>
      </c>
      <c r="E139" s="565" t="s">
        <v>21</v>
      </c>
      <c r="F139" s="565" t="s">
        <v>505</v>
      </c>
      <c r="G139" s="566">
        <f>SUM(G135:G138)</f>
        <v>458.43</v>
      </c>
      <c r="H139" s="567"/>
      <c r="I139" s="552"/>
      <c r="J139" s="552"/>
      <c r="L139" s="400"/>
      <c r="O139" s="401"/>
      <c r="P139" s="401"/>
      <c r="R139" s="401"/>
      <c r="S139" s="401"/>
      <c r="T139" s="401"/>
      <c r="U139" s="401"/>
      <c r="V139" s="401"/>
      <c r="W139" s="401"/>
      <c r="X139" s="401"/>
      <c r="Y139" s="401"/>
      <c r="Z139" s="401"/>
      <c r="AA139" s="401"/>
      <c r="AB139" s="401"/>
    </row>
    <row r="140" spans="1:28" ht="19.05" customHeight="1">
      <c r="K140" s="572"/>
      <c r="L140" s="400"/>
      <c r="O140" s="401"/>
      <c r="P140" s="401"/>
      <c r="R140" s="401"/>
      <c r="S140" s="401"/>
      <c r="T140" s="401"/>
      <c r="U140" s="401"/>
      <c r="V140" s="401"/>
      <c r="W140" s="401"/>
      <c r="X140" s="401"/>
      <c r="Y140" s="401"/>
      <c r="Z140" s="401"/>
      <c r="AA140" s="401"/>
      <c r="AB140" s="401"/>
    </row>
    <row r="141" spans="1:28" ht="19.05" customHeight="1">
      <c r="A141" s="576">
        <v>5</v>
      </c>
      <c r="B141" s="569" t="s">
        <v>527</v>
      </c>
      <c r="C141" s="548"/>
      <c r="D141" s="549" t="s">
        <v>114</v>
      </c>
      <c r="E141" s="547" t="s">
        <v>114</v>
      </c>
      <c r="F141" s="570" t="s">
        <v>114</v>
      </c>
      <c r="G141" s="571" t="s">
        <v>114</v>
      </c>
      <c r="H141" s="551" t="s">
        <v>114</v>
      </c>
      <c r="I141" s="552"/>
      <c r="J141" s="552"/>
      <c r="K141" s="572"/>
      <c r="L141" s="400"/>
      <c r="O141" s="401"/>
      <c r="P141" s="401"/>
      <c r="R141" s="401"/>
      <c r="S141" s="401"/>
      <c r="T141" s="401"/>
      <c r="U141" s="401"/>
      <c r="V141" s="401"/>
      <c r="W141" s="401"/>
      <c r="X141" s="401"/>
      <c r="Y141" s="401"/>
      <c r="Z141" s="401"/>
      <c r="AA141" s="401"/>
      <c r="AB141" s="401"/>
    </row>
    <row r="142" spans="1:28" ht="19.05" customHeight="1">
      <c r="A142" s="553"/>
      <c r="B142" s="573" t="s">
        <v>528</v>
      </c>
      <c r="C142" s="554"/>
      <c r="D142" s="555" t="s">
        <v>114</v>
      </c>
      <c r="E142" s="556" t="s">
        <v>114</v>
      </c>
      <c r="F142" s="557" t="s">
        <v>114</v>
      </c>
      <c r="G142" s="558" t="s">
        <v>114</v>
      </c>
      <c r="H142" s="574" t="s">
        <v>114</v>
      </c>
      <c r="I142" s="552"/>
      <c r="J142" s="552"/>
      <c r="K142" s="572"/>
      <c r="L142" s="400"/>
      <c r="O142" s="401"/>
      <c r="P142" s="401"/>
      <c r="R142" s="401"/>
      <c r="S142" s="401"/>
      <c r="T142" s="401"/>
      <c r="U142" s="401"/>
      <c r="V142" s="401"/>
      <c r="W142" s="401"/>
      <c r="X142" s="401"/>
      <c r="Y142" s="401"/>
      <c r="Z142" s="401"/>
      <c r="AA142" s="401"/>
      <c r="AB142" s="401"/>
    </row>
    <row r="143" spans="1:28" ht="19.05" customHeight="1">
      <c r="A143" s="553"/>
      <c r="B143" s="573" t="s">
        <v>536</v>
      </c>
      <c r="C143" s="554"/>
      <c r="D143" s="555">
        <v>0.4</v>
      </c>
      <c r="E143" s="556" t="s">
        <v>290</v>
      </c>
      <c r="F143" s="557">
        <v>220</v>
      </c>
      <c r="G143" s="558">
        <f>D143*F143</f>
        <v>88</v>
      </c>
      <c r="H143" s="574"/>
      <c r="I143" s="552"/>
      <c r="J143" s="552"/>
      <c r="K143" s="572"/>
      <c r="L143" s="400"/>
      <c r="O143" s="401"/>
      <c r="P143" s="401"/>
      <c r="R143" s="401"/>
      <c r="S143" s="401"/>
      <c r="T143" s="401"/>
      <c r="U143" s="401"/>
      <c r="V143" s="401"/>
      <c r="W143" s="401"/>
      <c r="X143" s="401"/>
      <c r="Y143" s="401"/>
      <c r="Z143" s="401"/>
      <c r="AA143" s="401"/>
      <c r="AB143" s="401"/>
    </row>
    <row r="144" spans="1:28" ht="19.05" customHeight="1">
      <c r="A144" s="553"/>
      <c r="B144" s="573" t="s">
        <v>529</v>
      </c>
      <c r="C144" s="554"/>
      <c r="D144" s="555">
        <v>1.2</v>
      </c>
      <c r="E144" s="556" t="s">
        <v>530</v>
      </c>
      <c r="F144" s="557">
        <v>88</v>
      </c>
      <c r="G144" s="558">
        <f>D144*F144</f>
        <v>105.6</v>
      </c>
      <c r="H144" s="554"/>
      <c r="I144" s="552" t="s">
        <v>531</v>
      </c>
      <c r="J144" s="552"/>
      <c r="K144" s="572"/>
      <c r="L144" s="400"/>
      <c r="O144" s="401"/>
      <c r="P144" s="401"/>
      <c r="R144" s="401"/>
      <c r="S144" s="401"/>
      <c r="T144" s="401"/>
      <c r="U144" s="401"/>
      <c r="V144" s="401"/>
      <c r="W144" s="401"/>
      <c r="X144" s="401"/>
      <c r="Y144" s="401"/>
      <c r="Z144" s="401"/>
      <c r="AA144" s="401"/>
      <c r="AB144" s="401"/>
    </row>
    <row r="145" spans="1:28" ht="19.05" customHeight="1">
      <c r="A145" s="553"/>
      <c r="B145" s="573" t="s">
        <v>532</v>
      </c>
      <c r="C145" s="554"/>
      <c r="D145" s="555">
        <v>0.11</v>
      </c>
      <c r="E145" s="556" t="s">
        <v>17</v>
      </c>
      <c r="F145" s="561">
        <v>435</v>
      </c>
      <c r="G145" s="558">
        <f>D145*F145</f>
        <v>47.85</v>
      </c>
      <c r="H145" s="554"/>
      <c r="I145" s="552">
        <f>348/0.8</f>
        <v>435</v>
      </c>
      <c r="J145" s="552" t="s">
        <v>533</v>
      </c>
      <c r="K145" s="572"/>
      <c r="L145" s="400"/>
      <c r="O145" s="401"/>
      <c r="P145" s="401"/>
      <c r="R145" s="401"/>
      <c r="S145" s="401"/>
      <c r="T145" s="401"/>
      <c r="U145" s="401"/>
      <c r="V145" s="401"/>
      <c r="W145" s="401"/>
      <c r="X145" s="401"/>
      <c r="Y145" s="401"/>
      <c r="Z145" s="401"/>
      <c r="AA145" s="401"/>
      <c r="AB145" s="401"/>
    </row>
    <row r="146" spans="1:28" ht="19.05" customHeight="1">
      <c r="A146" s="553"/>
      <c r="B146" s="573" t="s">
        <v>534</v>
      </c>
      <c r="C146" s="554"/>
      <c r="D146" s="555">
        <v>1</v>
      </c>
      <c r="E146" s="556" t="s">
        <v>21</v>
      </c>
      <c r="F146" s="561">
        <v>20</v>
      </c>
      <c r="G146" s="558">
        <f>D146*F146</f>
        <v>20</v>
      </c>
      <c r="H146" s="554"/>
      <c r="I146" s="552"/>
      <c r="J146" s="552"/>
      <c r="K146" s="572"/>
      <c r="L146" s="400"/>
      <c r="O146" s="401"/>
      <c r="P146" s="401"/>
      <c r="R146" s="401"/>
      <c r="S146" s="401"/>
      <c r="T146" s="401"/>
      <c r="U146" s="401"/>
      <c r="V146" s="401"/>
      <c r="W146" s="401"/>
      <c r="X146" s="401"/>
      <c r="Y146" s="401"/>
      <c r="Z146" s="401"/>
      <c r="AA146" s="401"/>
      <c r="AB146" s="401"/>
    </row>
    <row r="147" spans="1:28" ht="19.05" customHeight="1">
      <c r="A147" s="563"/>
      <c r="B147" s="575"/>
      <c r="C147" s="567" t="s">
        <v>535</v>
      </c>
      <c r="D147" s="564">
        <v>1</v>
      </c>
      <c r="E147" s="565" t="s">
        <v>21</v>
      </c>
      <c r="F147" s="565" t="s">
        <v>505</v>
      </c>
      <c r="G147" s="566">
        <f>SUM(G141:G146)</f>
        <v>261.45</v>
      </c>
      <c r="H147" s="567"/>
      <c r="I147" s="552"/>
      <c r="J147" s="552"/>
      <c r="L147" s="400"/>
      <c r="O147" s="401"/>
      <c r="P147" s="401"/>
      <c r="R147" s="401"/>
      <c r="S147" s="401"/>
      <c r="T147" s="401"/>
      <c r="U147" s="401"/>
      <c r="V147" s="401"/>
      <c r="W147" s="401"/>
      <c r="X147" s="401"/>
      <c r="Y147" s="401"/>
      <c r="Z147" s="401"/>
      <c r="AA147" s="401"/>
      <c r="AB147" s="401"/>
    </row>
    <row r="148" spans="1:28" ht="19.05" customHeight="1">
      <c r="L148" s="400"/>
      <c r="O148" s="401"/>
      <c r="P148" s="401"/>
      <c r="R148" s="401"/>
      <c r="S148" s="401"/>
      <c r="T148" s="401"/>
      <c r="U148" s="401"/>
      <c r="V148" s="401"/>
      <c r="W148" s="401"/>
      <c r="X148" s="401"/>
      <c r="Y148" s="401"/>
      <c r="Z148" s="401"/>
      <c r="AA148" s="401"/>
      <c r="AB148" s="401"/>
    </row>
    <row r="149" spans="1:28" ht="19.05" customHeight="1">
      <c r="A149" s="547">
        <v>6</v>
      </c>
      <c r="B149" s="568" t="s">
        <v>549</v>
      </c>
      <c r="C149" s="548"/>
      <c r="D149" s="549"/>
      <c r="E149" s="550"/>
      <c r="F149" s="550"/>
      <c r="G149" s="551" t="s">
        <v>114</v>
      </c>
      <c r="H149" s="548"/>
      <c r="I149" s="552"/>
      <c r="J149" s="552"/>
      <c r="L149" s="400"/>
      <c r="O149" s="401"/>
      <c r="P149" s="401"/>
      <c r="R149" s="401"/>
      <c r="S149" s="401"/>
      <c r="T149" s="401"/>
      <c r="U149" s="401"/>
      <c r="V149" s="401"/>
      <c r="W149" s="401"/>
      <c r="X149" s="401"/>
      <c r="Y149" s="401"/>
      <c r="Z149" s="401"/>
      <c r="AA149" s="401"/>
      <c r="AB149" s="401"/>
    </row>
    <row r="150" spans="1:28" ht="19.05" customHeight="1">
      <c r="A150" s="553"/>
      <c r="B150" s="560" t="s">
        <v>550</v>
      </c>
      <c r="C150" s="554"/>
      <c r="D150" s="555">
        <v>7</v>
      </c>
      <c r="E150" s="556" t="s">
        <v>290</v>
      </c>
      <c r="F150" s="557">
        <v>86</v>
      </c>
      <c r="G150" s="558">
        <f>D150*F150</f>
        <v>602</v>
      </c>
      <c r="H150" s="554"/>
      <c r="I150" s="552">
        <f>516/6</f>
        <v>86</v>
      </c>
      <c r="J150" s="552"/>
      <c r="L150" s="400"/>
      <c r="O150" s="401"/>
      <c r="P150" s="401"/>
      <c r="R150" s="401"/>
      <c r="S150" s="401"/>
      <c r="T150" s="401"/>
      <c r="U150" s="401"/>
      <c r="V150" s="401"/>
      <c r="W150" s="401"/>
      <c r="X150" s="401"/>
      <c r="Y150" s="401"/>
      <c r="Z150" s="401"/>
      <c r="AA150" s="401"/>
      <c r="AB150" s="401"/>
    </row>
    <row r="151" spans="1:28" ht="19.05" customHeight="1">
      <c r="A151" s="553"/>
      <c r="B151" s="560" t="s">
        <v>517</v>
      </c>
      <c r="C151" s="554"/>
      <c r="D151" s="555">
        <v>5.25</v>
      </c>
      <c r="E151" s="556" t="s">
        <v>17</v>
      </c>
      <c r="F151" s="557">
        <v>10</v>
      </c>
      <c r="G151" s="558">
        <f>D151*F151</f>
        <v>52.5</v>
      </c>
      <c r="H151" s="554" t="s">
        <v>114</v>
      </c>
      <c r="I151" s="559" t="s">
        <v>518</v>
      </c>
      <c r="J151" s="559" t="s">
        <v>518</v>
      </c>
      <c r="L151" s="400"/>
      <c r="O151" s="401"/>
      <c r="P151" s="401"/>
      <c r="R151" s="401"/>
      <c r="S151" s="401"/>
      <c r="T151" s="401"/>
      <c r="U151" s="401"/>
      <c r="V151" s="401"/>
      <c r="W151" s="401"/>
      <c r="X151" s="401"/>
      <c r="Y151" s="401"/>
      <c r="Z151" s="401"/>
      <c r="AA151" s="401"/>
      <c r="AB151" s="401"/>
    </row>
    <row r="152" spans="1:28" ht="19.05" customHeight="1">
      <c r="A152" s="553"/>
      <c r="B152" s="560" t="s">
        <v>519</v>
      </c>
      <c r="C152" s="554"/>
      <c r="D152" s="555">
        <v>0.15</v>
      </c>
      <c r="E152" s="556" t="s">
        <v>17</v>
      </c>
      <c r="F152" s="557">
        <v>60</v>
      </c>
      <c r="G152" s="558">
        <f>D152*F152</f>
        <v>9</v>
      </c>
      <c r="H152" s="554"/>
      <c r="I152" s="559" t="s">
        <v>520</v>
      </c>
      <c r="J152" s="559" t="s">
        <v>520</v>
      </c>
      <c r="L152" s="400"/>
      <c r="O152" s="401"/>
      <c r="P152" s="401"/>
      <c r="R152" s="401"/>
      <c r="S152" s="401"/>
      <c r="T152" s="401"/>
      <c r="U152" s="401"/>
      <c r="V152" s="401"/>
      <c r="W152" s="401"/>
      <c r="X152" s="401"/>
      <c r="Y152" s="401"/>
      <c r="Z152" s="401"/>
      <c r="AA152" s="401"/>
      <c r="AB152" s="401"/>
    </row>
    <row r="153" spans="1:28" ht="19.05" customHeight="1">
      <c r="A153" s="553"/>
      <c r="B153" s="560" t="s">
        <v>521</v>
      </c>
      <c r="C153" s="554"/>
      <c r="D153" s="555">
        <v>0.33</v>
      </c>
      <c r="E153" s="556" t="s">
        <v>295</v>
      </c>
      <c r="F153" s="561">
        <v>21</v>
      </c>
      <c r="G153" s="558">
        <f>D153*F153</f>
        <v>6.9300000000000006</v>
      </c>
      <c r="H153" s="554"/>
      <c r="I153" s="552" t="s">
        <v>522</v>
      </c>
      <c r="J153" s="552" t="s">
        <v>522</v>
      </c>
      <c r="L153" s="400"/>
      <c r="O153" s="401"/>
      <c r="P153" s="401"/>
      <c r="R153" s="401"/>
      <c r="S153" s="401"/>
      <c r="T153" s="401"/>
      <c r="U153" s="401"/>
      <c r="V153" s="401"/>
      <c r="W153" s="401"/>
      <c r="X153" s="401"/>
      <c r="Y153" s="401"/>
      <c r="Z153" s="401"/>
      <c r="AA153" s="401"/>
      <c r="AB153" s="401"/>
    </row>
    <row r="154" spans="1:28" ht="19.05" customHeight="1">
      <c r="A154" s="563"/>
      <c r="B154" s="758" t="s">
        <v>523</v>
      </c>
      <c r="C154" s="759"/>
      <c r="D154" s="564">
        <v>1</v>
      </c>
      <c r="E154" s="565" t="s">
        <v>21</v>
      </c>
      <c r="F154" s="565" t="s">
        <v>505</v>
      </c>
      <c r="G154" s="566">
        <f>SUM(G150:G153)</f>
        <v>670.43</v>
      </c>
      <c r="H154" s="567"/>
      <c r="I154" s="552"/>
      <c r="J154" s="552"/>
      <c r="L154" s="400"/>
      <c r="O154" s="401"/>
      <c r="P154" s="401"/>
      <c r="R154" s="401"/>
      <c r="S154" s="401"/>
      <c r="T154" s="401"/>
      <c r="U154" s="401"/>
      <c r="V154" s="401"/>
      <c r="W154" s="401"/>
      <c r="X154" s="401"/>
      <c r="Y154" s="401"/>
      <c r="Z154" s="401"/>
      <c r="AA154" s="401"/>
      <c r="AB154" s="401"/>
    </row>
    <row r="155" spans="1:28" ht="19.05" customHeight="1">
      <c r="L155" s="400"/>
      <c r="O155" s="401"/>
      <c r="P155" s="401"/>
      <c r="R155" s="401"/>
      <c r="S155" s="401"/>
      <c r="T155" s="401"/>
      <c r="U155" s="401"/>
      <c r="V155" s="401"/>
      <c r="W155" s="401"/>
      <c r="X155" s="401"/>
      <c r="Y155" s="401"/>
      <c r="Z155" s="401"/>
      <c r="AA155" s="401"/>
      <c r="AB155" s="401"/>
    </row>
    <row r="156" spans="1:28" ht="19.05" customHeight="1">
      <c r="L156" s="400"/>
      <c r="O156" s="401"/>
      <c r="P156" s="401"/>
      <c r="R156" s="401"/>
      <c r="S156" s="401"/>
      <c r="T156" s="401"/>
      <c r="U156" s="401"/>
      <c r="V156" s="401"/>
      <c r="W156" s="401"/>
      <c r="X156" s="401"/>
      <c r="Y156" s="401"/>
      <c r="Z156" s="401"/>
      <c r="AA156" s="401"/>
      <c r="AB156" s="401"/>
    </row>
    <row r="157" spans="1:28" ht="19.05" customHeight="1">
      <c r="L157" s="400"/>
      <c r="O157" s="401"/>
      <c r="P157" s="401"/>
      <c r="R157" s="401"/>
      <c r="S157" s="401"/>
      <c r="T157" s="401"/>
      <c r="U157" s="401"/>
      <c r="V157" s="401"/>
      <c r="W157" s="401"/>
      <c r="X157" s="401"/>
      <c r="Y157" s="401"/>
      <c r="Z157" s="401"/>
      <c r="AA157" s="401"/>
      <c r="AB157" s="401"/>
    </row>
    <row r="158" spans="1:28" ht="19.05" customHeight="1">
      <c r="L158" s="400"/>
      <c r="O158" s="401"/>
      <c r="P158" s="401"/>
      <c r="R158" s="401"/>
      <c r="S158" s="401"/>
      <c r="T158" s="401"/>
      <c r="U158" s="401"/>
      <c r="V158" s="401"/>
      <c r="W158" s="401"/>
      <c r="X158" s="401"/>
      <c r="Y158" s="401"/>
      <c r="Z158" s="401"/>
      <c r="AA158" s="401"/>
      <c r="AB158" s="401"/>
    </row>
    <row r="159" spans="1:28" ht="19.05" customHeight="1">
      <c r="L159" s="400"/>
      <c r="O159" s="401"/>
      <c r="P159" s="401"/>
      <c r="R159" s="401"/>
      <c r="S159" s="401"/>
      <c r="T159" s="401"/>
      <c r="U159" s="401"/>
      <c r="V159" s="401"/>
      <c r="W159" s="401"/>
      <c r="X159" s="401"/>
      <c r="Y159" s="401"/>
      <c r="Z159" s="401"/>
      <c r="AA159" s="401"/>
      <c r="AB159" s="401"/>
    </row>
    <row r="160" spans="1:28" ht="19.05" customHeight="1">
      <c r="L160" s="400"/>
      <c r="O160" s="401"/>
      <c r="P160" s="401"/>
      <c r="R160" s="401"/>
      <c r="S160" s="401"/>
      <c r="T160" s="401"/>
      <c r="U160" s="401"/>
      <c r="V160" s="401"/>
      <c r="W160" s="401"/>
      <c r="X160" s="401"/>
      <c r="Y160" s="401"/>
      <c r="Z160" s="401"/>
      <c r="AA160" s="401"/>
      <c r="AB160" s="401"/>
    </row>
    <row r="161" spans="12:28" ht="19.05" customHeight="1">
      <c r="L161" s="400"/>
      <c r="O161" s="401"/>
      <c r="P161" s="401"/>
      <c r="R161" s="401"/>
      <c r="S161" s="401"/>
      <c r="T161" s="401"/>
      <c r="U161" s="401"/>
      <c r="V161" s="401"/>
      <c r="W161" s="401"/>
      <c r="X161" s="401"/>
      <c r="Y161" s="401"/>
      <c r="Z161" s="401"/>
      <c r="AA161" s="401"/>
      <c r="AB161" s="401"/>
    </row>
    <row r="162" spans="12:28" ht="19.05" customHeight="1">
      <c r="L162" s="400"/>
      <c r="O162" s="401"/>
      <c r="P162" s="401"/>
      <c r="R162" s="401"/>
      <c r="S162" s="401"/>
      <c r="T162" s="401"/>
      <c r="U162" s="401"/>
      <c r="V162" s="401"/>
      <c r="W162" s="401"/>
      <c r="X162" s="401"/>
      <c r="Y162" s="401"/>
      <c r="Z162" s="401"/>
      <c r="AA162" s="401"/>
      <c r="AB162" s="401"/>
    </row>
    <row r="163" spans="12:28" ht="19.05" customHeight="1">
      <c r="L163" s="400"/>
      <c r="O163" s="401"/>
      <c r="P163" s="401"/>
      <c r="R163" s="401"/>
      <c r="S163" s="401"/>
      <c r="T163" s="401"/>
      <c r="U163" s="401"/>
      <c r="V163" s="401"/>
      <c r="W163" s="401"/>
      <c r="X163" s="401"/>
      <c r="Y163" s="401"/>
      <c r="Z163" s="401"/>
      <c r="AA163" s="401"/>
      <c r="AB163" s="401"/>
    </row>
    <row r="164" spans="12:28" ht="19.05" customHeight="1">
      <c r="L164" s="400"/>
      <c r="O164" s="401"/>
      <c r="P164" s="401"/>
      <c r="R164" s="401"/>
      <c r="S164" s="401"/>
      <c r="T164" s="401"/>
      <c r="U164" s="401"/>
      <c r="V164" s="401"/>
      <c r="W164" s="401"/>
      <c r="X164" s="401"/>
      <c r="Y164" s="401"/>
      <c r="Z164" s="401"/>
      <c r="AA164" s="401"/>
      <c r="AB164" s="401"/>
    </row>
    <row r="165" spans="12:28" ht="19.05" customHeight="1">
      <c r="L165" s="400"/>
      <c r="O165" s="401"/>
      <c r="P165" s="401"/>
      <c r="R165" s="401"/>
      <c r="S165" s="401"/>
      <c r="T165" s="401"/>
      <c r="U165" s="401"/>
      <c r="V165" s="401"/>
      <c r="W165" s="401"/>
      <c r="X165" s="401"/>
      <c r="Y165" s="401"/>
      <c r="Z165" s="401"/>
      <c r="AA165" s="401"/>
      <c r="AB165" s="401"/>
    </row>
    <row r="166" spans="12:28" ht="19.05" customHeight="1">
      <c r="L166" s="400"/>
      <c r="O166" s="401"/>
      <c r="P166" s="401"/>
      <c r="R166" s="401"/>
      <c r="S166" s="401"/>
      <c r="T166" s="401"/>
      <c r="U166" s="401"/>
      <c r="V166" s="401"/>
      <c r="W166" s="401"/>
      <c r="X166" s="401"/>
      <c r="Y166" s="401"/>
      <c r="Z166" s="401"/>
      <c r="AA166" s="401"/>
      <c r="AB166" s="401"/>
    </row>
    <row r="167" spans="12:28" ht="19.05" customHeight="1">
      <c r="L167" s="400"/>
      <c r="O167" s="401"/>
      <c r="P167" s="401"/>
      <c r="R167" s="401"/>
      <c r="S167" s="401"/>
      <c r="T167" s="401"/>
      <c r="U167" s="401"/>
      <c r="V167" s="401"/>
      <c r="W167" s="401"/>
      <c r="X167" s="401"/>
      <c r="Y167" s="401"/>
      <c r="Z167" s="401"/>
      <c r="AA167" s="401"/>
      <c r="AB167" s="401"/>
    </row>
    <row r="168" spans="12:28" ht="19.05" customHeight="1">
      <c r="L168" s="400"/>
      <c r="O168" s="401"/>
      <c r="P168" s="401"/>
      <c r="R168" s="401"/>
      <c r="S168" s="401"/>
      <c r="T168" s="401"/>
      <c r="U168" s="401"/>
      <c r="V168" s="401"/>
      <c r="W168" s="401"/>
      <c r="X168" s="401"/>
      <c r="Y168" s="401"/>
      <c r="Z168" s="401"/>
      <c r="AA168" s="401"/>
      <c r="AB168" s="401"/>
    </row>
    <row r="169" spans="12:28" ht="19.05" customHeight="1">
      <c r="L169" s="400"/>
      <c r="O169" s="401"/>
      <c r="P169" s="401"/>
      <c r="R169" s="401"/>
      <c r="S169" s="401"/>
      <c r="T169" s="401"/>
      <c r="U169" s="401"/>
      <c r="V169" s="401"/>
      <c r="W169" s="401"/>
      <c r="X169" s="401"/>
      <c r="Y169" s="401"/>
      <c r="Z169" s="401"/>
      <c r="AA169" s="401"/>
      <c r="AB169" s="401"/>
    </row>
    <row r="170" spans="12:28" ht="19.05" customHeight="1">
      <c r="L170" s="400"/>
      <c r="O170" s="401"/>
      <c r="P170" s="401"/>
      <c r="R170" s="401"/>
      <c r="S170" s="401"/>
      <c r="T170" s="401"/>
      <c r="U170" s="401"/>
      <c r="V170" s="401"/>
      <c r="W170" s="401"/>
      <c r="X170" s="401"/>
      <c r="Y170" s="401"/>
      <c r="Z170" s="401"/>
      <c r="AA170" s="401"/>
      <c r="AB170" s="401"/>
    </row>
    <row r="171" spans="12:28" ht="19.05" customHeight="1">
      <c r="L171" s="400"/>
      <c r="O171" s="401"/>
      <c r="P171" s="401"/>
      <c r="R171" s="401"/>
      <c r="S171" s="401"/>
      <c r="T171" s="401"/>
      <c r="U171" s="401"/>
      <c r="V171" s="401"/>
      <c r="W171" s="401"/>
      <c r="X171" s="401"/>
      <c r="Y171" s="401"/>
      <c r="Z171" s="401"/>
      <c r="AA171" s="401"/>
      <c r="AB171" s="401"/>
    </row>
    <row r="172" spans="12:28" ht="19.05" customHeight="1">
      <c r="L172" s="400"/>
      <c r="O172" s="401"/>
      <c r="P172" s="401"/>
      <c r="R172" s="401"/>
      <c r="S172" s="401"/>
      <c r="T172" s="401"/>
      <c r="U172" s="401"/>
      <c r="V172" s="401"/>
      <c r="W172" s="401"/>
      <c r="X172" s="401"/>
      <c r="Y172" s="401"/>
      <c r="Z172" s="401"/>
      <c r="AA172" s="401"/>
      <c r="AB172" s="401"/>
    </row>
    <row r="173" spans="12:28" ht="19.05" customHeight="1">
      <c r="L173" s="400"/>
      <c r="O173" s="401"/>
      <c r="P173" s="401"/>
      <c r="R173" s="401"/>
      <c r="S173" s="401"/>
      <c r="T173" s="401"/>
      <c r="U173" s="401"/>
      <c r="V173" s="401"/>
      <c r="W173" s="401"/>
      <c r="X173" s="401"/>
      <c r="Y173" s="401"/>
      <c r="Z173" s="401"/>
      <c r="AA173" s="401"/>
      <c r="AB173" s="401"/>
    </row>
    <row r="174" spans="12:28" ht="19.05" customHeight="1">
      <c r="L174" s="400"/>
      <c r="O174" s="401"/>
      <c r="P174" s="401"/>
      <c r="R174" s="401"/>
      <c r="S174" s="401"/>
      <c r="T174" s="401"/>
      <c r="U174" s="401"/>
      <c r="V174" s="401"/>
      <c r="W174" s="401"/>
      <c r="X174" s="401"/>
      <c r="Y174" s="401"/>
      <c r="Z174" s="401"/>
      <c r="AA174" s="401"/>
      <c r="AB174" s="401"/>
    </row>
    <row r="175" spans="12:28" ht="19.05" customHeight="1">
      <c r="L175" s="400"/>
      <c r="O175" s="401"/>
      <c r="P175" s="401"/>
      <c r="R175" s="401"/>
      <c r="S175" s="401"/>
      <c r="T175" s="401"/>
      <c r="U175" s="401"/>
      <c r="V175" s="401"/>
      <c r="W175" s="401"/>
      <c r="X175" s="401"/>
      <c r="Y175" s="401"/>
      <c r="Z175" s="401"/>
      <c r="AA175" s="401"/>
      <c r="AB175" s="401"/>
    </row>
    <row r="176" spans="12:28" ht="19.05" customHeight="1">
      <c r="L176" s="400"/>
      <c r="O176" s="401"/>
      <c r="P176" s="401"/>
      <c r="R176" s="401"/>
      <c r="S176" s="401"/>
      <c r="T176" s="401"/>
      <c r="U176" s="401"/>
      <c r="V176" s="401"/>
      <c r="W176" s="401"/>
      <c r="X176" s="401"/>
      <c r="Y176" s="401"/>
      <c r="Z176" s="401"/>
      <c r="AA176" s="401"/>
      <c r="AB176" s="401"/>
    </row>
    <row r="177" spans="12:28" ht="19.05" customHeight="1">
      <c r="L177" s="400"/>
      <c r="O177" s="401"/>
      <c r="P177" s="401"/>
      <c r="R177" s="401"/>
      <c r="S177" s="401"/>
      <c r="T177" s="401"/>
      <c r="U177" s="401"/>
      <c r="V177" s="401"/>
      <c r="W177" s="401"/>
      <c r="X177" s="401"/>
      <c r="Y177" s="401"/>
      <c r="Z177" s="401"/>
      <c r="AA177" s="401"/>
      <c r="AB177" s="401"/>
    </row>
    <row r="178" spans="12:28" ht="19.05" customHeight="1">
      <c r="L178" s="400"/>
      <c r="O178" s="401"/>
      <c r="P178" s="401"/>
      <c r="R178" s="401"/>
      <c r="S178" s="401"/>
      <c r="T178" s="401"/>
      <c r="U178" s="401"/>
      <c r="V178" s="401"/>
      <c r="W178" s="401"/>
      <c r="X178" s="401"/>
      <c r="Y178" s="401"/>
      <c r="Z178" s="401"/>
      <c r="AA178" s="401"/>
      <c r="AB178" s="401"/>
    </row>
    <row r="179" spans="12:28" ht="19.05" customHeight="1">
      <c r="L179" s="400"/>
      <c r="O179" s="401"/>
      <c r="P179" s="401"/>
      <c r="R179" s="401"/>
      <c r="S179" s="401"/>
      <c r="T179" s="401"/>
      <c r="U179" s="401"/>
      <c r="V179" s="401"/>
      <c r="W179" s="401"/>
      <c r="X179" s="401"/>
      <c r="Y179" s="401"/>
      <c r="Z179" s="401"/>
      <c r="AA179" s="401"/>
      <c r="AB179" s="401"/>
    </row>
    <row r="180" spans="12:28" ht="19.05" customHeight="1">
      <c r="L180" s="400"/>
      <c r="O180" s="401"/>
      <c r="P180" s="401"/>
      <c r="R180" s="401"/>
      <c r="S180" s="401"/>
      <c r="T180" s="401"/>
      <c r="U180" s="401"/>
      <c r="V180" s="401"/>
      <c r="W180" s="401"/>
      <c r="X180" s="401"/>
      <c r="Y180" s="401"/>
      <c r="Z180" s="401"/>
      <c r="AA180" s="401"/>
      <c r="AB180" s="401"/>
    </row>
    <row r="181" spans="12:28" ht="19.05" customHeight="1">
      <c r="L181" s="400"/>
      <c r="O181" s="401"/>
      <c r="P181" s="401"/>
      <c r="R181" s="401"/>
      <c r="S181" s="401"/>
      <c r="T181" s="401"/>
      <c r="U181" s="401"/>
      <c r="V181" s="401"/>
      <c r="W181" s="401"/>
      <c r="X181" s="401"/>
      <c r="Y181" s="401"/>
      <c r="Z181" s="401"/>
      <c r="AA181" s="401"/>
      <c r="AB181" s="401"/>
    </row>
    <row r="182" spans="12:28" ht="19.05" customHeight="1">
      <c r="L182" s="400"/>
      <c r="O182" s="401"/>
      <c r="P182" s="401"/>
      <c r="R182" s="401"/>
      <c r="S182" s="401"/>
      <c r="T182" s="401"/>
      <c r="U182" s="401"/>
      <c r="V182" s="401"/>
      <c r="W182" s="401"/>
      <c r="X182" s="401"/>
      <c r="Y182" s="401"/>
      <c r="Z182" s="401"/>
      <c r="AA182" s="401"/>
      <c r="AB182" s="401"/>
    </row>
    <row r="183" spans="12:28" ht="19.05" customHeight="1">
      <c r="L183" s="400"/>
      <c r="O183" s="401"/>
      <c r="P183" s="401"/>
      <c r="R183" s="401"/>
      <c r="S183" s="401"/>
      <c r="T183" s="401"/>
      <c r="U183" s="401"/>
      <c r="V183" s="401"/>
      <c r="W183" s="401"/>
      <c r="X183" s="401"/>
      <c r="Y183" s="401"/>
      <c r="Z183" s="401"/>
      <c r="AA183" s="401"/>
      <c r="AB183" s="401"/>
    </row>
    <row r="184" spans="12:28" ht="19.05" customHeight="1">
      <c r="L184" s="400"/>
      <c r="O184" s="401"/>
      <c r="P184" s="401"/>
      <c r="R184" s="401"/>
      <c r="S184" s="401"/>
      <c r="T184" s="401"/>
      <c r="U184" s="401"/>
      <c r="V184" s="401"/>
      <c r="W184" s="401"/>
      <c r="X184" s="401"/>
      <c r="Y184" s="401"/>
      <c r="Z184" s="401"/>
      <c r="AA184" s="401"/>
      <c r="AB184" s="401"/>
    </row>
    <row r="185" spans="12:28" ht="19.05" customHeight="1">
      <c r="L185" s="400"/>
      <c r="O185" s="401"/>
      <c r="P185" s="401"/>
      <c r="R185" s="401"/>
      <c r="S185" s="401"/>
      <c r="T185" s="401"/>
      <c r="U185" s="401"/>
      <c r="V185" s="401"/>
      <c r="W185" s="401"/>
      <c r="X185" s="401"/>
      <c r="Y185" s="401"/>
      <c r="Z185" s="401"/>
      <c r="AA185" s="401"/>
      <c r="AB185" s="401"/>
    </row>
    <row r="186" spans="12:28" ht="19.05" customHeight="1">
      <c r="L186" s="400"/>
      <c r="O186" s="401"/>
      <c r="P186" s="401"/>
      <c r="R186" s="401"/>
      <c r="S186" s="401"/>
      <c r="T186" s="401"/>
      <c r="U186" s="401"/>
      <c r="V186" s="401"/>
      <c r="W186" s="401"/>
      <c r="X186" s="401"/>
      <c r="Y186" s="401"/>
      <c r="Z186" s="401"/>
      <c r="AA186" s="401"/>
      <c r="AB186" s="401"/>
    </row>
    <row r="187" spans="12:28" ht="19.05" customHeight="1">
      <c r="L187" s="400"/>
      <c r="O187" s="401"/>
      <c r="P187" s="401"/>
      <c r="R187" s="401"/>
      <c r="S187" s="401"/>
      <c r="T187" s="401"/>
      <c r="U187" s="401"/>
      <c r="V187" s="401"/>
      <c r="W187" s="401"/>
      <c r="X187" s="401"/>
      <c r="Y187" s="401"/>
      <c r="Z187" s="401"/>
      <c r="AA187" s="401"/>
      <c r="AB187" s="401"/>
    </row>
    <row r="188" spans="12:28" ht="19.05" customHeight="1">
      <c r="L188" s="400"/>
      <c r="O188" s="401"/>
      <c r="P188" s="401"/>
      <c r="R188" s="401"/>
      <c r="S188" s="401"/>
      <c r="T188" s="401"/>
      <c r="U188" s="401"/>
      <c r="V188" s="401"/>
      <c r="W188" s="401"/>
      <c r="X188" s="401"/>
      <c r="Y188" s="401"/>
      <c r="Z188" s="401"/>
      <c r="AA188" s="401"/>
      <c r="AB188" s="401"/>
    </row>
    <row r="189" spans="12:28" ht="19.05" customHeight="1">
      <c r="L189" s="400"/>
      <c r="O189" s="401"/>
      <c r="P189" s="401"/>
      <c r="R189" s="401"/>
      <c r="S189" s="401"/>
      <c r="T189" s="401"/>
      <c r="U189" s="401"/>
      <c r="V189" s="401"/>
      <c r="W189" s="401"/>
      <c r="X189" s="401"/>
      <c r="Y189" s="401"/>
      <c r="Z189" s="401"/>
      <c r="AA189" s="401"/>
      <c r="AB189" s="401"/>
    </row>
    <row r="190" spans="12:28" ht="19.05" customHeight="1">
      <c r="L190" s="400"/>
      <c r="O190" s="401"/>
      <c r="P190" s="401"/>
      <c r="R190" s="401"/>
      <c r="S190" s="401"/>
      <c r="T190" s="401"/>
      <c r="U190" s="401"/>
      <c r="V190" s="401"/>
      <c r="W190" s="401"/>
      <c r="X190" s="401"/>
      <c r="Y190" s="401"/>
      <c r="Z190" s="401"/>
      <c r="AA190" s="401"/>
      <c r="AB190" s="401"/>
    </row>
    <row r="191" spans="12:28" ht="19.05" customHeight="1">
      <c r="L191" s="400"/>
      <c r="O191" s="401"/>
      <c r="P191" s="401"/>
      <c r="R191" s="401"/>
      <c r="S191" s="401"/>
      <c r="T191" s="401"/>
      <c r="U191" s="401"/>
      <c r="V191" s="401"/>
      <c r="W191" s="401"/>
      <c r="X191" s="401"/>
      <c r="Y191" s="401"/>
      <c r="Z191" s="401"/>
      <c r="AA191" s="401"/>
      <c r="AB191" s="401"/>
    </row>
    <row r="192" spans="12:28" ht="19.05" customHeight="1">
      <c r="L192" s="400"/>
      <c r="O192" s="401"/>
      <c r="P192" s="401"/>
      <c r="R192" s="401"/>
      <c r="S192" s="401"/>
      <c r="T192" s="401"/>
      <c r="U192" s="401"/>
      <c r="V192" s="401"/>
      <c r="W192" s="401"/>
      <c r="X192" s="401"/>
      <c r="Y192" s="401"/>
      <c r="Z192" s="401"/>
      <c r="AA192" s="401"/>
      <c r="AB192" s="401"/>
    </row>
    <row r="193" spans="12:28" ht="19.05" customHeight="1">
      <c r="L193" s="400"/>
      <c r="O193" s="401"/>
      <c r="P193" s="401"/>
      <c r="R193" s="401"/>
      <c r="S193" s="401"/>
      <c r="T193" s="401"/>
      <c r="U193" s="401"/>
      <c r="V193" s="401"/>
      <c r="W193" s="401"/>
      <c r="X193" s="401"/>
      <c r="Y193" s="401"/>
      <c r="Z193" s="401"/>
      <c r="AA193" s="401"/>
      <c r="AB193" s="401"/>
    </row>
    <row r="194" spans="12:28" ht="19.05" customHeight="1">
      <c r="L194" s="400"/>
      <c r="O194" s="401"/>
      <c r="P194" s="401"/>
      <c r="R194" s="401"/>
      <c r="S194" s="401"/>
      <c r="T194" s="401"/>
      <c r="U194" s="401"/>
      <c r="V194" s="401"/>
      <c r="W194" s="401"/>
      <c r="X194" s="401"/>
      <c r="Y194" s="401"/>
      <c r="Z194" s="401"/>
      <c r="AA194" s="401"/>
      <c r="AB194" s="401"/>
    </row>
    <row r="195" spans="12:28" ht="19.05" customHeight="1">
      <c r="L195" s="400"/>
      <c r="O195" s="401"/>
      <c r="P195" s="401"/>
      <c r="R195" s="401"/>
      <c r="S195" s="401"/>
      <c r="T195" s="401"/>
      <c r="U195" s="401"/>
      <c r="V195" s="401"/>
      <c r="W195" s="401"/>
      <c r="X195" s="401"/>
      <c r="Y195" s="401"/>
      <c r="Z195" s="401"/>
      <c r="AA195" s="401"/>
      <c r="AB195" s="401"/>
    </row>
    <row r="196" spans="12:28" ht="19.05" customHeight="1">
      <c r="L196" s="400"/>
      <c r="O196" s="401"/>
      <c r="P196" s="401"/>
      <c r="R196" s="401"/>
      <c r="S196" s="401"/>
      <c r="T196" s="401"/>
      <c r="U196" s="401"/>
      <c r="V196" s="401"/>
      <c r="W196" s="401"/>
      <c r="X196" s="401"/>
      <c r="Y196" s="401"/>
      <c r="Z196" s="401"/>
      <c r="AA196" s="401"/>
      <c r="AB196" s="401"/>
    </row>
    <row r="197" spans="12:28" ht="19.05" customHeight="1">
      <c r="L197" s="400"/>
      <c r="O197" s="401"/>
      <c r="P197" s="401"/>
      <c r="R197" s="401"/>
      <c r="S197" s="401"/>
      <c r="T197" s="401"/>
      <c r="U197" s="401"/>
      <c r="V197" s="401"/>
      <c r="W197" s="401"/>
      <c r="X197" s="401"/>
      <c r="Y197" s="401"/>
      <c r="Z197" s="401"/>
      <c r="AA197" s="401"/>
      <c r="AB197" s="401"/>
    </row>
    <row r="198" spans="12:28" ht="19.05" customHeight="1">
      <c r="L198" s="400"/>
      <c r="O198" s="401"/>
      <c r="P198" s="401"/>
      <c r="R198" s="401"/>
      <c r="S198" s="401"/>
      <c r="T198" s="401"/>
      <c r="U198" s="401"/>
      <c r="V198" s="401"/>
      <c r="W198" s="401"/>
      <c r="X198" s="401"/>
      <c r="Y198" s="401"/>
      <c r="Z198" s="401"/>
      <c r="AA198" s="401"/>
      <c r="AB198" s="401"/>
    </row>
    <row r="199" spans="12:28" ht="19.05" customHeight="1">
      <c r="L199" s="400"/>
      <c r="O199" s="401"/>
      <c r="P199" s="401"/>
      <c r="R199" s="401"/>
      <c r="S199" s="401"/>
      <c r="T199" s="401"/>
      <c r="U199" s="401"/>
      <c r="V199" s="401"/>
      <c r="W199" s="401"/>
      <c r="X199" s="401"/>
      <c r="Y199" s="401"/>
      <c r="Z199" s="401"/>
      <c r="AA199" s="401"/>
      <c r="AB199" s="401"/>
    </row>
    <row r="200" spans="12:28" ht="19.05" customHeight="1">
      <c r="L200" s="400"/>
      <c r="O200" s="401"/>
      <c r="P200" s="401"/>
      <c r="R200" s="401"/>
      <c r="S200" s="401"/>
      <c r="T200" s="401"/>
      <c r="U200" s="401"/>
      <c r="V200" s="401"/>
      <c r="W200" s="401"/>
      <c r="X200" s="401"/>
      <c r="Y200" s="401"/>
      <c r="Z200" s="401"/>
      <c r="AA200" s="401"/>
      <c r="AB200" s="401"/>
    </row>
    <row r="201" spans="12:28" ht="19.05" customHeight="1">
      <c r="L201" s="400"/>
      <c r="O201" s="401"/>
      <c r="P201" s="401"/>
      <c r="R201" s="401"/>
      <c r="S201" s="401"/>
      <c r="T201" s="401"/>
      <c r="U201" s="401"/>
      <c r="V201" s="401"/>
      <c r="W201" s="401"/>
      <c r="X201" s="401"/>
      <c r="Y201" s="401"/>
      <c r="Z201" s="401"/>
      <c r="AA201" s="401"/>
      <c r="AB201" s="401"/>
    </row>
    <row r="202" spans="12:28" ht="19.05" customHeight="1">
      <c r="L202" s="400"/>
      <c r="O202" s="401"/>
      <c r="P202" s="401"/>
      <c r="R202" s="401"/>
      <c r="S202" s="401"/>
      <c r="T202" s="401"/>
      <c r="U202" s="401"/>
      <c r="V202" s="401"/>
      <c r="W202" s="401"/>
      <c r="X202" s="401"/>
      <c r="Y202" s="401"/>
      <c r="Z202" s="401"/>
      <c r="AA202" s="401"/>
      <c r="AB202" s="401"/>
    </row>
    <row r="203" spans="12:28" ht="19.05" customHeight="1">
      <c r="L203" s="400"/>
      <c r="O203" s="401"/>
      <c r="P203" s="401"/>
      <c r="R203" s="401"/>
      <c r="S203" s="401"/>
      <c r="T203" s="401"/>
      <c r="U203" s="401"/>
      <c r="V203" s="401"/>
      <c r="W203" s="401"/>
      <c r="X203" s="401"/>
      <c r="Y203" s="401"/>
      <c r="Z203" s="401"/>
      <c r="AA203" s="401"/>
      <c r="AB203" s="401"/>
    </row>
    <row r="204" spans="12:28" ht="19.05" customHeight="1">
      <c r="L204" s="400"/>
      <c r="O204" s="401"/>
      <c r="P204" s="401"/>
      <c r="R204" s="401"/>
      <c r="S204" s="401"/>
      <c r="T204" s="401"/>
      <c r="U204" s="401"/>
      <c r="V204" s="401"/>
      <c r="W204" s="401"/>
      <c r="X204" s="401"/>
      <c r="Y204" s="401"/>
      <c r="Z204" s="401"/>
      <c r="AA204" s="401"/>
      <c r="AB204" s="401"/>
    </row>
    <row r="205" spans="12:28" ht="19.05" customHeight="1">
      <c r="L205" s="400"/>
      <c r="O205" s="401"/>
      <c r="P205" s="401"/>
      <c r="R205" s="401"/>
      <c r="S205" s="401"/>
      <c r="T205" s="401"/>
      <c r="U205" s="401"/>
      <c r="V205" s="401"/>
      <c r="W205" s="401"/>
      <c r="X205" s="401"/>
      <c r="Y205" s="401"/>
      <c r="Z205" s="401"/>
      <c r="AA205" s="401"/>
      <c r="AB205" s="401"/>
    </row>
    <row r="206" spans="12:28" ht="19.05" customHeight="1">
      <c r="L206" s="400"/>
      <c r="O206" s="401"/>
      <c r="P206" s="401"/>
      <c r="R206" s="401"/>
      <c r="S206" s="401"/>
      <c r="T206" s="401"/>
      <c r="U206" s="401"/>
      <c r="V206" s="401"/>
      <c r="W206" s="401"/>
      <c r="X206" s="401"/>
      <c r="Y206" s="401"/>
      <c r="Z206" s="401"/>
      <c r="AA206" s="401"/>
      <c r="AB206" s="401"/>
    </row>
    <row r="207" spans="12:28" ht="19.05" customHeight="1">
      <c r="L207" s="400"/>
      <c r="O207" s="401"/>
      <c r="P207" s="401"/>
      <c r="R207" s="401"/>
      <c r="S207" s="401"/>
      <c r="T207" s="401"/>
      <c r="U207" s="401"/>
      <c r="V207" s="401"/>
      <c r="W207" s="401"/>
      <c r="X207" s="401"/>
      <c r="Y207" s="401"/>
      <c r="Z207" s="401"/>
      <c r="AA207" s="401"/>
      <c r="AB207" s="401"/>
    </row>
    <row r="208" spans="12:28" ht="19.05" customHeight="1">
      <c r="L208" s="400"/>
      <c r="O208" s="401"/>
      <c r="P208" s="401"/>
      <c r="R208" s="401"/>
      <c r="S208" s="401"/>
      <c r="T208" s="401"/>
      <c r="U208" s="401"/>
      <c r="V208" s="401"/>
      <c r="W208" s="401"/>
      <c r="X208" s="401"/>
      <c r="Y208" s="401"/>
      <c r="Z208" s="401"/>
      <c r="AA208" s="401"/>
      <c r="AB208" s="401"/>
    </row>
    <row r="209" spans="12:28" ht="19.05" customHeight="1">
      <c r="L209" s="400"/>
      <c r="O209" s="401"/>
      <c r="P209" s="401"/>
      <c r="R209" s="401"/>
      <c r="S209" s="401"/>
      <c r="T209" s="401"/>
      <c r="U209" s="401"/>
      <c r="V209" s="401"/>
      <c r="W209" s="401"/>
      <c r="X209" s="401"/>
      <c r="Y209" s="401"/>
      <c r="Z209" s="401"/>
      <c r="AA209" s="401"/>
      <c r="AB209" s="401"/>
    </row>
    <row r="210" spans="12:28" ht="19.05" customHeight="1">
      <c r="L210" s="400"/>
      <c r="O210" s="401"/>
      <c r="P210" s="401"/>
      <c r="R210" s="401"/>
      <c r="S210" s="401"/>
      <c r="T210" s="401"/>
      <c r="U210" s="401"/>
      <c r="V210" s="401"/>
      <c r="W210" s="401"/>
      <c r="X210" s="401"/>
      <c r="Y210" s="401"/>
      <c r="Z210" s="401"/>
      <c r="AA210" s="401"/>
      <c r="AB210" s="401"/>
    </row>
    <row r="211" spans="12:28" ht="19.05" customHeight="1">
      <c r="L211" s="400"/>
      <c r="O211" s="401"/>
      <c r="P211" s="401"/>
      <c r="R211" s="401"/>
      <c r="S211" s="401"/>
      <c r="T211" s="401"/>
      <c r="U211" s="401"/>
      <c r="V211" s="401"/>
      <c r="W211" s="401"/>
      <c r="X211" s="401"/>
      <c r="Y211" s="401"/>
      <c r="Z211" s="401"/>
      <c r="AA211" s="401"/>
      <c r="AB211" s="401"/>
    </row>
    <row r="212" spans="12:28" ht="19.05" customHeight="1">
      <c r="L212" s="400"/>
      <c r="O212" s="401"/>
      <c r="P212" s="401"/>
      <c r="R212" s="401"/>
      <c r="S212" s="401"/>
      <c r="T212" s="401"/>
      <c r="U212" s="401"/>
      <c r="V212" s="401"/>
      <c r="W212" s="401"/>
      <c r="X212" s="401"/>
      <c r="Y212" s="401"/>
      <c r="Z212" s="401"/>
      <c r="AA212" s="401"/>
      <c r="AB212" s="401"/>
    </row>
    <row r="213" spans="12:28" ht="19.05" customHeight="1">
      <c r="L213" s="400"/>
      <c r="O213" s="401"/>
      <c r="P213" s="401"/>
      <c r="R213" s="401"/>
      <c r="S213" s="401"/>
      <c r="T213" s="401"/>
      <c r="U213" s="401"/>
      <c r="V213" s="401"/>
      <c r="W213" s="401"/>
      <c r="X213" s="401"/>
      <c r="Y213" s="401"/>
      <c r="Z213" s="401"/>
      <c r="AA213" s="401"/>
      <c r="AB213" s="401"/>
    </row>
    <row r="214" spans="12:28" ht="19.05" customHeight="1">
      <c r="L214" s="400"/>
      <c r="O214" s="401"/>
      <c r="P214" s="401"/>
      <c r="R214" s="401"/>
      <c r="S214" s="401"/>
      <c r="T214" s="401"/>
      <c r="U214" s="401"/>
      <c r="V214" s="401"/>
      <c r="W214" s="401"/>
      <c r="X214" s="401"/>
      <c r="Y214" s="401"/>
      <c r="Z214" s="401"/>
      <c r="AA214" s="401"/>
      <c r="AB214" s="401"/>
    </row>
    <row r="215" spans="12:28" ht="19.05" customHeight="1">
      <c r="L215" s="400"/>
      <c r="O215" s="401"/>
      <c r="P215" s="401"/>
      <c r="R215" s="401"/>
      <c r="S215" s="401"/>
      <c r="T215" s="401"/>
      <c r="U215" s="401"/>
      <c r="V215" s="401"/>
      <c r="W215" s="401"/>
      <c r="X215" s="401"/>
      <c r="Y215" s="401"/>
      <c r="Z215" s="401"/>
      <c r="AA215" s="401"/>
      <c r="AB215" s="401"/>
    </row>
    <row r="216" spans="12:28" ht="19.05" customHeight="1">
      <c r="L216" s="400"/>
      <c r="O216" s="401"/>
      <c r="P216" s="401"/>
      <c r="R216" s="401"/>
      <c r="S216" s="401"/>
      <c r="T216" s="401"/>
      <c r="U216" s="401"/>
      <c r="V216" s="401"/>
      <c r="W216" s="401"/>
      <c r="X216" s="401"/>
      <c r="Y216" s="401"/>
      <c r="Z216" s="401"/>
      <c r="AA216" s="401"/>
      <c r="AB216" s="401"/>
    </row>
    <row r="217" spans="12:28" ht="19.05" customHeight="1">
      <c r="L217" s="400"/>
      <c r="O217" s="401"/>
      <c r="P217" s="401"/>
      <c r="R217" s="401"/>
      <c r="S217" s="401"/>
      <c r="T217" s="401"/>
      <c r="U217" s="401"/>
      <c r="V217" s="401"/>
      <c r="W217" s="401"/>
      <c r="X217" s="401"/>
      <c r="Y217" s="401"/>
      <c r="Z217" s="401"/>
      <c r="AA217" s="401"/>
      <c r="AB217" s="401"/>
    </row>
    <row r="218" spans="12:28" ht="19.05" customHeight="1">
      <c r="L218" s="400"/>
      <c r="O218" s="401"/>
      <c r="P218" s="401"/>
      <c r="R218" s="401"/>
      <c r="S218" s="401"/>
      <c r="T218" s="401"/>
      <c r="U218" s="401"/>
      <c r="V218" s="401"/>
      <c r="W218" s="401"/>
      <c r="X218" s="401"/>
      <c r="Y218" s="401"/>
      <c r="Z218" s="401"/>
      <c r="AA218" s="401"/>
      <c r="AB218" s="401"/>
    </row>
    <row r="219" spans="12:28" ht="19.05" customHeight="1">
      <c r="L219" s="400"/>
      <c r="O219" s="401"/>
      <c r="P219" s="401"/>
      <c r="R219" s="401"/>
      <c r="S219" s="401"/>
      <c r="T219" s="401"/>
      <c r="U219" s="401"/>
      <c r="V219" s="401"/>
      <c r="W219" s="401"/>
      <c r="X219" s="401"/>
      <c r="Y219" s="401"/>
      <c r="Z219" s="401"/>
      <c r="AA219" s="401"/>
      <c r="AB219" s="401"/>
    </row>
    <row r="220" spans="12:28" ht="19.05" customHeight="1">
      <c r="L220" s="400"/>
      <c r="O220" s="401"/>
      <c r="P220" s="401"/>
      <c r="R220" s="401"/>
      <c r="S220" s="401"/>
      <c r="T220" s="401"/>
      <c r="U220" s="401"/>
      <c r="V220" s="401"/>
      <c r="W220" s="401"/>
      <c r="X220" s="401"/>
      <c r="Y220" s="401"/>
      <c r="Z220" s="401"/>
      <c r="AA220" s="401"/>
      <c r="AB220" s="401"/>
    </row>
    <row r="221" spans="12:28" ht="19.05" customHeight="1">
      <c r="L221" s="400"/>
      <c r="O221" s="401"/>
      <c r="P221" s="401"/>
      <c r="R221" s="401"/>
      <c r="S221" s="401"/>
      <c r="T221" s="401"/>
      <c r="U221" s="401"/>
      <c r="V221" s="401"/>
      <c r="W221" s="401"/>
      <c r="X221" s="401"/>
      <c r="Y221" s="401"/>
      <c r="Z221" s="401"/>
      <c r="AA221" s="401"/>
      <c r="AB221" s="401"/>
    </row>
    <row r="222" spans="12:28" ht="19.05" customHeight="1">
      <c r="L222" s="400"/>
      <c r="O222" s="401"/>
      <c r="P222" s="401"/>
      <c r="R222" s="401"/>
      <c r="S222" s="401"/>
      <c r="T222" s="401"/>
      <c r="U222" s="401"/>
      <c r="V222" s="401"/>
      <c r="W222" s="401"/>
      <c r="X222" s="401"/>
      <c r="Y222" s="401"/>
      <c r="Z222" s="401"/>
      <c r="AA222" s="401"/>
      <c r="AB222" s="401"/>
    </row>
    <row r="223" spans="12:28" ht="19.05" customHeight="1">
      <c r="L223" s="400"/>
      <c r="O223" s="401"/>
      <c r="P223" s="401"/>
      <c r="R223" s="401"/>
      <c r="S223" s="401"/>
      <c r="T223" s="401"/>
      <c r="U223" s="401"/>
      <c r="V223" s="401"/>
      <c r="W223" s="401"/>
      <c r="X223" s="401"/>
      <c r="Y223" s="401"/>
      <c r="Z223" s="401"/>
      <c r="AA223" s="401"/>
      <c r="AB223" s="401"/>
    </row>
    <row r="224" spans="12:28" ht="19.05" customHeight="1">
      <c r="L224" s="400"/>
      <c r="O224" s="401"/>
      <c r="P224" s="401"/>
      <c r="R224" s="401"/>
      <c r="S224" s="401"/>
      <c r="T224" s="401"/>
      <c r="U224" s="401"/>
      <c r="V224" s="401"/>
      <c r="W224" s="401"/>
      <c r="X224" s="401"/>
      <c r="Y224" s="401"/>
      <c r="Z224" s="401"/>
      <c r="AA224" s="401"/>
      <c r="AB224" s="401"/>
    </row>
    <row r="225" spans="12:28" ht="19.05" customHeight="1">
      <c r="L225" s="400"/>
      <c r="O225" s="401"/>
      <c r="P225" s="401"/>
      <c r="R225" s="401"/>
      <c r="S225" s="401"/>
      <c r="T225" s="401"/>
      <c r="U225" s="401"/>
      <c r="V225" s="401"/>
      <c r="W225" s="401"/>
      <c r="X225" s="401"/>
      <c r="Y225" s="401"/>
      <c r="Z225" s="401"/>
      <c r="AA225" s="401"/>
      <c r="AB225" s="401"/>
    </row>
    <row r="226" spans="12:28" ht="19.05" customHeight="1">
      <c r="L226" s="400"/>
      <c r="O226" s="401"/>
      <c r="P226" s="401"/>
      <c r="R226" s="401"/>
      <c r="S226" s="401"/>
      <c r="T226" s="401"/>
      <c r="U226" s="401"/>
      <c r="V226" s="401"/>
      <c r="W226" s="401"/>
      <c r="X226" s="401"/>
      <c r="Y226" s="401"/>
      <c r="Z226" s="401"/>
      <c r="AA226" s="401"/>
      <c r="AB226" s="401"/>
    </row>
    <row r="227" spans="12:28" ht="19.05" customHeight="1">
      <c r="L227" s="400"/>
      <c r="O227" s="401"/>
      <c r="P227" s="401"/>
      <c r="R227" s="401"/>
      <c r="S227" s="401"/>
      <c r="T227" s="401"/>
      <c r="U227" s="401"/>
      <c r="V227" s="401"/>
      <c r="W227" s="401"/>
      <c r="X227" s="401"/>
      <c r="Y227" s="401"/>
      <c r="Z227" s="401"/>
      <c r="AA227" s="401"/>
      <c r="AB227" s="401"/>
    </row>
    <row r="228" spans="12:28" ht="19.05" customHeight="1">
      <c r="L228" s="400"/>
      <c r="O228" s="401"/>
      <c r="P228" s="401"/>
      <c r="R228" s="401"/>
      <c r="S228" s="401"/>
      <c r="T228" s="401"/>
      <c r="U228" s="401"/>
      <c r="V228" s="401"/>
      <c r="W228" s="401"/>
      <c r="X228" s="401"/>
      <c r="Y228" s="401"/>
      <c r="Z228" s="401"/>
      <c r="AA228" s="401"/>
      <c r="AB228" s="401"/>
    </row>
    <row r="229" spans="12:28" ht="19.05" customHeight="1">
      <c r="L229" s="400"/>
      <c r="O229" s="401"/>
      <c r="P229" s="401"/>
      <c r="R229" s="401"/>
      <c r="S229" s="401"/>
      <c r="T229" s="401"/>
      <c r="U229" s="401"/>
      <c r="V229" s="401"/>
      <c r="W229" s="401"/>
      <c r="X229" s="401"/>
      <c r="Y229" s="401"/>
      <c r="Z229" s="401"/>
      <c r="AA229" s="401"/>
      <c r="AB229" s="401"/>
    </row>
    <row r="230" spans="12:28" ht="19.05" customHeight="1">
      <c r="L230" s="400"/>
      <c r="O230" s="401"/>
      <c r="P230" s="401"/>
      <c r="R230" s="401"/>
      <c r="S230" s="401"/>
      <c r="T230" s="401"/>
      <c r="U230" s="401"/>
      <c r="V230" s="401"/>
      <c r="W230" s="401"/>
      <c r="X230" s="401"/>
      <c r="Y230" s="401"/>
      <c r="Z230" s="401"/>
      <c r="AA230" s="401"/>
      <c r="AB230" s="401"/>
    </row>
    <row r="231" spans="12:28" ht="19.05" customHeight="1">
      <c r="L231" s="400"/>
      <c r="O231" s="401"/>
      <c r="P231" s="401"/>
      <c r="R231" s="401"/>
      <c r="S231" s="401"/>
      <c r="T231" s="401"/>
      <c r="U231" s="401"/>
      <c r="V231" s="401"/>
      <c r="W231" s="401"/>
      <c r="X231" s="401"/>
      <c r="Y231" s="401"/>
      <c r="Z231" s="401"/>
      <c r="AA231" s="401"/>
      <c r="AB231" s="401"/>
    </row>
    <row r="232" spans="12:28" ht="19.05" customHeight="1">
      <c r="L232" s="400"/>
      <c r="O232" s="401"/>
      <c r="P232" s="401"/>
      <c r="R232" s="401"/>
      <c r="S232" s="401"/>
      <c r="T232" s="401"/>
      <c r="U232" s="401"/>
      <c r="V232" s="401"/>
      <c r="W232" s="401"/>
      <c r="X232" s="401"/>
      <c r="Y232" s="401"/>
      <c r="Z232" s="401"/>
      <c r="AA232" s="401"/>
      <c r="AB232" s="401"/>
    </row>
    <row r="233" spans="12:28" ht="19.05" customHeight="1">
      <c r="L233" s="400"/>
      <c r="O233" s="401"/>
      <c r="P233" s="401"/>
      <c r="R233" s="401"/>
      <c r="S233" s="401"/>
      <c r="T233" s="401"/>
      <c r="U233" s="401"/>
      <c r="V233" s="401"/>
      <c r="W233" s="401"/>
      <c r="X233" s="401"/>
      <c r="Y233" s="401"/>
      <c r="Z233" s="401"/>
      <c r="AA233" s="401"/>
      <c r="AB233" s="401"/>
    </row>
    <row r="234" spans="12:28" ht="19.05" customHeight="1">
      <c r="L234" s="400"/>
      <c r="O234" s="401"/>
      <c r="P234" s="401"/>
      <c r="R234" s="401"/>
      <c r="S234" s="401"/>
      <c r="T234" s="401"/>
      <c r="U234" s="401"/>
      <c r="V234" s="401"/>
      <c r="W234" s="401"/>
      <c r="X234" s="401"/>
      <c r="Y234" s="401"/>
      <c r="Z234" s="401"/>
      <c r="AA234" s="401"/>
      <c r="AB234" s="401"/>
    </row>
    <row r="235" spans="12:28" ht="19.05" customHeight="1">
      <c r="L235" s="400"/>
      <c r="O235" s="401"/>
      <c r="P235" s="401"/>
      <c r="R235" s="401"/>
      <c r="S235" s="401"/>
      <c r="T235" s="401"/>
      <c r="U235" s="401"/>
      <c r="V235" s="401"/>
      <c r="W235" s="401"/>
      <c r="X235" s="401"/>
      <c r="Y235" s="401"/>
      <c r="Z235" s="401"/>
      <c r="AA235" s="401"/>
      <c r="AB235" s="401"/>
    </row>
    <row r="236" spans="12:28" ht="19.05" customHeight="1">
      <c r="L236" s="400"/>
      <c r="O236" s="401"/>
      <c r="P236" s="401"/>
      <c r="R236" s="401"/>
      <c r="S236" s="401"/>
      <c r="T236" s="401"/>
      <c r="U236" s="401"/>
      <c r="V236" s="401"/>
      <c r="W236" s="401"/>
      <c r="X236" s="401"/>
      <c r="Y236" s="401"/>
      <c r="Z236" s="401"/>
      <c r="AA236" s="401"/>
      <c r="AB236" s="401"/>
    </row>
    <row r="237" spans="12:28" ht="19.05" customHeight="1">
      <c r="L237" s="400"/>
      <c r="O237" s="401"/>
      <c r="P237" s="401"/>
      <c r="R237" s="401"/>
      <c r="S237" s="401"/>
      <c r="T237" s="401"/>
      <c r="U237" s="401"/>
      <c r="V237" s="401"/>
      <c r="W237" s="401"/>
      <c r="X237" s="401"/>
      <c r="Y237" s="401"/>
      <c r="Z237" s="401"/>
      <c r="AA237" s="401"/>
      <c r="AB237" s="401"/>
    </row>
    <row r="238" spans="12:28" ht="19.05" customHeight="1">
      <c r="L238" s="400"/>
      <c r="O238" s="401"/>
      <c r="P238" s="401"/>
      <c r="R238" s="401"/>
      <c r="S238" s="401"/>
      <c r="T238" s="401"/>
      <c r="U238" s="401"/>
      <c r="V238" s="401"/>
      <c r="W238" s="401"/>
      <c r="X238" s="401"/>
      <c r="Y238" s="401"/>
      <c r="Z238" s="401"/>
      <c r="AA238" s="401"/>
      <c r="AB238" s="401"/>
    </row>
    <row r="239" spans="12:28" ht="19.05" customHeight="1">
      <c r="L239" s="400"/>
      <c r="O239" s="401"/>
      <c r="P239" s="401"/>
      <c r="R239" s="401"/>
      <c r="S239" s="401"/>
      <c r="T239" s="401"/>
      <c r="U239" s="401"/>
      <c r="V239" s="401"/>
      <c r="W239" s="401"/>
      <c r="X239" s="401"/>
      <c r="Y239" s="401"/>
      <c r="Z239" s="401"/>
      <c r="AA239" s="401"/>
      <c r="AB239" s="401"/>
    </row>
    <row r="240" spans="12:28" ht="19.05" customHeight="1">
      <c r="L240" s="400"/>
      <c r="O240" s="401"/>
      <c r="P240" s="401"/>
      <c r="R240" s="401"/>
      <c r="S240" s="401"/>
      <c r="T240" s="401"/>
      <c r="U240" s="401"/>
      <c r="V240" s="401"/>
      <c r="W240" s="401"/>
      <c r="X240" s="401"/>
      <c r="Y240" s="401"/>
      <c r="Z240" s="401"/>
      <c r="AA240" s="401"/>
      <c r="AB240" s="401"/>
    </row>
    <row r="241" spans="12:28" ht="19.05" customHeight="1">
      <c r="L241" s="400"/>
      <c r="O241" s="401"/>
      <c r="P241" s="401"/>
      <c r="R241" s="401"/>
      <c r="S241" s="401"/>
      <c r="T241" s="401"/>
      <c r="U241" s="401"/>
      <c r="V241" s="401"/>
      <c r="W241" s="401"/>
      <c r="X241" s="401"/>
      <c r="Y241" s="401"/>
      <c r="Z241" s="401"/>
      <c r="AA241" s="401"/>
      <c r="AB241" s="401"/>
    </row>
    <row r="242" spans="12:28" ht="19.05" customHeight="1">
      <c r="L242" s="400"/>
      <c r="O242" s="401"/>
      <c r="P242" s="401"/>
      <c r="R242" s="401"/>
      <c r="S242" s="401"/>
      <c r="T242" s="401"/>
      <c r="U242" s="401"/>
      <c r="V242" s="401"/>
      <c r="W242" s="401"/>
      <c r="X242" s="401"/>
      <c r="Y242" s="401"/>
      <c r="Z242" s="401"/>
      <c r="AA242" s="401"/>
      <c r="AB242" s="401"/>
    </row>
    <row r="243" spans="12:28" ht="19.05" customHeight="1">
      <c r="L243" s="400"/>
      <c r="O243" s="401"/>
      <c r="P243" s="401"/>
      <c r="R243" s="401"/>
      <c r="S243" s="401"/>
      <c r="T243" s="401"/>
      <c r="U243" s="401"/>
      <c r="V243" s="401"/>
      <c r="W243" s="401"/>
      <c r="X243" s="401"/>
      <c r="Y243" s="401"/>
      <c r="Z243" s="401"/>
      <c r="AA243" s="401"/>
      <c r="AB243" s="401"/>
    </row>
    <row r="244" spans="12:28" ht="19.05" customHeight="1">
      <c r="L244" s="400"/>
      <c r="O244" s="401"/>
      <c r="P244" s="401"/>
      <c r="R244" s="401"/>
      <c r="S244" s="401"/>
      <c r="T244" s="401"/>
      <c r="U244" s="401"/>
      <c r="V244" s="401"/>
      <c r="W244" s="401"/>
      <c r="X244" s="401"/>
      <c r="Y244" s="401"/>
      <c r="Z244" s="401"/>
      <c r="AA244" s="401"/>
      <c r="AB244" s="401"/>
    </row>
    <row r="245" spans="12:28" ht="19.05" customHeight="1">
      <c r="L245" s="400"/>
      <c r="O245" s="401"/>
      <c r="P245" s="401"/>
      <c r="R245" s="401"/>
      <c r="S245" s="401"/>
      <c r="T245" s="401"/>
      <c r="U245" s="401"/>
      <c r="V245" s="401"/>
      <c r="W245" s="401"/>
      <c r="X245" s="401"/>
      <c r="Y245" s="401"/>
      <c r="Z245" s="401"/>
      <c r="AA245" s="401"/>
      <c r="AB245" s="401"/>
    </row>
    <row r="246" spans="12:28" ht="19.05" customHeight="1">
      <c r="L246" s="400"/>
      <c r="O246" s="401"/>
      <c r="P246" s="401"/>
      <c r="R246" s="401"/>
      <c r="S246" s="401"/>
      <c r="T246" s="401"/>
      <c r="U246" s="401"/>
      <c r="V246" s="401"/>
      <c r="W246" s="401"/>
      <c r="X246" s="401"/>
      <c r="Y246" s="401"/>
      <c r="Z246" s="401"/>
      <c r="AA246" s="401"/>
      <c r="AB246" s="401"/>
    </row>
    <row r="247" spans="12:28" ht="19.05" customHeight="1">
      <c r="L247" s="400"/>
      <c r="O247" s="401"/>
      <c r="P247" s="401"/>
      <c r="R247" s="401"/>
      <c r="S247" s="401"/>
      <c r="T247" s="401"/>
      <c r="U247" s="401"/>
      <c r="V247" s="401"/>
      <c r="W247" s="401"/>
      <c r="X247" s="401"/>
      <c r="Y247" s="401"/>
      <c r="Z247" s="401"/>
      <c r="AA247" s="401"/>
      <c r="AB247" s="401"/>
    </row>
    <row r="248" spans="12:28" ht="19.05" customHeight="1">
      <c r="L248" s="400"/>
      <c r="O248" s="401"/>
      <c r="P248" s="401"/>
      <c r="R248" s="401"/>
      <c r="S248" s="401"/>
      <c r="T248" s="401"/>
      <c r="U248" s="401"/>
      <c r="V248" s="401"/>
      <c r="W248" s="401"/>
      <c r="X248" s="401"/>
      <c r="Y248" s="401"/>
      <c r="Z248" s="401"/>
      <c r="AA248" s="401"/>
      <c r="AB248" s="401"/>
    </row>
    <row r="249" spans="12:28" ht="19.05" customHeight="1">
      <c r="L249" s="400"/>
      <c r="O249" s="401"/>
      <c r="P249" s="401"/>
      <c r="R249" s="401"/>
      <c r="S249" s="401"/>
      <c r="T249" s="401"/>
      <c r="U249" s="401"/>
      <c r="V249" s="401"/>
      <c r="W249" s="401"/>
      <c r="X249" s="401"/>
      <c r="Y249" s="401"/>
      <c r="Z249" s="401"/>
      <c r="AA249" s="401"/>
      <c r="AB249" s="401"/>
    </row>
    <row r="250" spans="12:28" ht="19.05" customHeight="1">
      <c r="L250" s="400"/>
      <c r="O250" s="401"/>
      <c r="P250" s="401"/>
      <c r="R250" s="401"/>
      <c r="S250" s="401"/>
      <c r="T250" s="401"/>
      <c r="U250" s="401"/>
      <c r="V250" s="401"/>
      <c r="W250" s="401"/>
      <c r="X250" s="401"/>
      <c r="Y250" s="401"/>
      <c r="Z250" s="401"/>
      <c r="AA250" s="401"/>
      <c r="AB250" s="401"/>
    </row>
    <row r="251" spans="12:28" ht="19.05" customHeight="1">
      <c r="L251" s="400"/>
      <c r="O251" s="401"/>
      <c r="P251" s="401"/>
      <c r="R251" s="401"/>
      <c r="S251" s="401"/>
      <c r="T251" s="401"/>
      <c r="U251" s="401"/>
      <c r="V251" s="401"/>
      <c r="W251" s="401"/>
      <c r="X251" s="401"/>
      <c r="Y251" s="401"/>
      <c r="Z251" s="401"/>
      <c r="AA251" s="401"/>
      <c r="AB251" s="401"/>
    </row>
    <row r="252" spans="12:28" ht="19.05" customHeight="1">
      <c r="L252" s="400"/>
      <c r="O252" s="401"/>
      <c r="P252" s="401"/>
      <c r="R252" s="401"/>
      <c r="S252" s="401"/>
      <c r="T252" s="401"/>
      <c r="U252" s="401"/>
      <c r="V252" s="401"/>
      <c r="W252" s="401"/>
      <c r="X252" s="401"/>
      <c r="Y252" s="401"/>
      <c r="Z252" s="401"/>
      <c r="AA252" s="401"/>
      <c r="AB252" s="401"/>
    </row>
    <row r="253" spans="12:28" ht="19.05" customHeight="1">
      <c r="L253" s="400"/>
      <c r="O253" s="401"/>
      <c r="P253" s="401"/>
      <c r="R253" s="401"/>
      <c r="S253" s="401"/>
      <c r="T253" s="401"/>
      <c r="U253" s="401"/>
      <c r="V253" s="401"/>
      <c r="W253" s="401"/>
      <c r="X253" s="401"/>
      <c r="Y253" s="401"/>
      <c r="Z253" s="401"/>
      <c r="AA253" s="401"/>
      <c r="AB253" s="401"/>
    </row>
    <row r="254" spans="12:28" ht="19.05" customHeight="1">
      <c r="L254" s="400"/>
      <c r="O254" s="401"/>
      <c r="P254" s="401"/>
      <c r="R254" s="401"/>
      <c r="S254" s="401"/>
      <c r="T254" s="401"/>
      <c r="U254" s="401"/>
      <c r="V254" s="401"/>
      <c r="W254" s="401"/>
      <c r="X254" s="401"/>
      <c r="Y254" s="401"/>
      <c r="Z254" s="401"/>
      <c r="AA254" s="401"/>
      <c r="AB254" s="401"/>
    </row>
    <row r="255" spans="12:28" ht="19.05" customHeight="1">
      <c r="L255" s="400"/>
      <c r="O255" s="401"/>
      <c r="P255" s="401"/>
      <c r="R255" s="401"/>
      <c r="S255" s="401"/>
      <c r="T255" s="401"/>
      <c r="U255" s="401"/>
      <c r="V255" s="401"/>
      <c r="W255" s="401"/>
      <c r="X255" s="401"/>
      <c r="Y255" s="401"/>
      <c r="Z255" s="401"/>
      <c r="AA255" s="401"/>
      <c r="AB255" s="401"/>
    </row>
    <row r="256" spans="12:28" ht="19.05" customHeight="1">
      <c r="L256" s="400"/>
      <c r="O256" s="401"/>
      <c r="P256" s="401"/>
      <c r="R256" s="401"/>
      <c r="S256" s="401"/>
      <c r="T256" s="401"/>
      <c r="U256" s="401"/>
      <c r="V256" s="401"/>
      <c r="W256" s="401"/>
      <c r="X256" s="401"/>
      <c r="Y256" s="401"/>
      <c r="Z256" s="401"/>
      <c r="AA256" s="401"/>
      <c r="AB256" s="401"/>
    </row>
    <row r="257" spans="12:28" ht="19.05" customHeight="1">
      <c r="L257" s="400"/>
      <c r="O257" s="401"/>
      <c r="P257" s="401"/>
      <c r="R257" s="401"/>
      <c r="S257" s="401"/>
      <c r="T257" s="401"/>
      <c r="U257" s="401"/>
      <c r="V257" s="401"/>
      <c r="W257" s="401"/>
      <c r="X257" s="401"/>
      <c r="Y257" s="401"/>
      <c r="Z257" s="401"/>
      <c r="AA257" s="401"/>
      <c r="AB257" s="401"/>
    </row>
    <row r="258" spans="12:28" ht="19.05" customHeight="1">
      <c r="L258" s="400"/>
      <c r="O258" s="401"/>
      <c r="P258" s="401"/>
      <c r="R258" s="401"/>
      <c r="S258" s="401"/>
      <c r="T258" s="401"/>
      <c r="U258" s="401"/>
      <c r="V258" s="401"/>
      <c r="W258" s="401"/>
      <c r="X258" s="401"/>
      <c r="Y258" s="401"/>
      <c r="Z258" s="401"/>
      <c r="AA258" s="401"/>
      <c r="AB258" s="401"/>
    </row>
    <row r="259" spans="12:28" ht="19.05" customHeight="1">
      <c r="L259" s="400"/>
      <c r="O259" s="401"/>
      <c r="P259" s="401"/>
      <c r="R259" s="401"/>
      <c r="S259" s="401"/>
      <c r="T259" s="401"/>
      <c r="U259" s="401"/>
      <c r="V259" s="401"/>
      <c r="W259" s="401"/>
      <c r="X259" s="401"/>
      <c r="Y259" s="401"/>
      <c r="Z259" s="401"/>
      <c r="AA259" s="401"/>
      <c r="AB259" s="401"/>
    </row>
    <row r="260" spans="12:28" ht="19.05" customHeight="1">
      <c r="L260" s="400"/>
      <c r="O260" s="401"/>
      <c r="P260" s="401"/>
      <c r="R260" s="401"/>
      <c r="S260" s="401"/>
      <c r="T260" s="401"/>
      <c r="U260" s="401"/>
      <c r="V260" s="401"/>
      <c r="W260" s="401"/>
      <c r="X260" s="401"/>
      <c r="Y260" s="401"/>
      <c r="Z260" s="401"/>
      <c r="AA260" s="401"/>
      <c r="AB260" s="401"/>
    </row>
    <row r="261" spans="12:28" ht="19.05" customHeight="1">
      <c r="L261" s="400"/>
      <c r="O261" s="401"/>
      <c r="P261" s="401"/>
      <c r="R261" s="401"/>
      <c r="S261" s="401"/>
      <c r="T261" s="401"/>
      <c r="U261" s="401"/>
      <c r="V261" s="401"/>
      <c r="W261" s="401"/>
      <c r="X261" s="401"/>
      <c r="Y261" s="401"/>
      <c r="Z261" s="401"/>
      <c r="AA261" s="401"/>
      <c r="AB261" s="401"/>
    </row>
    <row r="262" spans="12:28" ht="19.05" customHeight="1">
      <c r="L262" s="400"/>
      <c r="O262" s="401"/>
      <c r="P262" s="401"/>
      <c r="R262" s="401"/>
      <c r="S262" s="401"/>
      <c r="T262" s="401"/>
      <c r="U262" s="401"/>
      <c r="V262" s="401"/>
      <c r="W262" s="401"/>
      <c r="X262" s="401"/>
      <c r="Y262" s="401"/>
      <c r="Z262" s="401"/>
      <c r="AA262" s="401"/>
      <c r="AB262" s="401"/>
    </row>
    <row r="263" spans="12:28" ht="19.05" customHeight="1">
      <c r="L263" s="400"/>
      <c r="O263" s="401"/>
      <c r="P263" s="401"/>
      <c r="R263" s="401"/>
      <c r="S263" s="401"/>
      <c r="T263" s="401"/>
      <c r="U263" s="401"/>
      <c r="V263" s="401"/>
      <c r="W263" s="401"/>
      <c r="X263" s="401"/>
      <c r="Y263" s="401"/>
      <c r="Z263" s="401"/>
      <c r="AA263" s="401"/>
      <c r="AB263" s="401"/>
    </row>
    <row r="264" spans="12:28" ht="19.05" customHeight="1">
      <c r="L264" s="400"/>
      <c r="O264" s="401"/>
      <c r="P264" s="401"/>
      <c r="R264" s="401"/>
      <c r="S264" s="401"/>
      <c r="T264" s="401"/>
      <c r="U264" s="401"/>
      <c r="V264" s="401"/>
      <c r="W264" s="401"/>
      <c r="X264" s="401"/>
      <c r="Y264" s="401"/>
      <c r="Z264" s="401"/>
      <c r="AA264" s="401"/>
      <c r="AB264" s="401"/>
    </row>
    <row r="265" spans="12:28" ht="19.05" customHeight="1">
      <c r="L265" s="400"/>
      <c r="O265" s="401"/>
      <c r="P265" s="401"/>
      <c r="R265" s="401"/>
      <c r="S265" s="401"/>
      <c r="T265" s="401"/>
      <c r="U265" s="401"/>
      <c r="V265" s="401"/>
      <c r="W265" s="401"/>
      <c r="X265" s="401"/>
      <c r="Y265" s="401"/>
      <c r="Z265" s="401"/>
      <c r="AA265" s="401"/>
      <c r="AB265" s="401"/>
    </row>
    <row r="266" spans="12:28" ht="19.05" customHeight="1">
      <c r="L266" s="400"/>
      <c r="O266" s="401"/>
      <c r="P266" s="401"/>
      <c r="R266" s="401"/>
      <c r="S266" s="401"/>
      <c r="T266" s="401"/>
      <c r="U266" s="401"/>
      <c r="V266" s="401"/>
      <c r="W266" s="401"/>
      <c r="X266" s="401"/>
      <c r="Y266" s="401"/>
      <c r="Z266" s="401"/>
      <c r="AA266" s="401"/>
      <c r="AB266" s="401"/>
    </row>
    <row r="267" spans="12:28" ht="19.05" customHeight="1">
      <c r="L267" s="400"/>
      <c r="O267" s="401"/>
      <c r="P267" s="401"/>
      <c r="R267" s="401"/>
      <c r="S267" s="401"/>
      <c r="T267" s="401"/>
      <c r="U267" s="401"/>
      <c r="V267" s="401"/>
      <c r="W267" s="401"/>
      <c r="X267" s="401"/>
      <c r="Y267" s="401"/>
      <c r="Z267" s="401"/>
      <c r="AA267" s="401"/>
      <c r="AB267" s="401"/>
    </row>
    <row r="268" spans="12:28" ht="19.05" customHeight="1">
      <c r="L268" s="400"/>
      <c r="O268" s="401"/>
      <c r="P268" s="401"/>
      <c r="R268" s="401"/>
      <c r="S268" s="401"/>
      <c r="T268" s="401"/>
      <c r="U268" s="401"/>
      <c r="V268" s="401"/>
      <c r="W268" s="401"/>
      <c r="X268" s="401"/>
      <c r="Y268" s="401"/>
      <c r="Z268" s="401"/>
      <c r="AA268" s="401"/>
      <c r="AB268" s="401"/>
    </row>
    <row r="269" spans="12:28" ht="19.05" customHeight="1">
      <c r="L269" s="400"/>
      <c r="O269" s="401"/>
      <c r="P269" s="401"/>
      <c r="R269" s="401"/>
      <c r="S269" s="401"/>
      <c r="T269" s="401"/>
      <c r="U269" s="401"/>
      <c r="V269" s="401"/>
      <c r="W269" s="401"/>
      <c r="X269" s="401"/>
      <c r="Y269" s="401"/>
      <c r="Z269" s="401"/>
      <c r="AA269" s="401"/>
      <c r="AB269" s="401"/>
    </row>
    <row r="270" spans="12:28" ht="19.05" customHeight="1">
      <c r="L270" s="400"/>
      <c r="O270" s="401"/>
      <c r="P270" s="401"/>
      <c r="R270" s="401"/>
      <c r="S270" s="401"/>
      <c r="T270" s="401"/>
      <c r="U270" s="401"/>
      <c r="V270" s="401"/>
      <c r="W270" s="401"/>
      <c r="X270" s="401"/>
      <c r="Y270" s="401"/>
      <c r="Z270" s="401"/>
      <c r="AA270" s="401"/>
      <c r="AB270" s="401"/>
    </row>
    <row r="271" spans="12:28" ht="19.05" customHeight="1">
      <c r="L271" s="400"/>
      <c r="O271" s="401"/>
      <c r="P271" s="401"/>
      <c r="R271" s="401"/>
      <c r="S271" s="401"/>
      <c r="T271" s="401"/>
      <c r="U271" s="401"/>
      <c r="V271" s="401"/>
      <c r="W271" s="401"/>
      <c r="X271" s="401"/>
      <c r="Y271" s="401"/>
      <c r="Z271" s="401"/>
      <c r="AA271" s="401"/>
      <c r="AB271" s="401"/>
    </row>
    <row r="272" spans="12:28" ht="19.05" customHeight="1">
      <c r="L272" s="400"/>
      <c r="O272" s="401"/>
      <c r="P272" s="401"/>
      <c r="R272" s="401"/>
      <c r="S272" s="401"/>
      <c r="T272" s="401"/>
      <c r="U272" s="401"/>
      <c r="V272" s="401"/>
      <c r="W272" s="401"/>
      <c r="X272" s="401"/>
      <c r="Y272" s="401"/>
      <c r="Z272" s="401"/>
      <c r="AA272" s="401"/>
      <c r="AB272" s="401"/>
    </row>
    <row r="273" spans="12:28" ht="19.05" customHeight="1">
      <c r="L273" s="400"/>
      <c r="O273" s="401"/>
      <c r="P273" s="401"/>
      <c r="R273" s="401"/>
      <c r="S273" s="401"/>
      <c r="T273" s="401"/>
      <c r="U273" s="401"/>
      <c r="V273" s="401"/>
      <c r="W273" s="401"/>
      <c r="X273" s="401"/>
      <c r="Y273" s="401"/>
      <c r="Z273" s="401"/>
      <c r="AA273" s="401"/>
      <c r="AB273" s="401"/>
    </row>
    <row r="274" spans="12:28" ht="19.05" customHeight="1">
      <c r="L274" s="400"/>
      <c r="O274" s="401"/>
      <c r="P274" s="401"/>
      <c r="R274" s="401"/>
      <c r="S274" s="401"/>
      <c r="T274" s="401"/>
      <c r="U274" s="401"/>
      <c r="V274" s="401"/>
      <c r="W274" s="401"/>
      <c r="X274" s="401"/>
      <c r="Y274" s="401"/>
      <c r="Z274" s="401"/>
      <c r="AA274" s="401"/>
      <c r="AB274" s="401"/>
    </row>
    <row r="275" spans="12:28" ht="19.05" customHeight="1">
      <c r="L275" s="400"/>
      <c r="O275" s="401"/>
      <c r="P275" s="401"/>
      <c r="R275" s="401"/>
      <c r="S275" s="401"/>
      <c r="T275" s="401"/>
      <c r="U275" s="401"/>
      <c r="V275" s="401"/>
      <c r="W275" s="401"/>
      <c r="X275" s="401"/>
      <c r="Y275" s="401"/>
      <c r="Z275" s="401"/>
      <c r="AA275" s="401"/>
      <c r="AB275" s="401"/>
    </row>
    <row r="276" spans="12:28" ht="19.05" customHeight="1">
      <c r="L276" s="400"/>
      <c r="O276" s="401"/>
      <c r="P276" s="401"/>
      <c r="R276" s="401"/>
      <c r="S276" s="401"/>
      <c r="T276" s="401"/>
      <c r="U276" s="401"/>
      <c r="V276" s="401"/>
      <c r="W276" s="401"/>
      <c r="X276" s="401"/>
      <c r="Y276" s="401"/>
      <c r="Z276" s="401"/>
      <c r="AA276" s="401"/>
      <c r="AB276" s="401"/>
    </row>
    <row r="277" spans="12:28" ht="19.05" customHeight="1">
      <c r="L277" s="400"/>
      <c r="O277" s="401"/>
      <c r="P277" s="401"/>
      <c r="R277" s="401"/>
      <c r="S277" s="401"/>
      <c r="T277" s="401"/>
      <c r="U277" s="401"/>
      <c r="V277" s="401"/>
      <c r="W277" s="401"/>
      <c r="X277" s="401"/>
      <c r="Y277" s="401"/>
      <c r="Z277" s="401"/>
      <c r="AA277" s="401"/>
      <c r="AB277" s="401"/>
    </row>
    <row r="278" spans="12:28" ht="19.05" customHeight="1">
      <c r="L278" s="400"/>
      <c r="O278" s="401"/>
      <c r="P278" s="401"/>
      <c r="R278" s="401"/>
      <c r="S278" s="401"/>
      <c r="T278" s="401"/>
      <c r="U278" s="401"/>
      <c r="V278" s="401"/>
      <c r="W278" s="401"/>
      <c r="X278" s="401"/>
      <c r="Y278" s="401"/>
      <c r="Z278" s="401"/>
      <c r="AA278" s="401"/>
      <c r="AB278" s="401"/>
    </row>
    <row r="279" spans="12:28" ht="19.05" customHeight="1">
      <c r="L279" s="400"/>
      <c r="O279" s="401"/>
      <c r="P279" s="401"/>
      <c r="R279" s="401"/>
      <c r="S279" s="401"/>
      <c r="T279" s="401"/>
      <c r="U279" s="401"/>
      <c r="V279" s="401"/>
      <c r="W279" s="401"/>
      <c r="X279" s="401"/>
      <c r="Y279" s="401"/>
      <c r="Z279" s="401"/>
      <c r="AA279" s="401"/>
      <c r="AB279" s="401"/>
    </row>
    <row r="280" spans="12:28" ht="19.05" customHeight="1">
      <c r="L280" s="400"/>
      <c r="O280" s="401"/>
      <c r="P280" s="401"/>
      <c r="R280" s="401"/>
      <c r="S280" s="401"/>
      <c r="T280" s="401"/>
      <c r="U280" s="401"/>
      <c r="V280" s="401"/>
      <c r="W280" s="401"/>
      <c r="X280" s="401"/>
      <c r="Y280" s="401"/>
      <c r="Z280" s="401"/>
      <c r="AA280" s="401"/>
      <c r="AB280" s="401"/>
    </row>
    <row r="281" spans="12:28" ht="19.05" customHeight="1">
      <c r="L281" s="400"/>
      <c r="O281" s="401"/>
      <c r="P281" s="401"/>
      <c r="R281" s="401"/>
      <c r="S281" s="401"/>
      <c r="T281" s="401"/>
      <c r="U281" s="401"/>
      <c r="V281" s="401"/>
      <c r="W281" s="401"/>
      <c r="X281" s="401"/>
      <c r="Y281" s="401"/>
      <c r="Z281" s="401"/>
      <c r="AA281" s="401"/>
      <c r="AB281" s="401"/>
    </row>
    <row r="282" spans="12:28" ht="19.05" customHeight="1">
      <c r="L282" s="400"/>
      <c r="O282" s="401"/>
      <c r="P282" s="401"/>
      <c r="R282" s="401"/>
      <c r="S282" s="401"/>
      <c r="T282" s="401"/>
      <c r="U282" s="401"/>
      <c r="V282" s="401"/>
      <c r="W282" s="401"/>
      <c r="X282" s="401"/>
      <c r="Y282" s="401"/>
      <c r="Z282" s="401"/>
      <c r="AA282" s="401"/>
      <c r="AB282" s="401"/>
    </row>
    <row r="283" spans="12:28" ht="19.05" customHeight="1">
      <c r="L283" s="400"/>
      <c r="O283" s="401"/>
      <c r="P283" s="401"/>
      <c r="R283" s="401"/>
      <c r="S283" s="401"/>
      <c r="T283" s="401"/>
      <c r="U283" s="401"/>
      <c r="V283" s="401"/>
      <c r="W283" s="401"/>
      <c r="X283" s="401"/>
      <c r="Y283" s="401"/>
      <c r="Z283" s="401"/>
      <c r="AA283" s="401"/>
      <c r="AB283" s="401"/>
    </row>
    <row r="284" spans="12:28" ht="19.05" customHeight="1">
      <c r="L284" s="400"/>
      <c r="O284" s="401"/>
      <c r="P284" s="401"/>
      <c r="R284" s="401"/>
      <c r="S284" s="401"/>
      <c r="T284" s="401"/>
      <c r="U284" s="401"/>
      <c r="V284" s="401"/>
      <c r="W284" s="401"/>
      <c r="X284" s="401"/>
      <c r="Y284" s="401"/>
      <c r="Z284" s="401"/>
      <c r="AA284" s="401"/>
      <c r="AB284" s="401"/>
    </row>
    <row r="285" spans="12:28" ht="19.05" customHeight="1">
      <c r="L285" s="400"/>
      <c r="O285" s="401"/>
      <c r="P285" s="401"/>
      <c r="R285" s="401"/>
      <c r="S285" s="401"/>
      <c r="T285" s="401"/>
      <c r="U285" s="401"/>
      <c r="V285" s="401"/>
      <c r="W285" s="401"/>
      <c r="X285" s="401"/>
      <c r="Y285" s="401"/>
      <c r="Z285" s="401"/>
      <c r="AA285" s="401"/>
      <c r="AB285" s="401"/>
    </row>
    <row r="286" spans="12:28" ht="19.05" customHeight="1">
      <c r="L286" s="400"/>
      <c r="O286" s="401"/>
      <c r="P286" s="401"/>
      <c r="R286" s="401"/>
      <c r="S286" s="401"/>
      <c r="T286" s="401"/>
      <c r="U286" s="401"/>
      <c r="V286" s="401"/>
      <c r="W286" s="401"/>
      <c r="X286" s="401"/>
      <c r="Y286" s="401"/>
      <c r="Z286" s="401"/>
      <c r="AA286" s="401"/>
      <c r="AB286" s="401"/>
    </row>
    <row r="287" spans="12:28" ht="19.05" customHeight="1">
      <c r="L287" s="400"/>
      <c r="O287" s="401"/>
      <c r="P287" s="401"/>
      <c r="R287" s="401"/>
      <c r="S287" s="401"/>
      <c r="T287" s="401"/>
      <c r="U287" s="401"/>
      <c r="V287" s="401"/>
      <c r="W287" s="401"/>
      <c r="X287" s="401"/>
      <c r="Y287" s="401"/>
      <c r="Z287" s="401"/>
      <c r="AA287" s="401"/>
      <c r="AB287" s="401"/>
    </row>
    <row r="288" spans="12:28" ht="19.05" customHeight="1">
      <c r="L288" s="400"/>
      <c r="O288" s="401"/>
      <c r="P288" s="401"/>
      <c r="R288" s="401"/>
      <c r="S288" s="401"/>
      <c r="T288" s="401"/>
      <c r="U288" s="401"/>
      <c r="V288" s="401"/>
      <c r="W288" s="401"/>
      <c r="X288" s="401"/>
      <c r="Y288" s="401"/>
      <c r="Z288" s="401"/>
      <c r="AA288" s="401"/>
      <c r="AB288" s="401"/>
    </row>
    <row r="289" spans="12:28" ht="19.05" customHeight="1">
      <c r="L289" s="400"/>
      <c r="O289" s="401"/>
      <c r="P289" s="401"/>
      <c r="R289" s="401"/>
      <c r="S289" s="401"/>
      <c r="T289" s="401"/>
      <c r="U289" s="401"/>
      <c r="V289" s="401"/>
      <c r="W289" s="401"/>
      <c r="X289" s="401"/>
      <c r="Y289" s="401"/>
      <c r="Z289" s="401"/>
      <c r="AA289" s="401"/>
      <c r="AB289" s="401"/>
    </row>
    <row r="290" spans="12:28" ht="19.05" customHeight="1">
      <c r="L290" s="400"/>
      <c r="O290" s="401"/>
      <c r="P290" s="401"/>
      <c r="R290" s="401"/>
      <c r="S290" s="401"/>
      <c r="T290" s="401"/>
      <c r="U290" s="401"/>
      <c r="V290" s="401"/>
      <c r="W290" s="401"/>
      <c r="X290" s="401"/>
      <c r="Y290" s="401"/>
      <c r="Z290" s="401"/>
      <c r="AA290" s="401"/>
      <c r="AB290" s="401"/>
    </row>
    <row r="291" spans="12:28" ht="19.05" customHeight="1">
      <c r="L291" s="400"/>
      <c r="O291" s="401"/>
      <c r="P291" s="401"/>
      <c r="R291" s="401"/>
      <c r="S291" s="401"/>
      <c r="T291" s="401"/>
      <c r="U291" s="401"/>
      <c r="V291" s="401"/>
      <c r="W291" s="401"/>
      <c r="X291" s="401"/>
      <c r="Y291" s="401"/>
      <c r="Z291" s="401"/>
      <c r="AA291" s="401"/>
      <c r="AB291" s="401"/>
    </row>
    <row r="292" spans="12:28" ht="19.05" customHeight="1">
      <c r="L292" s="400"/>
      <c r="O292" s="401"/>
      <c r="P292" s="401"/>
      <c r="R292" s="401"/>
      <c r="S292" s="401"/>
      <c r="T292" s="401"/>
      <c r="U292" s="401"/>
      <c r="V292" s="401"/>
      <c r="W292" s="401"/>
      <c r="X292" s="401"/>
      <c r="Y292" s="401"/>
      <c r="Z292" s="401"/>
      <c r="AA292" s="401"/>
      <c r="AB292" s="401"/>
    </row>
    <row r="293" spans="12:28" ht="19.05" customHeight="1">
      <c r="L293" s="400"/>
      <c r="O293" s="401"/>
      <c r="P293" s="401"/>
      <c r="R293" s="401"/>
      <c r="S293" s="401"/>
      <c r="T293" s="401"/>
      <c r="U293" s="401"/>
      <c r="V293" s="401"/>
      <c r="W293" s="401"/>
      <c r="X293" s="401"/>
      <c r="Y293" s="401"/>
      <c r="Z293" s="401"/>
      <c r="AA293" s="401"/>
      <c r="AB293" s="401"/>
    </row>
    <row r="294" spans="12:28" ht="19.05" customHeight="1">
      <c r="L294" s="400"/>
      <c r="O294" s="401"/>
      <c r="P294" s="401"/>
      <c r="R294" s="401"/>
      <c r="S294" s="401"/>
      <c r="T294" s="401"/>
      <c r="U294" s="401"/>
      <c r="V294" s="401"/>
      <c r="W294" s="401"/>
      <c r="X294" s="401"/>
      <c r="Y294" s="401"/>
      <c r="Z294" s="401"/>
      <c r="AA294" s="401"/>
      <c r="AB294" s="401"/>
    </row>
    <row r="295" spans="12:28" ht="19.05" customHeight="1">
      <c r="L295" s="400"/>
      <c r="O295" s="401"/>
      <c r="P295" s="401"/>
      <c r="R295" s="401"/>
      <c r="S295" s="401"/>
      <c r="T295" s="401"/>
      <c r="U295" s="401"/>
      <c r="V295" s="401"/>
      <c r="W295" s="401"/>
      <c r="X295" s="401"/>
      <c r="Y295" s="401"/>
      <c r="Z295" s="401"/>
      <c r="AA295" s="401"/>
      <c r="AB295" s="401"/>
    </row>
    <row r="296" spans="12:28" ht="19.05" customHeight="1">
      <c r="L296" s="400"/>
      <c r="O296" s="401"/>
      <c r="P296" s="401"/>
      <c r="R296" s="401"/>
      <c r="S296" s="401"/>
      <c r="T296" s="401"/>
      <c r="U296" s="401"/>
      <c r="V296" s="401"/>
      <c r="W296" s="401"/>
      <c r="X296" s="401"/>
      <c r="Y296" s="401"/>
      <c r="Z296" s="401"/>
      <c r="AA296" s="401"/>
      <c r="AB296" s="401"/>
    </row>
    <row r="297" spans="12:28" ht="19.05" customHeight="1">
      <c r="L297" s="400"/>
      <c r="O297" s="401"/>
      <c r="P297" s="401"/>
      <c r="R297" s="401"/>
      <c r="S297" s="401"/>
      <c r="T297" s="401"/>
      <c r="U297" s="401"/>
      <c r="V297" s="401"/>
      <c r="W297" s="401"/>
      <c r="X297" s="401"/>
      <c r="Y297" s="401"/>
      <c r="Z297" s="401"/>
      <c r="AA297" s="401"/>
      <c r="AB297" s="401"/>
    </row>
    <row r="298" spans="12:28" ht="19.05" customHeight="1">
      <c r="L298" s="400"/>
      <c r="O298" s="401"/>
      <c r="P298" s="401"/>
      <c r="R298" s="401"/>
      <c r="S298" s="401"/>
      <c r="T298" s="401"/>
      <c r="U298" s="401"/>
      <c r="V298" s="401"/>
      <c r="W298" s="401"/>
      <c r="X298" s="401"/>
      <c r="Y298" s="401"/>
      <c r="Z298" s="401"/>
      <c r="AA298" s="401"/>
      <c r="AB298" s="401"/>
    </row>
    <row r="299" spans="12:28" ht="19.05" customHeight="1">
      <c r="L299" s="400"/>
      <c r="O299" s="401"/>
      <c r="P299" s="401"/>
      <c r="R299" s="401"/>
      <c r="S299" s="401"/>
      <c r="T299" s="401"/>
      <c r="U299" s="401"/>
      <c r="V299" s="401"/>
      <c r="W299" s="401"/>
      <c r="X299" s="401"/>
      <c r="Y299" s="401"/>
      <c r="Z299" s="401"/>
      <c r="AA299" s="401"/>
      <c r="AB299" s="401"/>
    </row>
    <row r="300" spans="12:28" ht="19.05" customHeight="1">
      <c r="L300" s="400"/>
      <c r="O300" s="401"/>
      <c r="P300" s="401"/>
      <c r="R300" s="401"/>
      <c r="S300" s="401"/>
      <c r="T300" s="401"/>
      <c r="U300" s="401"/>
      <c r="V300" s="401"/>
      <c r="W300" s="401"/>
      <c r="X300" s="401"/>
      <c r="Y300" s="401"/>
      <c r="Z300" s="401"/>
      <c r="AA300" s="401"/>
      <c r="AB300" s="401"/>
    </row>
    <row r="301" spans="12:28" ht="19.05" customHeight="1">
      <c r="L301" s="400"/>
      <c r="O301" s="401"/>
      <c r="P301" s="401"/>
      <c r="R301" s="401"/>
      <c r="S301" s="401"/>
      <c r="T301" s="401"/>
      <c r="U301" s="401"/>
      <c r="V301" s="401"/>
      <c r="W301" s="401"/>
      <c r="X301" s="401"/>
      <c r="Y301" s="401"/>
      <c r="Z301" s="401"/>
      <c r="AA301" s="401"/>
      <c r="AB301" s="401"/>
    </row>
    <row r="302" spans="12:28" ht="19.05" customHeight="1">
      <c r="L302" s="400"/>
      <c r="O302" s="401"/>
      <c r="P302" s="401"/>
      <c r="R302" s="401"/>
      <c r="S302" s="401"/>
      <c r="T302" s="401"/>
      <c r="U302" s="401"/>
      <c r="V302" s="401"/>
      <c r="W302" s="401"/>
      <c r="X302" s="401"/>
      <c r="Y302" s="401"/>
      <c r="Z302" s="401"/>
      <c r="AA302" s="401"/>
      <c r="AB302" s="401"/>
    </row>
    <row r="303" spans="12:28" ht="19.05" customHeight="1">
      <c r="L303" s="400"/>
      <c r="O303" s="401"/>
      <c r="P303" s="401"/>
      <c r="R303" s="401"/>
      <c r="S303" s="401"/>
      <c r="T303" s="401"/>
      <c r="U303" s="401"/>
      <c r="V303" s="401"/>
      <c r="W303" s="401"/>
      <c r="X303" s="401"/>
      <c r="Y303" s="401"/>
      <c r="Z303" s="401"/>
      <c r="AA303" s="401"/>
      <c r="AB303" s="401"/>
    </row>
    <row r="304" spans="12:28" ht="19.05" customHeight="1">
      <c r="L304" s="400"/>
      <c r="O304" s="401"/>
      <c r="P304" s="401"/>
      <c r="R304" s="401"/>
      <c r="S304" s="401"/>
      <c r="T304" s="401"/>
      <c r="U304" s="401"/>
      <c r="V304" s="401"/>
      <c r="W304" s="401"/>
      <c r="X304" s="401"/>
      <c r="Y304" s="401"/>
      <c r="Z304" s="401"/>
      <c r="AA304" s="401"/>
      <c r="AB304" s="401"/>
    </row>
    <row r="305" spans="12:28" ht="19.05" customHeight="1">
      <c r="L305" s="400"/>
      <c r="O305" s="401"/>
      <c r="P305" s="401"/>
      <c r="R305" s="401"/>
      <c r="S305" s="401"/>
      <c r="T305" s="401"/>
      <c r="U305" s="401"/>
      <c r="V305" s="401"/>
      <c r="W305" s="401"/>
      <c r="X305" s="401"/>
      <c r="Y305" s="401"/>
      <c r="Z305" s="401"/>
      <c r="AA305" s="401"/>
      <c r="AB305" s="401"/>
    </row>
    <row r="306" spans="12:28" ht="19.05" customHeight="1">
      <c r="L306" s="400"/>
      <c r="O306" s="401"/>
      <c r="P306" s="401"/>
      <c r="R306" s="401"/>
      <c r="S306" s="401"/>
      <c r="T306" s="401"/>
      <c r="U306" s="401"/>
      <c r="V306" s="401"/>
      <c r="W306" s="401"/>
      <c r="X306" s="401"/>
      <c r="Y306" s="401"/>
      <c r="Z306" s="401"/>
      <c r="AA306" s="401"/>
      <c r="AB306" s="401"/>
    </row>
    <row r="307" spans="12:28" ht="19.05" customHeight="1">
      <c r="L307" s="400"/>
      <c r="O307" s="401"/>
      <c r="P307" s="401"/>
      <c r="R307" s="401"/>
      <c r="S307" s="401"/>
      <c r="T307" s="401"/>
      <c r="U307" s="401"/>
      <c r="V307" s="401"/>
      <c r="W307" s="401"/>
      <c r="X307" s="401"/>
      <c r="Y307" s="401"/>
      <c r="Z307" s="401"/>
      <c r="AA307" s="401"/>
      <c r="AB307" s="401"/>
    </row>
    <row r="308" spans="12:28" ht="19.05" customHeight="1">
      <c r="L308" s="400"/>
      <c r="O308" s="401"/>
      <c r="P308" s="401"/>
      <c r="R308" s="401"/>
      <c r="S308" s="401"/>
      <c r="T308" s="401"/>
      <c r="U308" s="401"/>
      <c r="V308" s="401"/>
      <c r="W308" s="401"/>
      <c r="X308" s="401"/>
      <c r="Y308" s="401"/>
      <c r="Z308" s="401"/>
      <c r="AA308" s="401"/>
      <c r="AB308" s="401"/>
    </row>
    <row r="309" spans="12:28" ht="19.05" customHeight="1">
      <c r="L309" s="400"/>
      <c r="O309" s="401"/>
      <c r="P309" s="401"/>
      <c r="R309" s="401"/>
      <c r="S309" s="401"/>
      <c r="T309" s="401"/>
      <c r="U309" s="401"/>
      <c r="V309" s="401"/>
      <c r="W309" s="401"/>
      <c r="X309" s="401"/>
      <c r="Y309" s="401"/>
      <c r="Z309" s="401"/>
      <c r="AA309" s="401"/>
      <c r="AB309" s="401"/>
    </row>
    <row r="310" spans="12:28" ht="19.05" customHeight="1">
      <c r="L310" s="400"/>
      <c r="O310" s="401"/>
      <c r="P310" s="401"/>
      <c r="R310" s="401"/>
      <c r="S310" s="401"/>
      <c r="T310" s="401"/>
      <c r="U310" s="401"/>
      <c r="V310" s="401"/>
      <c r="W310" s="401"/>
      <c r="X310" s="401"/>
      <c r="Y310" s="401"/>
      <c r="Z310" s="401"/>
      <c r="AA310" s="401"/>
      <c r="AB310" s="401"/>
    </row>
    <row r="311" spans="12:28" ht="19.05" customHeight="1">
      <c r="L311" s="400"/>
      <c r="O311" s="401"/>
      <c r="P311" s="401"/>
      <c r="R311" s="401"/>
      <c r="S311" s="401"/>
      <c r="T311" s="401"/>
      <c r="U311" s="401"/>
      <c r="V311" s="401"/>
      <c r="W311" s="401"/>
      <c r="X311" s="401"/>
      <c r="Y311" s="401"/>
      <c r="Z311" s="401"/>
      <c r="AA311" s="401"/>
      <c r="AB311" s="401"/>
    </row>
    <row r="312" spans="12:28" ht="19.05" customHeight="1">
      <c r="L312" s="400"/>
      <c r="O312" s="401"/>
      <c r="P312" s="401"/>
      <c r="R312" s="401"/>
      <c r="S312" s="401"/>
      <c r="T312" s="401"/>
      <c r="U312" s="401"/>
      <c r="V312" s="401"/>
      <c r="W312" s="401"/>
      <c r="X312" s="401"/>
      <c r="Y312" s="401"/>
      <c r="Z312" s="401"/>
      <c r="AA312" s="401"/>
      <c r="AB312" s="401"/>
    </row>
    <row r="313" spans="12:28" ht="19.05" customHeight="1">
      <c r="L313" s="400"/>
      <c r="O313" s="401"/>
      <c r="P313" s="401"/>
      <c r="R313" s="401"/>
      <c r="S313" s="401"/>
      <c r="T313" s="401"/>
      <c r="U313" s="401"/>
      <c r="V313" s="401"/>
      <c r="W313" s="401"/>
      <c r="X313" s="401"/>
      <c r="Y313" s="401"/>
      <c r="Z313" s="401"/>
      <c r="AA313" s="401"/>
      <c r="AB313" s="401"/>
    </row>
    <row r="314" spans="12:28" ht="19.05" customHeight="1">
      <c r="L314" s="400"/>
      <c r="O314" s="401"/>
      <c r="P314" s="401"/>
      <c r="R314" s="401"/>
      <c r="S314" s="401"/>
      <c r="T314" s="401"/>
      <c r="U314" s="401"/>
      <c r="V314" s="401"/>
      <c r="W314" s="401"/>
      <c r="X314" s="401"/>
      <c r="Y314" s="401"/>
      <c r="Z314" s="401"/>
      <c r="AA314" s="401"/>
      <c r="AB314" s="401"/>
    </row>
    <row r="315" spans="12:28" ht="19.05" customHeight="1">
      <c r="L315" s="400"/>
      <c r="O315" s="401"/>
      <c r="P315" s="401"/>
      <c r="R315" s="401"/>
      <c r="S315" s="401"/>
      <c r="T315" s="401"/>
      <c r="U315" s="401"/>
      <c r="V315" s="401"/>
      <c r="W315" s="401"/>
      <c r="X315" s="401"/>
      <c r="Y315" s="401"/>
      <c r="Z315" s="401"/>
      <c r="AA315" s="401"/>
      <c r="AB315" s="401"/>
    </row>
    <row r="316" spans="12:28" ht="19.05" customHeight="1">
      <c r="L316" s="400"/>
      <c r="O316" s="401"/>
      <c r="P316" s="401"/>
      <c r="R316" s="401"/>
      <c r="S316" s="401"/>
      <c r="T316" s="401"/>
      <c r="U316" s="401"/>
      <c r="V316" s="401"/>
      <c r="W316" s="401"/>
      <c r="X316" s="401"/>
      <c r="Y316" s="401"/>
      <c r="Z316" s="401"/>
      <c r="AA316" s="401"/>
      <c r="AB316" s="401"/>
    </row>
    <row r="317" spans="12:28" ht="19.05" customHeight="1">
      <c r="L317" s="400"/>
      <c r="O317" s="401"/>
      <c r="P317" s="401"/>
      <c r="R317" s="401"/>
      <c r="S317" s="401"/>
      <c r="T317" s="401"/>
      <c r="U317" s="401"/>
      <c r="V317" s="401"/>
      <c r="W317" s="401"/>
      <c r="X317" s="401"/>
      <c r="Y317" s="401"/>
      <c r="Z317" s="401"/>
      <c r="AA317" s="401"/>
      <c r="AB317" s="401"/>
    </row>
    <row r="318" spans="12:28" ht="19.05" customHeight="1">
      <c r="L318" s="400"/>
      <c r="O318" s="401"/>
      <c r="P318" s="401"/>
      <c r="R318" s="401"/>
      <c r="S318" s="401"/>
      <c r="T318" s="401"/>
      <c r="U318" s="401"/>
      <c r="V318" s="401"/>
      <c r="W318" s="401"/>
      <c r="X318" s="401"/>
      <c r="Y318" s="401"/>
      <c r="Z318" s="401"/>
      <c r="AA318" s="401"/>
      <c r="AB318" s="401"/>
    </row>
    <row r="319" spans="12:28" ht="19.05" customHeight="1">
      <c r="L319" s="400"/>
      <c r="O319" s="401"/>
      <c r="P319" s="401"/>
      <c r="R319" s="401"/>
      <c r="S319" s="401"/>
      <c r="T319" s="401"/>
      <c r="U319" s="401"/>
      <c r="V319" s="401"/>
      <c r="W319" s="401"/>
      <c r="X319" s="401"/>
      <c r="Y319" s="401"/>
      <c r="Z319" s="401"/>
      <c r="AA319" s="401"/>
      <c r="AB319" s="401"/>
    </row>
    <row r="320" spans="12:28" ht="19.05" customHeight="1">
      <c r="L320" s="400"/>
      <c r="O320" s="401"/>
      <c r="P320" s="401"/>
      <c r="R320" s="401"/>
      <c r="S320" s="401"/>
      <c r="T320" s="401"/>
      <c r="U320" s="401"/>
      <c r="V320" s="401"/>
      <c r="W320" s="401"/>
      <c r="X320" s="401"/>
      <c r="Y320" s="401"/>
      <c r="Z320" s="401"/>
      <c r="AA320" s="401"/>
      <c r="AB320" s="401"/>
    </row>
    <row r="321" spans="12:28" ht="19.05" customHeight="1">
      <c r="L321" s="400"/>
      <c r="O321" s="401"/>
      <c r="P321" s="401"/>
      <c r="R321" s="401"/>
      <c r="S321" s="401"/>
      <c r="T321" s="401"/>
      <c r="U321" s="401"/>
      <c r="V321" s="401"/>
      <c r="W321" s="401"/>
      <c r="X321" s="401"/>
      <c r="Y321" s="401"/>
      <c r="Z321" s="401"/>
      <c r="AA321" s="401"/>
      <c r="AB321" s="401"/>
    </row>
    <row r="322" spans="12:28" ht="19.05" customHeight="1">
      <c r="L322" s="400"/>
      <c r="O322" s="401"/>
      <c r="P322" s="401"/>
      <c r="R322" s="401"/>
      <c r="S322" s="401"/>
      <c r="T322" s="401"/>
      <c r="U322" s="401"/>
      <c r="V322" s="401"/>
      <c r="W322" s="401"/>
      <c r="X322" s="401"/>
      <c r="Y322" s="401"/>
      <c r="Z322" s="401"/>
      <c r="AA322" s="401"/>
      <c r="AB322" s="401"/>
    </row>
    <row r="323" spans="12:28" ht="19.05" customHeight="1">
      <c r="L323" s="400"/>
      <c r="O323" s="401"/>
      <c r="P323" s="401"/>
      <c r="R323" s="401"/>
      <c r="S323" s="401"/>
      <c r="T323" s="401"/>
      <c r="U323" s="401"/>
      <c r="V323" s="401"/>
      <c r="W323" s="401"/>
      <c r="X323" s="401"/>
      <c r="Y323" s="401"/>
      <c r="Z323" s="401"/>
      <c r="AA323" s="401"/>
      <c r="AB323" s="401"/>
    </row>
    <row r="324" spans="12:28" ht="19.05" customHeight="1">
      <c r="L324" s="400"/>
      <c r="O324" s="401"/>
      <c r="P324" s="401"/>
      <c r="R324" s="401"/>
      <c r="S324" s="401"/>
      <c r="T324" s="401"/>
      <c r="U324" s="401"/>
      <c r="V324" s="401"/>
      <c r="W324" s="401"/>
      <c r="X324" s="401"/>
      <c r="Y324" s="401"/>
      <c r="Z324" s="401"/>
      <c r="AA324" s="401"/>
      <c r="AB324" s="401"/>
    </row>
    <row r="325" spans="12:28" ht="19.05" customHeight="1">
      <c r="L325" s="400"/>
      <c r="O325" s="401"/>
      <c r="P325" s="401"/>
      <c r="R325" s="401"/>
      <c r="S325" s="401"/>
      <c r="T325" s="401"/>
      <c r="U325" s="401"/>
      <c r="V325" s="401"/>
      <c r="W325" s="401"/>
      <c r="X325" s="401"/>
      <c r="Y325" s="401"/>
      <c r="Z325" s="401"/>
      <c r="AA325" s="401"/>
      <c r="AB325" s="401"/>
    </row>
    <row r="326" spans="12:28" ht="19.05" customHeight="1">
      <c r="L326" s="400"/>
      <c r="O326" s="401"/>
      <c r="P326" s="401"/>
      <c r="R326" s="401"/>
      <c r="S326" s="401"/>
      <c r="T326" s="401"/>
      <c r="U326" s="401"/>
      <c r="V326" s="401"/>
      <c r="W326" s="401"/>
      <c r="X326" s="401"/>
      <c r="Y326" s="401"/>
      <c r="Z326" s="401"/>
      <c r="AA326" s="401"/>
      <c r="AB326" s="401"/>
    </row>
    <row r="327" spans="12:28" ht="19.05" customHeight="1">
      <c r="L327" s="400"/>
      <c r="O327" s="401"/>
      <c r="P327" s="401"/>
      <c r="R327" s="401"/>
      <c r="S327" s="401"/>
      <c r="T327" s="401"/>
      <c r="U327" s="401"/>
      <c r="V327" s="401"/>
      <c r="W327" s="401"/>
      <c r="X327" s="401"/>
      <c r="Y327" s="401"/>
      <c r="Z327" s="401"/>
      <c r="AA327" s="401"/>
      <c r="AB327" s="401"/>
    </row>
    <row r="328" spans="12:28" ht="19.05" customHeight="1">
      <c r="L328" s="400"/>
      <c r="O328" s="401"/>
      <c r="P328" s="401"/>
      <c r="R328" s="401"/>
      <c r="S328" s="401"/>
      <c r="T328" s="401"/>
      <c r="U328" s="401"/>
      <c r="V328" s="401"/>
      <c r="W328" s="401"/>
      <c r="X328" s="401"/>
      <c r="Y328" s="401"/>
      <c r="Z328" s="401"/>
      <c r="AA328" s="401"/>
      <c r="AB328" s="401"/>
    </row>
    <row r="329" spans="12:28" ht="19.05" customHeight="1">
      <c r="L329" s="400"/>
      <c r="O329" s="401"/>
      <c r="P329" s="401"/>
      <c r="R329" s="401"/>
      <c r="S329" s="401"/>
      <c r="T329" s="401"/>
      <c r="U329" s="401"/>
      <c r="V329" s="401"/>
      <c r="W329" s="401"/>
      <c r="X329" s="401"/>
      <c r="Y329" s="401"/>
      <c r="Z329" s="401"/>
      <c r="AA329" s="401"/>
      <c r="AB329" s="401"/>
    </row>
    <row r="330" spans="12:28" ht="19.05" customHeight="1">
      <c r="L330" s="400"/>
      <c r="O330" s="401"/>
      <c r="P330" s="401"/>
      <c r="R330" s="401"/>
      <c r="S330" s="401"/>
      <c r="T330" s="401"/>
      <c r="U330" s="401"/>
      <c r="V330" s="401"/>
      <c r="W330" s="401"/>
      <c r="X330" s="401"/>
      <c r="Y330" s="401"/>
      <c r="Z330" s="401"/>
      <c r="AA330" s="401"/>
      <c r="AB330" s="401"/>
    </row>
    <row r="331" spans="12:28" ht="19.05" customHeight="1">
      <c r="L331" s="400"/>
      <c r="O331" s="401"/>
      <c r="P331" s="401"/>
      <c r="R331" s="401"/>
      <c r="S331" s="401"/>
      <c r="T331" s="401"/>
      <c r="U331" s="401"/>
      <c r="V331" s="401"/>
      <c r="W331" s="401"/>
      <c r="X331" s="401"/>
      <c r="Y331" s="401"/>
      <c r="Z331" s="401"/>
      <c r="AA331" s="401"/>
      <c r="AB331" s="401"/>
    </row>
    <row r="332" spans="12:28" ht="19.05" customHeight="1">
      <c r="L332" s="400"/>
      <c r="O332" s="401"/>
      <c r="P332" s="401"/>
      <c r="R332" s="401"/>
      <c r="S332" s="401"/>
      <c r="T332" s="401"/>
      <c r="U332" s="401"/>
      <c r="V332" s="401"/>
      <c r="W332" s="401"/>
      <c r="X332" s="401"/>
      <c r="Y332" s="401"/>
      <c r="Z332" s="401"/>
      <c r="AA332" s="401"/>
      <c r="AB332" s="401"/>
    </row>
    <row r="333" spans="12:28" ht="19.05" customHeight="1">
      <c r="L333" s="400"/>
      <c r="O333" s="401"/>
      <c r="P333" s="401"/>
      <c r="R333" s="401"/>
      <c r="S333" s="401"/>
      <c r="T333" s="401"/>
      <c r="U333" s="401"/>
      <c r="V333" s="401"/>
      <c r="W333" s="401"/>
      <c r="X333" s="401"/>
      <c r="Y333" s="401"/>
      <c r="Z333" s="401"/>
      <c r="AA333" s="401"/>
      <c r="AB333" s="401"/>
    </row>
    <row r="334" spans="12:28" ht="19.05" customHeight="1">
      <c r="L334" s="400"/>
      <c r="O334" s="401"/>
      <c r="P334" s="401"/>
      <c r="R334" s="401"/>
      <c r="S334" s="401"/>
      <c r="T334" s="401"/>
      <c r="U334" s="401"/>
      <c r="V334" s="401"/>
      <c r="W334" s="401"/>
      <c r="X334" s="401"/>
      <c r="Y334" s="401"/>
      <c r="Z334" s="401"/>
      <c r="AA334" s="401"/>
      <c r="AB334" s="401"/>
    </row>
    <row r="335" spans="12:28" ht="19.05" customHeight="1">
      <c r="L335" s="400"/>
      <c r="O335" s="401"/>
      <c r="P335" s="401"/>
      <c r="R335" s="401"/>
      <c r="S335" s="401"/>
      <c r="T335" s="401"/>
      <c r="U335" s="401"/>
      <c r="V335" s="401"/>
      <c r="W335" s="401"/>
      <c r="X335" s="401"/>
      <c r="Y335" s="401"/>
      <c r="Z335" s="401"/>
      <c r="AA335" s="401"/>
      <c r="AB335" s="401"/>
    </row>
    <row r="336" spans="12:28" ht="19.05" customHeight="1">
      <c r="L336" s="400"/>
      <c r="O336" s="401"/>
      <c r="P336" s="401"/>
      <c r="R336" s="401"/>
      <c r="S336" s="401"/>
      <c r="T336" s="401"/>
      <c r="U336" s="401"/>
      <c r="V336" s="401"/>
      <c r="W336" s="401"/>
      <c r="X336" s="401"/>
      <c r="Y336" s="401"/>
      <c r="Z336" s="401"/>
      <c r="AA336" s="401"/>
      <c r="AB336" s="401"/>
    </row>
    <row r="337" spans="12:28" ht="19.05" customHeight="1">
      <c r="L337" s="400"/>
      <c r="O337" s="401"/>
      <c r="P337" s="401"/>
      <c r="R337" s="401"/>
      <c r="S337" s="401"/>
      <c r="T337" s="401"/>
      <c r="U337" s="401"/>
      <c r="V337" s="401"/>
      <c r="W337" s="401"/>
      <c r="X337" s="401"/>
      <c r="Y337" s="401"/>
      <c r="Z337" s="401"/>
      <c r="AA337" s="401"/>
      <c r="AB337" s="401"/>
    </row>
    <row r="338" spans="12:28" ht="19.05" customHeight="1">
      <c r="L338" s="400"/>
      <c r="O338" s="401"/>
      <c r="P338" s="401"/>
      <c r="R338" s="401"/>
      <c r="S338" s="401"/>
      <c r="T338" s="401"/>
      <c r="U338" s="401"/>
      <c r="V338" s="401"/>
      <c r="W338" s="401"/>
      <c r="X338" s="401"/>
      <c r="Y338" s="401"/>
      <c r="Z338" s="401"/>
      <c r="AA338" s="401"/>
      <c r="AB338" s="401"/>
    </row>
    <row r="339" spans="12:28" ht="19.05" customHeight="1">
      <c r="L339" s="400"/>
      <c r="O339" s="401"/>
      <c r="P339" s="401"/>
      <c r="R339" s="401"/>
      <c r="S339" s="401"/>
      <c r="T339" s="401"/>
      <c r="U339" s="401"/>
      <c r="V339" s="401"/>
      <c r="W339" s="401"/>
      <c r="X339" s="401"/>
      <c r="Y339" s="401"/>
      <c r="Z339" s="401"/>
      <c r="AA339" s="401"/>
      <c r="AB339" s="401"/>
    </row>
    <row r="340" spans="12:28" ht="19.05" customHeight="1">
      <c r="L340" s="400"/>
      <c r="O340" s="401"/>
      <c r="P340" s="401"/>
      <c r="R340" s="401"/>
      <c r="S340" s="401"/>
      <c r="T340" s="401"/>
      <c r="U340" s="401"/>
      <c r="V340" s="401"/>
      <c r="W340" s="401"/>
      <c r="X340" s="401"/>
      <c r="Y340" s="401"/>
      <c r="Z340" s="401"/>
      <c r="AA340" s="401"/>
      <c r="AB340" s="401"/>
    </row>
    <row r="341" spans="12:28" ht="19.05" customHeight="1">
      <c r="L341" s="400"/>
      <c r="O341" s="401"/>
      <c r="P341" s="401"/>
      <c r="R341" s="401"/>
      <c r="S341" s="401"/>
      <c r="T341" s="401"/>
      <c r="U341" s="401"/>
      <c r="V341" s="401"/>
      <c r="W341" s="401"/>
      <c r="X341" s="401"/>
      <c r="Y341" s="401"/>
      <c r="Z341" s="401"/>
      <c r="AA341" s="401"/>
      <c r="AB341" s="401"/>
    </row>
    <row r="342" spans="12:28" ht="19.05" customHeight="1">
      <c r="L342" s="400"/>
      <c r="O342" s="401"/>
      <c r="P342" s="401"/>
      <c r="R342" s="401"/>
      <c r="S342" s="401"/>
      <c r="T342" s="401"/>
      <c r="U342" s="401"/>
      <c r="V342" s="401"/>
      <c r="W342" s="401"/>
      <c r="X342" s="401"/>
      <c r="Y342" s="401"/>
      <c r="Z342" s="401"/>
      <c r="AA342" s="401"/>
      <c r="AB342" s="401"/>
    </row>
    <row r="343" spans="12:28" ht="19.05" customHeight="1">
      <c r="L343" s="400"/>
      <c r="O343" s="401"/>
      <c r="P343" s="401"/>
      <c r="R343" s="401"/>
      <c r="S343" s="401"/>
      <c r="T343" s="401"/>
      <c r="U343" s="401"/>
      <c r="V343" s="401"/>
      <c r="W343" s="401"/>
      <c r="X343" s="401"/>
      <c r="Y343" s="401"/>
      <c r="Z343" s="401"/>
      <c r="AA343" s="401"/>
      <c r="AB343" s="401"/>
    </row>
    <row r="344" spans="12:28" ht="19.05" customHeight="1">
      <c r="L344" s="400"/>
      <c r="O344" s="401"/>
      <c r="P344" s="401"/>
      <c r="R344" s="401"/>
      <c r="S344" s="401"/>
      <c r="T344" s="401"/>
      <c r="U344" s="401"/>
      <c r="V344" s="401"/>
      <c r="W344" s="401"/>
      <c r="X344" s="401"/>
      <c r="Y344" s="401"/>
      <c r="Z344" s="401"/>
      <c r="AA344" s="401"/>
      <c r="AB344" s="401"/>
    </row>
    <row r="345" spans="12:28" ht="19.05" customHeight="1">
      <c r="L345" s="400"/>
      <c r="O345" s="401"/>
      <c r="P345" s="401"/>
      <c r="R345" s="401"/>
      <c r="S345" s="401"/>
      <c r="T345" s="401"/>
      <c r="U345" s="401"/>
      <c r="V345" s="401"/>
      <c r="W345" s="401"/>
      <c r="X345" s="401"/>
      <c r="Y345" s="401"/>
      <c r="Z345" s="401"/>
      <c r="AA345" s="401"/>
      <c r="AB345" s="401"/>
    </row>
    <row r="346" spans="12:28" ht="19.05" customHeight="1">
      <c r="L346" s="400"/>
      <c r="O346" s="401"/>
      <c r="P346" s="401"/>
      <c r="R346" s="401"/>
      <c r="S346" s="401"/>
      <c r="T346" s="401"/>
      <c r="U346" s="401"/>
      <c r="V346" s="401"/>
      <c r="W346" s="401"/>
      <c r="X346" s="401"/>
      <c r="Y346" s="401"/>
      <c r="Z346" s="401"/>
      <c r="AA346" s="401"/>
      <c r="AB346" s="401"/>
    </row>
    <row r="347" spans="12:28" ht="19.05" customHeight="1">
      <c r="L347" s="400"/>
      <c r="O347" s="401"/>
      <c r="P347" s="401"/>
      <c r="R347" s="401"/>
      <c r="S347" s="401"/>
      <c r="T347" s="401"/>
      <c r="U347" s="401"/>
      <c r="V347" s="401"/>
      <c r="W347" s="401"/>
      <c r="X347" s="401"/>
      <c r="Y347" s="401"/>
      <c r="Z347" s="401"/>
      <c r="AA347" s="401"/>
      <c r="AB347" s="401"/>
    </row>
    <row r="348" spans="12:28" ht="19.05" customHeight="1">
      <c r="L348" s="400"/>
      <c r="O348" s="401"/>
      <c r="P348" s="401"/>
      <c r="R348" s="401"/>
      <c r="S348" s="401"/>
      <c r="T348" s="401"/>
      <c r="U348" s="401"/>
      <c r="V348" s="401"/>
      <c r="W348" s="401"/>
      <c r="X348" s="401"/>
      <c r="Y348" s="401"/>
      <c r="Z348" s="401"/>
      <c r="AA348" s="401"/>
      <c r="AB348" s="401"/>
    </row>
    <row r="349" spans="12:28" ht="19.05" customHeight="1">
      <c r="L349" s="400"/>
      <c r="O349" s="401"/>
      <c r="P349" s="401"/>
      <c r="R349" s="401"/>
      <c r="S349" s="401"/>
      <c r="T349" s="401"/>
      <c r="U349" s="401"/>
      <c r="V349" s="401"/>
      <c r="W349" s="401"/>
      <c r="X349" s="401"/>
      <c r="Y349" s="401"/>
      <c r="Z349" s="401"/>
      <c r="AA349" s="401"/>
      <c r="AB349" s="401"/>
    </row>
    <row r="350" spans="12:28" ht="19.05" customHeight="1">
      <c r="L350" s="400"/>
      <c r="O350" s="401"/>
      <c r="P350" s="401"/>
      <c r="R350" s="401"/>
      <c r="S350" s="401"/>
      <c r="T350" s="401"/>
      <c r="U350" s="401"/>
      <c r="V350" s="401"/>
      <c r="W350" s="401"/>
      <c r="X350" s="401"/>
      <c r="Y350" s="401"/>
      <c r="Z350" s="401"/>
      <c r="AA350" s="401"/>
      <c r="AB350" s="401"/>
    </row>
    <row r="351" spans="12:28" ht="19.05" customHeight="1">
      <c r="L351" s="400"/>
      <c r="O351" s="401"/>
      <c r="P351" s="401"/>
      <c r="R351" s="401"/>
      <c r="S351" s="401"/>
      <c r="T351" s="401"/>
      <c r="U351" s="401"/>
      <c r="V351" s="401"/>
      <c r="W351" s="401"/>
      <c r="X351" s="401"/>
      <c r="Y351" s="401"/>
      <c r="Z351" s="401"/>
      <c r="AA351" s="401"/>
      <c r="AB351" s="401"/>
    </row>
    <row r="352" spans="12:28" ht="19.05" customHeight="1">
      <c r="L352" s="400"/>
      <c r="O352" s="401"/>
      <c r="P352" s="401"/>
      <c r="R352" s="401"/>
      <c r="S352" s="401"/>
      <c r="T352" s="401"/>
      <c r="U352" s="401"/>
      <c r="V352" s="401"/>
      <c r="W352" s="401"/>
      <c r="X352" s="401"/>
      <c r="Y352" s="401"/>
      <c r="Z352" s="401"/>
      <c r="AA352" s="401"/>
      <c r="AB352" s="401"/>
    </row>
    <row r="353" spans="12:28" ht="19.05" customHeight="1">
      <c r="L353" s="400"/>
      <c r="O353" s="401"/>
      <c r="P353" s="401"/>
      <c r="R353" s="401"/>
      <c r="S353" s="401"/>
      <c r="T353" s="401"/>
      <c r="U353" s="401"/>
      <c r="V353" s="401"/>
      <c r="W353" s="401"/>
      <c r="X353" s="401"/>
      <c r="Y353" s="401"/>
      <c r="Z353" s="401"/>
      <c r="AA353" s="401"/>
      <c r="AB353" s="401"/>
    </row>
    <row r="354" spans="12:28" ht="19.05" customHeight="1">
      <c r="L354" s="400"/>
      <c r="O354" s="401"/>
      <c r="P354" s="401"/>
      <c r="R354" s="401"/>
      <c r="S354" s="401"/>
      <c r="T354" s="401"/>
      <c r="U354" s="401"/>
      <c r="V354" s="401"/>
      <c r="W354" s="401"/>
      <c r="X354" s="401"/>
      <c r="Y354" s="401"/>
      <c r="Z354" s="401"/>
      <c r="AA354" s="401"/>
      <c r="AB354" s="401"/>
    </row>
    <row r="355" spans="12:28" ht="19.05" customHeight="1">
      <c r="L355" s="400"/>
      <c r="O355" s="401"/>
      <c r="P355" s="401"/>
      <c r="R355" s="401"/>
      <c r="S355" s="401"/>
      <c r="T355" s="401"/>
      <c r="U355" s="401"/>
      <c r="V355" s="401"/>
      <c r="W355" s="401"/>
      <c r="X355" s="401"/>
      <c r="Y355" s="401"/>
      <c r="Z355" s="401"/>
      <c r="AA355" s="401"/>
      <c r="AB355" s="401"/>
    </row>
    <row r="356" spans="12:28" ht="19.05" customHeight="1">
      <c r="L356" s="400"/>
      <c r="O356" s="401"/>
      <c r="P356" s="401"/>
      <c r="R356" s="401"/>
      <c r="S356" s="401"/>
      <c r="T356" s="401"/>
      <c r="U356" s="401"/>
      <c r="V356" s="401"/>
      <c r="W356" s="401"/>
      <c r="X356" s="401"/>
      <c r="Y356" s="401"/>
      <c r="Z356" s="401"/>
      <c r="AA356" s="401"/>
      <c r="AB356" s="401"/>
    </row>
    <row r="357" spans="12:28" ht="19.05" customHeight="1">
      <c r="L357" s="400"/>
      <c r="O357" s="401"/>
      <c r="P357" s="401"/>
      <c r="R357" s="401"/>
      <c r="S357" s="401"/>
      <c r="T357" s="401"/>
      <c r="U357" s="401"/>
      <c r="V357" s="401"/>
      <c r="W357" s="401"/>
      <c r="X357" s="401"/>
      <c r="Y357" s="401"/>
      <c r="Z357" s="401"/>
      <c r="AA357" s="401"/>
      <c r="AB357" s="401"/>
    </row>
    <row r="358" spans="12:28" ht="19.05" customHeight="1">
      <c r="L358" s="400"/>
      <c r="O358" s="401"/>
      <c r="P358" s="401"/>
      <c r="R358" s="401"/>
      <c r="S358" s="401"/>
      <c r="T358" s="401"/>
      <c r="U358" s="401"/>
      <c r="V358" s="401"/>
      <c r="W358" s="401"/>
      <c r="X358" s="401"/>
      <c r="Y358" s="401"/>
      <c r="Z358" s="401"/>
      <c r="AA358" s="401"/>
      <c r="AB358" s="401"/>
    </row>
    <row r="359" spans="12:28" ht="19.05" customHeight="1">
      <c r="L359" s="400"/>
      <c r="O359" s="401"/>
      <c r="P359" s="401"/>
      <c r="R359" s="401"/>
      <c r="S359" s="401"/>
      <c r="T359" s="401"/>
      <c r="U359" s="401"/>
      <c r="V359" s="401"/>
      <c r="W359" s="401"/>
      <c r="X359" s="401"/>
      <c r="Y359" s="401"/>
      <c r="Z359" s="401"/>
      <c r="AA359" s="401"/>
      <c r="AB359" s="401"/>
    </row>
    <row r="360" spans="12:28" ht="19.05" customHeight="1">
      <c r="L360" s="400"/>
      <c r="O360" s="401"/>
      <c r="P360" s="401"/>
      <c r="R360" s="401"/>
      <c r="S360" s="401"/>
      <c r="T360" s="401"/>
      <c r="U360" s="401"/>
      <c r="V360" s="401"/>
      <c r="W360" s="401"/>
      <c r="X360" s="401"/>
      <c r="Y360" s="401"/>
      <c r="Z360" s="401"/>
      <c r="AA360" s="401"/>
      <c r="AB360" s="401"/>
    </row>
    <row r="361" spans="12:28" ht="19.05" customHeight="1">
      <c r="L361" s="400"/>
      <c r="O361" s="401"/>
      <c r="P361" s="401"/>
      <c r="R361" s="401"/>
      <c r="S361" s="401"/>
      <c r="T361" s="401"/>
      <c r="U361" s="401"/>
      <c r="V361" s="401"/>
      <c r="W361" s="401"/>
      <c r="X361" s="401"/>
      <c r="Y361" s="401"/>
      <c r="Z361" s="401"/>
      <c r="AA361" s="401"/>
      <c r="AB361" s="401"/>
    </row>
    <row r="362" spans="12:28" ht="19.05" customHeight="1">
      <c r="L362" s="400"/>
      <c r="O362" s="401"/>
      <c r="P362" s="401"/>
      <c r="R362" s="401"/>
      <c r="S362" s="401"/>
      <c r="T362" s="401"/>
      <c r="U362" s="401"/>
      <c r="V362" s="401"/>
      <c r="W362" s="401"/>
      <c r="X362" s="401"/>
      <c r="Y362" s="401"/>
      <c r="Z362" s="401"/>
      <c r="AA362" s="401"/>
      <c r="AB362" s="401"/>
    </row>
    <row r="363" spans="12:28" ht="19.05" customHeight="1">
      <c r="L363" s="400"/>
      <c r="O363" s="401"/>
      <c r="P363" s="401"/>
      <c r="R363" s="401"/>
      <c r="S363" s="401"/>
      <c r="T363" s="401"/>
      <c r="U363" s="401"/>
      <c r="V363" s="401"/>
      <c r="W363" s="401"/>
      <c r="X363" s="401"/>
      <c r="Y363" s="401"/>
      <c r="Z363" s="401"/>
      <c r="AA363" s="401"/>
      <c r="AB363" s="401"/>
    </row>
    <row r="364" spans="12:28" ht="19.05" customHeight="1">
      <c r="L364" s="400"/>
      <c r="O364" s="401"/>
      <c r="P364" s="401"/>
      <c r="R364" s="401"/>
      <c r="S364" s="401"/>
      <c r="T364" s="401"/>
      <c r="U364" s="401"/>
      <c r="V364" s="401"/>
      <c r="W364" s="401"/>
      <c r="X364" s="401"/>
      <c r="Y364" s="401"/>
      <c r="Z364" s="401"/>
      <c r="AA364" s="401"/>
      <c r="AB364" s="401"/>
    </row>
    <row r="365" spans="12:28" ht="19.05" customHeight="1">
      <c r="L365" s="400"/>
      <c r="O365" s="401"/>
      <c r="P365" s="401"/>
      <c r="R365" s="401"/>
      <c r="S365" s="401"/>
      <c r="T365" s="401"/>
      <c r="U365" s="401"/>
      <c r="V365" s="401"/>
      <c r="W365" s="401"/>
      <c r="X365" s="401"/>
      <c r="Y365" s="401"/>
      <c r="Z365" s="401"/>
      <c r="AA365" s="401"/>
      <c r="AB365" s="401"/>
    </row>
    <row r="366" spans="12:28" ht="19.05" customHeight="1">
      <c r="L366" s="400"/>
      <c r="O366" s="401"/>
      <c r="P366" s="401"/>
      <c r="R366" s="401"/>
      <c r="S366" s="401"/>
      <c r="T366" s="401"/>
      <c r="U366" s="401"/>
      <c r="V366" s="401"/>
      <c r="W366" s="401"/>
      <c r="X366" s="401"/>
      <c r="Y366" s="401"/>
      <c r="Z366" s="401"/>
      <c r="AA366" s="401"/>
      <c r="AB366" s="401"/>
    </row>
    <row r="367" spans="12:28" ht="19.05" customHeight="1">
      <c r="L367" s="400"/>
      <c r="O367" s="401"/>
      <c r="P367" s="401"/>
      <c r="R367" s="401"/>
      <c r="S367" s="401"/>
      <c r="T367" s="401"/>
      <c r="U367" s="401"/>
      <c r="V367" s="401"/>
      <c r="W367" s="401"/>
      <c r="X367" s="401"/>
      <c r="Y367" s="401"/>
      <c r="Z367" s="401"/>
      <c r="AA367" s="401"/>
      <c r="AB367" s="401"/>
    </row>
    <row r="368" spans="12:28" ht="19.05" customHeight="1">
      <c r="L368" s="400"/>
      <c r="O368" s="401"/>
      <c r="P368" s="401"/>
      <c r="R368" s="401"/>
      <c r="S368" s="401"/>
      <c r="T368" s="401"/>
      <c r="U368" s="401"/>
      <c r="V368" s="401"/>
      <c r="W368" s="401"/>
      <c r="X368" s="401"/>
      <c r="Y368" s="401"/>
      <c r="Z368" s="401"/>
      <c r="AA368" s="401"/>
      <c r="AB368" s="401"/>
    </row>
    <row r="369" spans="12:28" ht="19.05" customHeight="1">
      <c r="L369" s="400"/>
      <c r="O369" s="401"/>
      <c r="P369" s="401"/>
      <c r="R369" s="401"/>
      <c r="S369" s="401"/>
      <c r="T369" s="401"/>
      <c r="U369" s="401"/>
      <c r="V369" s="401"/>
      <c r="W369" s="401"/>
      <c r="X369" s="401"/>
      <c r="Y369" s="401"/>
      <c r="Z369" s="401"/>
      <c r="AA369" s="401"/>
      <c r="AB369" s="401"/>
    </row>
    <row r="370" spans="12:28" ht="19.05" customHeight="1">
      <c r="L370" s="400"/>
      <c r="O370" s="401"/>
      <c r="P370" s="401"/>
      <c r="R370" s="401"/>
      <c r="S370" s="401"/>
      <c r="T370" s="401"/>
      <c r="U370" s="401"/>
      <c r="V370" s="401"/>
      <c r="W370" s="401"/>
      <c r="X370" s="401"/>
      <c r="Y370" s="401"/>
      <c r="Z370" s="401"/>
      <c r="AA370" s="401"/>
      <c r="AB370" s="401"/>
    </row>
    <row r="371" spans="12:28" ht="19.05" customHeight="1">
      <c r="L371" s="400"/>
      <c r="O371" s="401"/>
      <c r="P371" s="401"/>
      <c r="R371" s="401"/>
      <c r="S371" s="401"/>
      <c r="T371" s="401"/>
      <c r="U371" s="401"/>
      <c r="V371" s="401"/>
      <c r="W371" s="401"/>
      <c r="X371" s="401"/>
      <c r="Y371" s="401"/>
      <c r="Z371" s="401"/>
      <c r="AA371" s="401"/>
      <c r="AB371" s="401"/>
    </row>
    <row r="372" spans="12:28" ht="19.05" customHeight="1">
      <c r="L372" s="400"/>
      <c r="O372" s="401"/>
      <c r="P372" s="401"/>
      <c r="R372" s="401"/>
      <c r="S372" s="401"/>
      <c r="T372" s="401"/>
      <c r="U372" s="401"/>
      <c r="V372" s="401"/>
      <c r="W372" s="401"/>
      <c r="X372" s="401"/>
      <c r="Y372" s="401"/>
      <c r="Z372" s="401"/>
      <c r="AA372" s="401"/>
      <c r="AB372" s="401"/>
    </row>
    <row r="373" spans="12:28" ht="19.05" customHeight="1">
      <c r="L373" s="400"/>
      <c r="O373" s="401"/>
      <c r="P373" s="401"/>
      <c r="R373" s="401"/>
      <c r="S373" s="401"/>
      <c r="T373" s="401"/>
      <c r="U373" s="401"/>
      <c r="V373" s="401"/>
      <c r="W373" s="401"/>
      <c r="X373" s="401"/>
      <c r="Y373" s="401"/>
      <c r="Z373" s="401"/>
      <c r="AA373" s="401"/>
      <c r="AB373" s="401"/>
    </row>
    <row r="374" spans="12:28" ht="19.05" customHeight="1">
      <c r="L374" s="400"/>
      <c r="O374" s="401"/>
      <c r="P374" s="401"/>
      <c r="R374" s="401"/>
      <c r="S374" s="401"/>
      <c r="T374" s="401"/>
      <c r="U374" s="401"/>
      <c r="V374" s="401"/>
      <c r="W374" s="401"/>
      <c r="X374" s="401"/>
      <c r="Y374" s="401"/>
      <c r="Z374" s="401"/>
      <c r="AA374" s="401"/>
      <c r="AB374" s="401"/>
    </row>
    <row r="375" spans="12:28" ht="19.05" customHeight="1">
      <c r="L375" s="400"/>
      <c r="O375" s="401"/>
      <c r="P375" s="401"/>
      <c r="R375" s="401"/>
      <c r="S375" s="401"/>
      <c r="T375" s="401"/>
      <c r="U375" s="401"/>
      <c r="V375" s="401"/>
      <c r="W375" s="401"/>
      <c r="X375" s="401"/>
      <c r="Y375" s="401"/>
      <c r="Z375" s="401"/>
      <c r="AA375" s="401"/>
      <c r="AB375" s="401"/>
    </row>
    <row r="376" spans="12:28" ht="19.05" customHeight="1">
      <c r="L376" s="400"/>
      <c r="O376" s="401"/>
      <c r="P376" s="401"/>
      <c r="R376" s="401"/>
      <c r="S376" s="401"/>
      <c r="T376" s="401"/>
      <c r="U376" s="401"/>
      <c r="V376" s="401"/>
      <c r="W376" s="401"/>
      <c r="X376" s="401"/>
      <c r="Y376" s="401"/>
      <c r="Z376" s="401"/>
      <c r="AA376" s="401"/>
      <c r="AB376" s="401"/>
    </row>
    <row r="377" spans="12:28" ht="19.05" customHeight="1">
      <c r="L377" s="400"/>
      <c r="O377" s="401"/>
      <c r="P377" s="401"/>
      <c r="R377" s="401"/>
      <c r="S377" s="401"/>
      <c r="T377" s="401"/>
      <c r="U377" s="401"/>
      <c r="V377" s="401"/>
      <c r="W377" s="401"/>
      <c r="X377" s="401"/>
      <c r="Y377" s="401"/>
      <c r="Z377" s="401"/>
      <c r="AA377" s="401"/>
      <c r="AB377" s="401"/>
    </row>
    <row r="378" spans="12:28" ht="19.05" customHeight="1">
      <c r="L378" s="400"/>
      <c r="O378" s="401"/>
      <c r="P378" s="401"/>
      <c r="R378" s="401"/>
      <c r="S378" s="401"/>
      <c r="T378" s="401"/>
      <c r="U378" s="401"/>
      <c r="V378" s="401"/>
      <c r="W378" s="401"/>
      <c r="X378" s="401"/>
      <c r="Y378" s="401"/>
      <c r="Z378" s="401"/>
      <c r="AA378" s="401"/>
      <c r="AB378" s="401"/>
    </row>
    <row r="379" spans="12:28" ht="19.05" customHeight="1">
      <c r="L379" s="400"/>
      <c r="O379" s="401"/>
      <c r="P379" s="401"/>
      <c r="R379" s="401"/>
      <c r="S379" s="401"/>
      <c r="T379" s="401"/>
      <c r="U379" s="401"/>
      <c r="V379" s="401"/>
      <c r="W379" s="401"/>
      <c r="X379" s="401"/>
      <c r="Y379" s="401"/>
      <c r="Z379" s="401"/>
      <c r="AA379" s="401"/>
      <c r="AB379" s="401"/>
    </row>
    <row r="380" spans="12:28" ht="19.05" customHeight="1">
      <c r="L380" s="400"/>
      <c r="O380" s="401"/>
      <c r="P380" s="401"/>
      <c r="R380" s="401"/>
      <c r="S380" s="401"/>
      <c r="T380" s="401"/>
      <c r="U380" s="401"/>
      <c r="V380" s="401"/>
      <c r="W380" s="401"/>
      <c r="X380" s="401"/>
      <c r="Y380" s="401"/>
      <c r="Z380" s="401"/>
      <c r="AA380" s="401"/>
      <c r="AB380" s="401"/>
    </row>
    <row r="381" spans="12:28" ht="19.05" customHeight="1">
      <c r="L381" s="400"/>
      <c r="O381" s="401"/>
      <c r="P381" s="401"/>
      <c r="R381" s="401"/>
      <c r="S381" s="401"/>
      <c r="T381" s="401"/>
      <c r="U381" s="401"/>
      <c r="V381" s="401"/>
      <c r="W381" s="401"/>
      <c r="X381" s="401"/>
      <c r="Y381" s="401"/>
      <c r="Z381" s="401"/>
      <c r="AA381" s="401"/>
      <c r="AB381" s="401"/>
    </row>
    <row r="382" spans="12:28" ht="19.05" customHeight="1">
      <c r="L382" s="400"/>
      <c r="O382" s="401"/>
      <c r="P382" s="401"/>
      <c r="R382" s="401"/>
      <c r="S382" s="401"/>
      <c r="T382" s="401"/>
      <c r="U382" s="401"/>
      <c r="V382" s="401"/>
      <c r="W382" s="401"/>
      <c r="X382" s="401"/>
      <c r="Y382" s="401"/>
      <c r="Z382" s="401"/>
      <c r="AA382" s="401"/>
      <c r="AB382" s="401"/>
    </row>
    <row r="383" spans="12:28" ht="19.05" customHeight="1">
      <c r="L383" s="400"/>
      <c r="O383" s="401"/>
      <c r="P383" s="401"/>
      <c r="R383" s="401"/>
      <c r="S383" s="401"/>
      <c r="T383" s="401"/>
      <c r="U383" s="401"/>
      <c r="V383" s="401"/>
      <c r="W383" s="401"/>
      <c r="X383" s="401"/>
      <c r="Y383" s="401"/>
      <c r="Z383" s="401"/>
      <c r="AA383" s="401"/>
      <c r="AB383" s="401"/>
    </row>
    <row r="384" spans="12:28" ht="19.05" customHeight="1">
      <c r="L384" s="400"/>
      <c r="O384" s="401"/>
      <c r="P384" s="401"/>
      <c r="R384" s="401"/>
      <c r="S384" s="401"/>
      <c r="T384" s="401"/>
      <c r="U384" s="401"/>
      <c r="V384" s="401"/>
      <c r="W384" s="401"/>
      <c r="X384" s="401"/>
      <c r="Y384" s="401"/>
      <c r="Z384" s="401"/>
      <c r="AA384" s="401"/>
      <c r="AB384" s="401"/>
    </row>
    <row r="385" spans="12:28" ht="19.05" customHeight="1">
      <c r="L385" s="400"/>
      <c r="O385" s="401"/>
      <c r="P385" s="401"/>
      <c r="R385" s="401"/>
      <c r="S385" s="401"/>
      <c r="T385" s="401"/>
      <c r="U385" s="401"/>
      <c r="V385" s="401"/>
      <c r="W385" s="401"/>
      <c r="X385" s="401"/>
      <c r="Y385" s="401"/>
      <c r="Z385" s="401"/>
      <c r="AA385" s="401"/>
      <c r="AB385" s="401"/>
    </row>
    <row r="386" spans="12:28" ht="19.05" customHeight="1">
      <c r="L386" s="400"/>
      <c r="O386" s="401"/>
      <c r="P386" s="401"/>
      <c r="R386" s="401"/>
      <c r="S386" s="401"/>
      <c r="T386" s="401"/>
      <c r="U386" s="401"/>
      <c r="V386" s="401"/>
      <c r="W386" s="401"/>
      <c r="X386" s="401"/>
      <c r="Y386" s="401"/>
      <c r="Z386" s="401"/>
      <c r="AA386" s="401"/>
      <c r="AB386" s="401"/>
    </row>
    <row r="387" spans="12:28" ht="19.05" customHeight="1">
      <c r="L387" s="400"/>
      <c r="O387" s="401"/>
      <c r="P387" s="401"/>
      <c r="R387" s="401"/>
      <c r="S387" s="401"/>
      <c r="T387" s="401"/>
      <c r="U387" s="401"/>
      <c r="V387" s="401"/>
      <c r="W387" s="401"/>
      <c r="X387" s="401"/>
      <c r="Y387" s="401"/>
      <c r="Z387" s="401"/>
      <c r="AA387" s="401"/>
      <c r="AB387" s="401"/>
    </row>
    <row r="388" spans="12:28" ht="19.05" customHeight="1">
      <c r="L388" s="400"/>
      <c r="O388" s="401"/>
      <c r="P388" s="401"/>
      <c r="R388" s="401"/>
      <c r="S388" s="401"/>
      <c r="T388" s="401"/>
      <c r="U388" s="401"/>
      <c r="V388" s="401"/>
      <c r="W388" s="401"/>
      <c r="X388" s="401"/>
      <c r="Y388" s="401"/>
      <c r="Z388" s="401"/>
      <c r="AA388" s="401"/>
      <c r="AB388" s="401"/>
    </row>
    <row r="389" spans="12:28" ht="19.05" customHeight="1">
      <c r="L389" s="400"/>
      <c r="O389" s="401"/>
      <c r="P389" s="401"/>
      <c r="R389" s="401"/>
      <c r="S389" s="401"/>
      <c r="T389" s="401"/>
      <c r="U389" s="401"/>
      <c r="V389" s="401"/>
      <c r="W389" s="401"/>
      <c r="X389" s="401"/>
      <c r="Y389" s="401"/>
      <c r="Z389" s="401"/>
      <c r="AA389" s="401"/>
      <c r="AB389" s="401"/>
    </row>
    <row r="390" spans="12:28" ht="19.05" customHeight="1">
      <c r="L390" s="400"/>
      <c r="O390" s="401"/>
      <c r="P390" s="401"/>
      <c r="R390" s="401"/>
      <c r="S390" s="401"/>
      <c r="T390" s="401"/>
      <c r="U390" s="401"/>
      <c r="V390" s="401"/>
      <c r="W390" s="401"/>
      <c r="X390" s="401"/>
      <c r="Y390" s="401"/>
      <c r="Z390" s="401"/>
      <c r="AA390" s="401"/>
      <c r="AB390" s="401"/>
    </row>
    <row r="391" spans="12:28" ht="19.05" customHeight="1">
      <c r="L391" s="400"/>
      <c r="O391" s="401"/>
      <c r="P391" s="401"/>
      <c r="R391" s="401"/>
      <c r="S391" s="401"/>
      <c r="T391" s="401"/>
      <c r="U391" s="401"/>
      <c r="V391" s="401"/>
      <c r="W391" s="401"/>
      <c r="X391" s="401"/>
      <c r="Y391" s="401"/>
      <c r="Z391" s="401"/>
      <c r="AA391" s="401"/>
      <c r="AB391" s="401"/>
    </row>
    <row r="392" spans="12:28" ht="19.05" customHeight="1">
      <c r="L392" s="400"/>
      <c r="O392" s="401"/>
      <c r="P392" s="401"/>
      <c r="R392" s="401"/>
      <c r="S392" s="401"/>
      <c r="T392" s="401"/>
      <c r="U392" s="401"/>
      <c r="V392" s="401"/>
      <c r="W392" s="401"/>
      <c r="X392" s="401"/>
      <c r="Y392" s="401"/>
      <c r="Z392" s="401"/>
      <c r="AA392" s="401"/>
      <c r="AB392" s="401"/>
    </row>
    <row r="393" spans="12:28" ht="19.05" customHeight="1">
      <c r="L393" s="400"/>
      <c r="O393" s="401"/>
      <c r="P393" s="401"/>
      <c r="R393" s="401"/>
      <c r="S393" s="401"/>
      <c r="T393" s="401"/>
      <c r="U393" s="401"/>
      <c r="V393" s="401"/>
      <c r="W393" s="401"/>
      <c r="X393" s="401"/>
      <c r="Y393" s="401"/>
      <c r="Z393" s="401"/>
      <c r="AA393" s="401"/>
      <c r="AB393" s="401"/>
    </row>
    <row r="394" spans="12:28" ht="19.05" customHeight="1">
      <c r="L394" s="400"/>
      <c r="O394" s="401"/>
      <c r="P394" s="401"/>
      <c r="R394" s="401"/>
      <c r="S394" s="401"/>
      <c r="T394" s="401"/>
      <c r="U394" s="401"/>
      <c r="V394" s="401"/>
      <c r="W394" s="401"/>
      <c r="X394" s="401"/>
      <c r="Y394" s="401"/>
      <c r="Z394" s="401"/>
      <c r="AA394" s="401"/>
      <c r="AB394" s="401"/>
    </row>
    <row r="395" spans="12:28" ht="19.05" customHeight="1">
      <c r="L395" s="400"/>
      <c r="O395" s="401"/>
      <c r="P395" s="401"/>
      <c r="R395" s="401"/>
      <c r="S395" s="401"/>
      <c r="T395" s="401"/>
      <c r="U395" s="401"/>
      <c r="V395" s="401"/>
      <c r="W395" s="401"/>
      <c r="X395" s="401"/>
      <c r="Y395" s="401"/>
      <c r="Z395" s="401"/>
      <c r="AA395" s="401"/>
      <c r="AB395" s="401"/>
    </row>
    <row r="396" spans="12:28" ht="19.05" customHeight="1">
      <c r="L396" s="400"/>
      <c r="O396" s="401"/>
      <c r="P396" s="401"/>
      <c r="R396" s="401"/>
      <c r="S396" s="401"/>
      <c r="T396" s="401"/>
      <c r="U396" s="401"/>
      <c r="V396" s="401"/>
      <c r="W396" s="401"/>
      <c r="X396" s="401"/>
      <c r="Y396" s="401"/>
      <c r="Z396" s="401"/>
      <c r="AA396" s="401"/>
      <c r="AB396" s="401"/>
    </row>
    <row r="397" spans="12:28" ht="19.05" customHeight="1">
      <c r="L397" s="400"/>
      <c r="O397" s="401"/>
      <c r="P397" s="401"/>
      <c r="R397" s="401"/>
      <c r="S397" s="401"/>
      <c r="T397" s="401"/>
      <c r="U397" s="401"/>
      <c r="V397" s="401"/>
      <c r="W397" s="401"/>
      <c r="X397" s="401"/>
      <c r="Y397" s="401"/>
      <c r="Z397" s="401"/>
      <c r="AA397" s="401"/>
      <c r="AB397" s="401"/>
    </row>
    <row r="398" spans="12:28" ht="19.05" customHeight="1">
      <c r="L398" s="400"/>
      <c r="O398" s="401"/>
      <c r="P398" s="401"/>
      <c r="R398" s="401"/>
      <c r="S398" s="401"/>
      <c r="T398" s="401"/>
      <c r="U398" s="401"/>
      <c r="V398" s="401"/>
      <c r="W398" s="401"/>
      <c r="X398" s="401"/>
      <c r="Y398" s="401"/>
      <c r="Z398" s="401"/>
      <c r="AA398" s="401"/>
      <c r="AB398" s="401"/>
    </row>
    <row r="399" spans="12:28" ht="19.05" customHeight="1">
      <c r="L399" s="400"/>
      <c r="O399" s="401"/>
      <c r="P399" s="401"/>
      <c r="R399" s="401"/>
      <c r="S399" s="401"/>
      <c r="T399" s="401"/>
      <c r="U399" s="401"/>
      <c r="V399" s="401"/>
      <c r="W399" s="401"/>
      <c r="X399" s="401"/>
      <c r="Y399" s="401"/>
      <c r="Z399" s="401"/>
      <c r="AA399" s="401"/>
      <c r="AB399" s="401"/>
    </row>
    <row r="400" spans="12:28" ht="19.05" customHeight="1">
      <c r="L400" s="400"/>
      <c r="O400" s="401"/>
      <c r="P400" s="401"/>
      <c r="R400" s="401"/>
      <c r="S400" s="401"/>
      <c r="T400" s="401"/>
      <c r="U400" s="401"/>
      <c r="V400" s="401"/>
      <c r="W400" s="401"/>
      <c r="X400" s="401"/>
      <c r="Y400" s="401"/>
      <c r="Z400" s="401"/>
      <c r="AA400" s="401"/>
      <c r="AB400" s="401"/>
    </row>
    <row r="401" spans="12:28" ht="19.05" customHeight="1">
      <c r="L401" s="400"/>
      <c r="O401" s="401"/>
      <c r="P401" s="401"/>
      <c r="R401" s="401"/>
      <c r="S401" s="401"/>
      <c r="T401" s="401"/>
      <c r="U401" s="401"/>
      <c r="V401" s="401"/>
      <c r="W401" s="401"/>
      <c r="X401" s="401"/>
      <c r="Y401" s="401"/>
      <c r="Z401" s="401"/>
      <c r="AA401" s="401"/>
      <c r="AB401" s="401"/>
    </row>
    <row r="402" spans="12:28" ht="19.05" customHeight="1">
      <c r="L402" s="400"/>
      <c r="O402" s="401"/>
      <c r="P402" s="401"/>
      <c r="R402" s="401"/>
      <c r="S402" s="401"/>
      <c r="T402" s="401"/>
      <c r="U402" s="401"/>
      <c r="V402" s="401"/>
      <c r="W402" s="401"/>
      <c r="X402" s="401"/>
      <c r="Y402" s="401"/>
      <c r="Z402" s="401"/>
      <c r="AA402" s="401"/>
      <c r="AB402" s="401"/>
    </row>
    <row r="403" spans="12:28" ht="19.05" customHeight="1">
      <c r="L403" s="400"/>
      <c r="O403" s="401"/>
      <c r="P403" s="401"/>
      <c r="R403" s="401"/>
      <c r="S403" s="401"/>
      <c r="T403" s="401"/>
      <c r="U403" s="401"/>
      <c r="V403" s="401"/>
      <c r="W403" s="401"/>
      <c r="X403" s="401"/>
      <c r="Y403" s="401"/>
      <c r="Z403" s="401"/>
      <c r="AA403" s="401"/>
      <c r="AB403" s="401"/>
    </row>
    <row r="404" spans="12:28" ht="19.05" customHeight="1">
      <c r="L404" s="400"/>
      <c r="O404" s="401"/>
      <c r="P404" s="401"/>
      <c r="R404" s="401"/>
      <c r="S404" s="401"/>
      <c r="T404" s="401"/>
      <c r="U404" s="401"/>
      <c r="V404" s="401"/>
      <c r="W404" s="401"/>
      <c r="X404" s="401"/>
      <c r="Y404" s="401"/>
      <c r="Z404" s="401"/>
      <c r="AA404" s="401"/>
      <c r="AB404" s="401"/>
    </row>
    <row r="405" spans="12:28" ht="19.05" customHeight="1">
      <c r="L405" s="400"/>
      <c r="O405" s="401"/>
      <c r="P405" s="401"/>
      <c r="R405" s="401"/>
      <c r="S405" s="401"/>
      <c r="T405" s="401"/>
      <c r="U405" s="401"/>
      <c r="V405" s="401"/>
      <c r="W405" s="401"/>
      <c r="X405" s="401"/>
      <c r="Y405" s="401"/>
      <c r="Z405" s="401"/>
      <c r="AA405" s="401"/>
      <c r="AB405" s="401"/>
    </row>
    <row r="406" spans="12:28" ht="19.05" customHeight="1">
      <c r="L406" s="400"/>
      <c r="O406" s="401"/>
      <c r="P406" s="401"/>
      <c r="R406" s="401"/>
      <c r="S406" s="401"/>
      <c r="T406" s="401"/>
      <c r="U406" s="401"/>
      <c r="V406" s="401"/>
      <c r="W406" s="401"/>
      <c r="X406" s="401"/>
      <c r="Y406" s="401"/>
      <c r="Z406" s="401"/>
      <c r="AA406" s="401"/>
      <c r="AB406" s="401"/>
    </row>
    <row r="407" spans="12:28" ht="19.05" customHeight="1">
      <c r="L407" s="400"/>
      <c r="O407" s="401"/>
      <c r="P407" s="401"/>
      <c r="R407" s="401"/>
      <c r="S407" s="401"/>
      <c r="T407" s="401"/>
      <c r="U407" s="401"/>
      <c r="V407" s="401"/>
      <c r="W407" s="401"/>
      <c r="X407" s="401"/>
      <c r="Y407" s="401"/>
      <c r="Z407" s="401"/>
      <c r="AA407" s="401"/>
      <c r="AB407" s="401"/>
    </row>
    <row r="408" spans="12:28" ht="19.05" customHeight="1">
      <c r="L408" s="400"/>
      <c r="O408" s="401"/>
      <c r="P408" s="401"/>
      <c r="R408" s="401"/>
      <c r="S408" s="401"/>
      <c r="T408" s="401"/>
      <c r="U408" s="401"/>
      <c r="V408" s="401"/>
      <c r="W408" s="401"/>
      <c r="X408" s="401"/>
      <c r="Y408" s="401"/>
      <c r="Z408" s="401"/>
      <c r="AA408" s="401"/>
      <c r="AB408" s="401"/>
    </row>
    <row r="409" spans="12:28" ht="19.05" customHeight="1">
      <c r="L409" s="400"/>
      <c r="O409" s="401"/>
      <c r="P409" s="401"/>
      <c r="R409" s="401"/>
      <c r="S409" s="401"/>
      <c r="T409" s="401"/>
      <c r="U409" s="401"/>
      <c r="V409" s="401"/>
      <c r="W409" s="401"/>
      <c r="X409" s="401"/>
      <c r="Y409" s="401"/>
      <c r="Z409" s="401"/>
      <c r="AA409" s="401"/>
      <c r="AB409" s="401"/>
    </row>
    <row r="410" spans="12:28" ht="19.05" customHeight="1">
      <c r="L410" s="400"/>
      <c r="O410" s="401"/>
      <c r="P410" s="401"/>
      <c r="R410" s="401"/>
      <c r="S410" s="401"/>
      <c r="T410" s="401"/>
      <c r="U410" s="401"/>
      <c r="V410" s="401"/>
      <c r="W410" s="401"/>
      <c r="X410" s="401"/>
      <c r="Y410" s="401"/>
      <c r="Z410" s="401"/>
      <c r="AA410" s="401"/>
      <c r="AB410" s="401"/>
    </row>
    <row r="411" spans="12:28" ht="19.05" customHeight="1">
      <c r="L411" s="400"/>
      <c r="O411" s="401"/>
      <c r="P411" s="401"/>
      <c r="R411" s="401"/>
      <c r="S411" s="401"/>
      <c r="T411" s="401"/>
      <c r="U411" s="401"/>
      <c r="V411" s="401"/>
      <c r="W411" s="401"/>
      <c r="X411" s="401"/>
      <c r="Y411" s="401"/>
      <c r="Z411" s="401"/>
      <c r="AA411" s="401"/>
      <c r="AB411" s="401"/>
    </row>
    <row r="412" spans="12:28" ht="19.05" customHeight="1">
      <c r="L412" s="400"/>
      <c r="O412" s="401"/>
      <c r="P412" s="401"/>
      <c r="R412" s="401"/>
      <c r="S412" s="401"/>
      <c r="T412" s="401"/>
      <c r="U412" s="401"/>
      <c r="V412" s="401"/>
      <c r="W412" s="401"/>
      <c r="X412" s="401"/>
      <c r="Y412" s="401"/>
      <c r="Z412" s="401"/>
      <c r="AA412" s="401"/>
      <c r="AB412" s="401"/>
    </row>
    <row r="413" spans="12:28" ht="19.05" customHeight="1">
      <c r="L413" s="400"/>
      <c r="O413" s="401"/>
      <c r="P413" s="401"/>
      <c r="R413" s="401"/>
      <c r="S413" s="401"/>
      <c r="T413" s="401"/>
      <c r="U413" s="401"/>
      <c r="V413" s="401"/>
      <c r="W413" s="401"/>
      <c r="X413" s="401"/>
      <c r="Y413" s="401"/>
      <c r="Z413" s="401"/>
      <c r="AA413" s="401"/>
      <c r="AB413" s="401"/>
    </row>
    <row r="414" spans="12:28" ht="19.05" customHeight="1">
      <c r="L414" s="400"/>
      <c r="O414" s="401"/>
      <c r="P414" s="401"/>
      <c r="R414" s="401"/>
      <c r="S414" s="401"/>
      <c r="T414" s="401"/>
      <c r="U414" s="401"/>
      <c r="V414" s="401"/>
      <c r="W414" s="401"/>
      <c r="X414" s="401"/>
      <c r="Y414" s="401"/>
      <c r="Z414" s="401"/>
      <c r="AA414" s="401"/>
      <c r="AB414" s="401"/>
    </row>
    <row r="415" spans="12:28" ht="19.05" customHeight="1">
      <c r="L415" s="400"/>
      <c r="O415" s="401"/>
      <c r="P415" s="401"/>
      <c r="R415" s="401"/>
      <c r="S415" s="401"/>
      <c r="T415" s="401"/>
      <c r="U415" s="401"/>
      <c r="V415" s="401"/>
      <c r="W415" s="401"/>
      <c r="X415" s="401"/>
      <c r="Y415" s="401"/>
      <c r="Z415" s="401"/>
      <c r="AA415" s="401"/>
      <c r="AB415" s="401"/>
    </row>
    <row r="416" spans="12:28" ht="19.05" customHeight="1">
      <c r="L416" s="400"/>
      <c r="O416" s="401"/>
      <c r="P416" s="401"/>
      <c r="R416" s="401"/>
      <c r="S416" s="401"/>
      <c r="T416" s="401"/>
      <c r="U416" s="401"/>
      <c r="V416" s="401"/>
      <c r="W416" s="401"/>
      <c r="X416" s="401"/>
      <c r="Y416" s="401"/>
      <c r="Z416" s="401"/>
      <c r="AA416" s="401"/>
      <c r="AB416" s="401"/>
    </row>
    <row r="417" spans="12:28" ht="19.05" customHeight="1">
      <c r="L417" s="400"/>
      <c r="O417" s="401"/>
      <c r="P417" s="401"/>
      <c r="R417" s="401"/>
      <c r="S417" s="401"/>
      <c r="T417" s="401"/>
      <c r="U417" s="401"/>
      <c r="V417" s="401"/>
      <c r="W417" s="401"/>
      <c r="X417" s="401"/>
      <c r="Y417" s="401"/>
      <c r="Z417" s="401"/>
      <c r="AA417" s="401"/>
      <c r="AB417" s="401"/>
    </row>
    <row r="418" spans="12:28" ht="19.05" customHeight="1">
      <c r="L418" s="400"/>
      <c r="O418" s="401"/>
      <c r="P418" s="401"/>
      <c r="R418" s="401"/>
      <c r="S418" s="401"/>
      <c r="T418" s="401"/>
      <c r="U418" s="401"/>
      <c r="V418" s="401"/>
      <c r="W418" s="401"/>
      <c r="X418" s="401"/>
      <c r="Y418" s="401"/>
      <c r="Z418" s="401"/>
      <c r="AA418" s="401"/>
      <c r="AB418" s="401"/>
    </row>
    <row r="419" spans="12:28" ht="19.05" customHeight="1">
      <c r="L419" s="400"/>
      <c r="O419" s="401"/>
      <c r="P419" s="401"/>
      <c r="R419" s="401"/>
      <c r="S419" s="401"/>
      <c r="T419" s="401"/>
      <c r="U419" s="401"/>
      <c r="V419" s="401"/>
      <c r="W419" s="401"/>
      <c r="X419" s="401"/>
      <c r="Y419" s="401"/>
      <c r="Z419" s="401"/>
      <c r="AA419" s="401"/>
      <c r="AB419" s="401"/>
    </row>
    <row r="420" spans="12:28" ht="19.05" customHeight="1">
      <c r="L420" s="400"/>
      <c r="O420" s="401"/>
      <c r="P420" s="401"/>
      <c r="R420" s="401"/>
      <c r="S420" s="401"/>
      <c r="T420" s="401"/>
      <c r="U420" s="401"/>
      <c r="V420" s="401"/>
      <c r="W420" s="401"/>
      <c r="X420" s="401"/>
      <c r="Y420" s="401"/>
      <c r="Z420" s="401"/>
      <c r="AA420" s="401"/>
      <c r="AB420" s="401"/>
    </row>
    <row r="421" spans="12:28" ht="19.05" customHeight="1">
      <c r="L421" s="400"/>
      <c r="O421" s="401"/>
      <c r="P421" s="401"/>
      <c r="R421" s="401"/>
      <c r="S421" s="401"/>
      <c r="T421" s="401"/>
      <c r="U421" s="401"/>
      <c r="V421" s="401"/>
      <c r="W421" s="401"/>
      <c r="X421" s="401"/>
      <c r="Y421" s="401"/>
      <c r="Z421" s="401"/>
      <c r="AA421" s="401"/>
      <c r="AB421" s="401"/>
    </row>
    <row r="422" spans="12:28" ht="19.05" customHeight="1">
      <c r="L422" s="400"/>
      <c r="O422" s="401"/>
      <c r="P422" s="401"/>
      <c r="R422" s="401"/>
      <c r="S422" s="401"/>
      <c r="T422" s="401"/>
      <c r="U422" s="401"/>
      <c r="V422" s="401"/>
      <c r="W422" s="401"/>
      <c r="X422" s="401"/>
      <c r="Y422" s="401"/>
      <c r="Z422" s="401"/>
      <c r="AA422" s="401"/>
      <c r="AB422" s="401"/>
    </row>
    <row r="423" spans="12:28" ht="19.05" customHeight="1">
      <c r="L423" s="400"/>
      <c r="O423" s="401"/>
      <c r="P423" s="401"/>
      <c r="R423" s="401"/>
      <c r="S423" s="401"/>
      <c r="T423" s="401"/>
      <c r="U423" s="401"/>
      <c r="V423" s="401"/>
      <c r="W423" s="401"/>
      <c r="X423" s="401"/>
      <c r="Y423" s="401"/>
      <c r="Z423" s="401"/>
      <c r="AA423" s="401"/>
      <c r="AB423" s="401"/>
    </row>
    <row r="424" spans="12:28" ht="19.05" customHeight="1">
      <c r="L424" s="400"/>
      <c r="O424" s="401"/>
      <c r="P424" s="401"/>
      <c r="R424" s="401"/>
      <c r="S424" s="401"/>
      <c r="T424" s="401"/>
      <c r="U424" s="401"/>
      <c r="V424" s="401"/>
      <c r="W424" s="401"/>
      <c r="X424" s="401"/>
      <c r="Y424" s="401"/>
      <c r="Z424" s="401"/>
      <c r="AA424" s="401"/>
      <c r="AB424" s="401"/>
    </row>
    <row r="425" spans="12:28" ht="19.05" customHeight="1">
      <c r="L425" s="400"/>
      <c r="O425" s="401"/>
      <c r="P425" s="401"/>
      <c r="R425" s="401"/>
      <c r="S425" s="401"/>
      <c r="T425" s="401"/>
      <c r="U425" s="401"/>
      <c r="V425" s="401"/>
      <c r="W425" s="401"/>
      <c r="X425" s="401"/>
      <c r="Y425" s="401"/>
      <c r="Z425" s="401"/>
      <c r="AA425" s="401"/>
      <c r="AB425" s="401"/>
    </row>
    <row r="426" spans="12:28" ht="19.05" customHeight="1">
      <c r="L426" s="400"/>
      <c r="O426" s="401"/>
      <c r="P426" s="401"/>
      <c r="R426" s="401"/>
      <c r="S426" s="401"/>
      <c r="T426" s="401"/>
      <c r="U426" s="401"/>
      <c r="V426" s="401"/>
      <c r="W426" s="401"/>
      <c r="X426" s="401"/>
      <c r="Y426" s="401"/>
      <c r="Z426" s="401"/>
      <c r="AA426" s="401"/>
      <c r="AB426" s="401"/>
    </row>
    <row r="427" spans="12:28" ht="19.05" customHeight="1">
      <c r="L427" s="400"/>
      <c r="O427" s="401"/>
      <c r="P427" s="401"/>
      <c r="R427" s="401"/>
      <c r="S427" s="401"/>
      <c r="T427" s="401"/>
      <c r="U427" s="401"/>
      <c r="V427" s="401"/>
      <c r="W427" s="401"/>
      <c r="X427" s="401"/>
      <c r="Y427" s="401"/>
      <c r="Z427" s="401"/>
      <c r="AA427" s="401"/>
      <c r="AB427" s="401"/>
    </row>
    <row r="428" spans="12:28" ht="19.05" customHeight="1">
      <c r="L428" s="400"/>
      <c r="O428" s="401"/>
      <c r="P428" s="401"/>
      <c r="R428" s="401"/>
      <c r="S428" s="401"/>
      <c r="T428" s="401"/>
      <c r="U428" s="401"/>
      <c r="V428" s="401"/>
      <c r="W428" s="401"/>
      <c r="X428" s="401"/>
      <c r="Y428" s="401"/>
      <c r="Z428" s="401"/>
      <c r="AA428" s="401"/>
      <c r="AB428" s="401"/>
    </row>
    <row r="429" spans="12:28" ht="19.05" customHeight="1">
      <c r="L429" s="400"/>
      <c r="O429" s="401"/>
      <c r="P429" s="401"/>
      <c r="R429" s="401"/>
      <c r="S429" s="401"/>
      <c r="T429" s="401"/>
      <c r="U429" s="401"/>
      <c r="V429" s="401"/>
      <c r="W429" s="401"/>
      <c r="X429" s="401"/>
      <c r="Y429" s="401"/>
      <c r="Z429" s="401"/>
      <c r="AA429" s="401"/>
      <c r="AB429" s="401"/>
    </row>
    <row r="430" spans="12:28" ht="19.05" customHeight="1">
      <c r="L430" s="400"/>
      <c r="O430" s="401"/>
      <c r="P430" s="401"/>
      <c r="R430" s="401"/>
      <c r="S430" s="401"/>
      <c r="T430" s="401"/>
      <c r="U430" s="401"/>
      <c r="V430" s="401"/>
      <c r="W430" s="401"/>
      <c r="X430" s="401"/>
      <c r="Y430" s="401"/>
      <c r="Z430" s="401"/>
      <c r="AA430" s="401"/>
      <c r="AB430" s="401"/>
    </row>
    <row r="431" spans="12:28" ht="19.05" customHeight="1">
      <c r="L431" s="400"/>
      <c r="O431" s="401"/>
      <c r="P431" s="401"/>
      <c r="R431" s="401"/>
      <c r="S431" s="401"/>
      <c r="T431" s="401"/>
      <c r="U431" s="401"/>
      <c r="V431" s="401"/>
      <c r="W431" s="401"/>
      <c r="X431" s="401"/>
      <c r="Y431" s="401"/>
      <c r="Z431" s="401"/>
      <c r="AA431" s="401"/>
      <c r="AB431" s="401"/>
    </row>
    <row r="432" spans="12:28" ht="19.05" customHeight="1">
      <c r="L432" s="400"/>
      <c r="O432" s="401"/>
      <c r="P432" s="401"/>
      <c r="R432" s="401"/>
      <c r="S432" s="401"/>
      <c r="T432" s="401"/>
      <c r="U432" s="401"/>
      <c r="V432" s="401"/>
      <c r="W432" s="401"/>
      <c r="X432" s="401"/>
      <c r="Y432" s="401"/>
      <c r="Z432" s="401"/>
      <c r="AA432" s="401"/>
      <c r="AB432" s="401"/>
    </row>
    <row r="433" spans="12:28" ht="19.05" customHeight="1">
      <c r="L433" s="400"/>
      <c r="O433" s="401"/>
      <c r="P433" s="401"/>
      <c r="R433" s="401"/>
      <c r="S433" s="401"/>
      <c r="T433" s="401"/>
      <c r="U433" s="401"/>
      <c r="V433" s="401"/>
      <c r="W433" s="401"/>
      <c r="X433" s="401"/>
      <c r="Y433" s="401"/>
      <c r="Z433" s="401"/>
      <c r="AA433" s="401"/>
      <c r="AB433" s="401"/>
    </row>
    <row r="434" spans="12:28" ht="19.05" customHeight="1">
      <c r="L434" s="400"/>
      <c r="O434" s="401"/>
      <c r="P434" s="401"/>
      <c r="R434" s="401"/>
      <c r="S434" s="401"/>
      <c r="T434" s="401"/>
      <c r="U434" s="401"/>
      <c r="V434" s="401"/>
      <c r="W434" s="401"/>
      <c r="X434" s="401"/>
      <c r="Y434" s="401"/>
      <c r="Z434" s="401"/>
      <c r="AA434" s="401"/>
      <c r="AB434" s="401"/>
    </row>
    <row r="435" spans="12:28" ht="19.05" customHeight="1">
      <c r="L435" s="400"/>
      <c r="O435" s="401"/>
      <c r="P435" s="401"/>
      <c r="R435" s="401"/>
      <c r="S435" s="401"/>
      <c r="T435" s="401"/>
      <c r="U435" s="401"/>
      <c r="V435" s="401"/>
      <c r="W435" s="401"/>
      <c r="X435" s="401"/>
      <c r="Y435" s="401"/>
      <c r="Z435" s="401"/>
      <c r="AA435" s="401"/>
      <c r="AB435" s="401"/>
    </row>
    <row r="436" spans="12:28" ht="19.05" customHeight="1">
      <c r="L436" s="400"/>
      <c r="O436" s="401"/>
      <c r="P436" s="401"/>
      <c r="R436" s="401"/>
      <c r="S436" s="401"/>
      <c r="T436" s="401"/>
      <c r="U436" s="401"/>
      <c r="V436" s="401"/>
      <c r="W436" s="401"/>
      <c r="X436" s="401"/>
      <c r="Y436" s="401"/>
      <c r="Z436" s="401"/>
      <c r="AA436" s="401"/>
      <c r="AB436" s="401"/>
    </row>
    <row r="437" spans="12:28" ht="19.05" customHeight="1">
      <c r="L437" s="400"/>
      <c r="O437" s="401"/>
      <c r="P437" s="401"/>
      <c r="R437" s="401"/>
      <c r="S437" s="401"/>
      <c r="T437" s="401"/>
      <c r="U437" s="401"/>
      <c r="V437" s="401"/>
      <c r="W437" s="401"/>
      <c r="X437" s="401"/>
      <c r="Y437" s="401"/>
      <c r="Z437" s="401"/>
      <c r="AA437" s="401"/>
      <c r="AB437" s="401"/>
    </row>
    <row r="438" spans="12:28" ht="19.05" customHeight="1">
      <c r="L438" s="400"/>
      <c r="O438" s="401"/>
      <c r="P438" s="401"/>
      <c r="R438" s="401"/>
      <c r="S438" s="401"/>
      <c r="T438" s="401"/>
      <c r="U438" s="401"/>
      <c r="V438" s="401"/>
      <c r="W438" s="401"/>
      <c r="X438" s="401"/>
      <c r="Y438" s="401"/>
      <c r="Z438" s="401"/>
      <c r="AA438" s="401"/>
      <c r="AB438" s="401"/>
    </row>
    <row r="439" spans="12:28" ht="19.05" customHeight="1">
      <c r="L439" s="400"/>
      <c r="O439" s="401"/>
      <c r="P439" s="401"/>
      <c r="R439" s="401"/>
      <c r="S439" s="401"/>
      <c r="T439" s="401"/>
      <c r="U439" s="401"/>
      <c r="V439" s="401"/>
      <c r="W439" s="401"/>
      <c r="X439" s="401"/>
      <c r="Y439" s="401"/>
      <c r="Z439" s="401"/>
      <c r="AA439" s="401"/>
      <c r="AB439" s="401"/>
    </row>
    <row r="440" spans="12:28" ht="19.05" customHeight="1">
      <c r="L440" s="400"/>
      <c r="O440" s="401"/>
      <c r="P440" s="401"/>
      <c r="R440" s="401"/>
      <c r="S440" s="401"/>
      <c r="T440" s="401"/>
      <c r="U440" s="401"/>
      <c r="V440" s="401"/>
      <c r="W440" s="401"/>
      <c r="X440" s="401"/>
      <c r="Y440" s="401"/>
      <c r="Z440" s="401"/>
      <c r="AA440" s="401"/>
      <c r="AB440" s="401"/>
    </row>
    <row r="441" spans="12:28" ht="19.05" customHeight="1">
      <c r="L441" s="400"/>
      <c r="O441" s="401"/>
      <c r="P441" s="401"/>
      <c r="R441" s="401"/>
      <c r="S441" s="401"/>
      <c r="T441" s="401"/>
      <c r="U441" s="401"/>
      <c r="V441" s="401"/>
      <c r="W441" s="401"/>
      <c r="X441" s="401"/>
      <c r="Y441" s="401"/>
      <c r="Z441" s="401"/>
      <c r="AA441" s="401"/>
      <c r="AB441" s="401"/>
    </row>
    <row r="442" spans="12:28" ht="19.05" customHeight="1">
      <c r="L442" s="400"/>
      <c r="O442" s="401"/>
      <c r="P442" s="401"/>
      <c r="R442" s="401"/>
      <c r="S442" s="401"/>
      <c r="T442" s="401"/>
      <c r="U442" s="401"/>
      <c r="V442" s="401"/>
      <c r="W442" s="401"/>
      <c r="X442" s="401"/>
      <c r="Y442" s="401"/>
      <c r="Z442" s="401"/>
      <c r="AA442" s="401"/>
      <c r="AB442" s="401"/>
    </row>
    <row r="443" spans="12:28" ht="19.05" customHeight="1">
      <c r="L443" s="400"/>
      <c r="O443" s="401"/>
      <c r="P443" s="401"/>
      <c r="R443" s="401"/>
      <c r="S443" s="401"/>
      <c r="T443" s="401"/>
      <c r="U443" s="401"/>
      <c r="V443" s="401"/>
      <c r="W443" s="401"/>
      <c r="X443" s="401"/>
      <c r="Y443" s="401"/>
      <c r="Z443" s="401"/>
      <c r="AA443" s="401"/>
      <c r="AB443" s="401"/>
    </row>
    <row r="444" spans="12:28" ht="19.05" customHeight="1">
      <c r="L444" s="400"/>
      <c r="O444" s="401"/>
      <c r="P444" s="401"/>
      <c r="R444" s="401"/>
      <c r="S444" s="401"/>
      <c r="T444" s="401"/>
      <c r="U444" s="401"/>
      <c r="V444" s="401"/>
      <c r="W444" s="401"/>
      <c r="X444" s="401"/>
      <c r="Y444" s="401"/>
      <c r="Z444" s="401"/>
      <c r="AA444" s="401"/>
      <c r="AB444" s="401"/>
    </row>
    <row r="445" spans="12:28" ht="19.05" customHeight="1">
      <c r="L445" s="400"/>
      <c r="O445" s="401"/>
      <c r="P445" s="401"/>
      <c r="R445" s="401"/>
      <c r="S445" s="401"/>
      <c r="T445" s="401"/>
      <c r="U445" s="401"/>
      <c r="V445" s="401"/>
      <c r="W445" s="401"/>
      <c r="X445" s="401"/>
      <c r="Y445" s="401"/>
      <c r="Z445" s="401"/>
      <c r="AA445" s="401"/>
      <c r="AB445" s="401"/>
    </row>
    <row r="446" spans="12:28" ht="19.05" customHeight="1">
      <c r="L446" s="400"/>
      <c r="O446" s="401"/>
      <c r="P446" s="401"/>
      <c r="R446" s="401"/>
      <c r="S446" s="401"/>
      <c r="T446" s="401"/>
      <c r="U446" s="401"/>
      <c r="V446" s="401"/>
      <c r="W446" s="401"/>
      <c r="X446" s="401"/>
      <c r="Y446" s="401"/>
      <c r="Z446" s="401"/>
      <c r="AA446" s="401"/>
      <c r="AB446" s="401"/>
    </row>
    <row r="447" spans="12:28" ht="19.05" customHeight="1">
      <c r="L447" s="400"/>
      <c r="O447" s="401"/>
      <c r="P447" s="401"/>
      <c r="R447" s="401"/>
      <c r="S447" s="401"/>
      <c r="T447" s="401"/>
      <c r="U447" s="401"/>
      <c r="V447" s="401"/>
      <c r="W447" s="401"/>
      <c r="X447" s="401"/>
      <c r="Y447" s="401"/>
      <c r="Z447" s="401"/>
      <c r="AA447" s="401"/>
      <c r="AB447" s="401"/>
    </row>
    <row r="448" spans="12:28" ht="19.05" customHeight="1">
      <c r="L448" s="400"/>
      <c r="O448" s="401"/>
      <c r="P448" s="401"/>
      <c r="R448" s="401"/>
      <c r="S448" s="401"/>
      <c r="T448" s="401"/>
      <c r="U448" s="401"/>
      <c r="V448" s="401"/>
      <c r="W448" s="401"/>
      <c r="X448" s="401"/>
      <c r="Y448" s="401"/>
      <c r="Z448" s="401"/>
      <c r="AA448" s="401"/>
      <c r="AB448" s="401"/>
    </row>
    <row r="449" spans="12:28" ht="19.05" customHeight="1">
      <c r="L449" s="400"/>
      <c r="O449" s="401"/>
      <c r="P449" s="401"/>
      <c r="R449" s="401"/>
      <c r="S449" s="401"/>
      <c r="T449" s="401"/>
      <c r="U449" s="401"/>
      <c r="V449" s="401"/>
      <c r="W449" s="401"/>
      <c r="X449" s="401"/>
      <c r="Y449" s="401"/>
      <c r="Z449" s="401"/>
      <c r="AA449" s="401"/>
      <c r="AB449" s="401"/>
    </row>
    <row r="450" spans="12:28" ht="19.05" customHeight="1">
      <c r="L450" s="400"/>
      <c r="O450" s="401"/>
      <c r="P450" s="401"/>
      <c r="R450" s="401"/>
      <c r="S450" s="401"/>
      <c r="T450" s="401"/>
      <c r="U450" s="401"/>
      <c r="V450" s="401"/>
      <c r="W450" s="401"/>
      <c r="X450" s="401"/>
      <c r="Y450" s="401"/>
      <c r="Z450" s="401"/>
      <c r="AA450" s="401"/>
      <c r="AB450" s="401"/>
    </row>
    <row r="451" spans="12:28" ht="19.05" customHeight="1">
      <c r="L451" s="400"/>
      <c r="O451" s="401"/>
      <c r="P451" s="401"/>
      <c r="R451" s="401"/>
      <c r="S451" s="401"/>
      <c r="T451" s="401"/>
      <c r="U451" s="401"/>
      <c r="V451" s="401"/>
      <c r="W451" s="401"/>
      <c r="X451" s="401"/>
      <c r="Y451" s="401"/>
      <c r="Z451" s="401"/>
      <c r="AA451" s="401"/>
      <c r="AB451" s="401"/>
    </row>
    <row r="452" spans="12:28" ht="19.05" customHeight="1">
      <c r="L452" s="400"/>
      <c r="O452" s="401"/>
      <c r="P452" s="401"/>
      <c r="R452" s="401"/>
      <c r="S452" s="401"/>
      <c r="T452" s="401"/>
      <c r="U452" s="401"/>
      <c r="V452" s="401"/>
      <c r="W452" s="401"/>
      <c r="X452" s="401"/>
      <c r="Y452" s="401"/>
      <c r="Z452" s="401"/>
      <c r="AA452" s="401"/>
      <c r="AB452" s="401"/>
    </row>
    <row r="453" spans="12:28" ht="19.05" customHeight="1">
      <c r="L453" s="400"/>
      <c r="O453" s="401"/>
      <c r="P453" s="401"/>
      <c r="R453" s="401"/>
      <c r="S453" s="401"/>
      <c r="T453" s="401"/>
      <c r="U453" s="401"/>
      <c r="V453" s="401"/>
      <c r="W453" s="401"/>
      <c r="X453" s="401"/>
      <c r="Y453" s="401"/>
      <c r="Z453" s="401"/>
      <c r="AA453" s="401"/>
      <c r="AB453" s="401"/>
    </row>
    <row r="454" spans="12:28" ht="19.05" customHeight="1">
      <c r="L454" s="400"/>
      <c r="O454" s="401"/>
      <c r="P454" s="401"/>
      <c r="R454" s="401"/>
      <c r="S454" s="401"/>
      <c r="T454" s="401"/>
      <c r="U454" s="401"/>
      <c r="V454" s="401"/>
      <c r="W454" s="401"/>
      <c r="X454" s="401"/>
      <c r="Y454" s="401"/>
      <c r="Z454" s="401"/>
      <c r="AA454" s="401"/>
      <c r="AB454" s="401"/>
    </row>
    <row r="455" spans="12:28" ht="19.05" customHeight="1">
      <c r="L455" s="400"/>
      <c r="O455" s="401"/>
      <c r="P455" s="401"/>
      <c r="R455" s="401"/>
      <c r="S455" s="401"/>
      <c r="T455" s="401"/>
      <c r="U455" s="401"/>
      <c r="V455" s="401"/>
      <c r="W455" s="401"/>
      <c r="X455" s="401"/>
      <c r="Y455" s="401"/>
      <c r="Z455" s="401"/>
      <c r="AA455" s="401"/>
      <c r="AB455" s="401"/>
    </row>
    <row r="456" spans="12:28" ht="19.05" customHeight="1">
      <c r="L456" s="400"/>
      <c r="O456" s="401"/>
      <c r="P456" s="401"/>
      <c r="R456" s="401"/>
      <c r="S456" s="401"/>
      <c r="T456" s="401"/>
      <c r="U456" s="401"/>
      <c r="V456" s="401"/>
      <c r="W456" s="401"/>
      <c r="X456" s="401"/>
      <c r="Y456" s="401"/>
      <c r="Z456" s="401"/>
      <c r="AA456" s="401"/>
      <c r="AB456" s="401"/>
    </row>
    <row r="457" spans="12:28" ht="19.05" customHeight="1">
      <c r="L457" s="400"/>
      <c r="O457" s="401"/>
      <c r="P457" s="401"/>
      <c r="R457" s="401"/>
      <c r="S457" s="401"/>
      <c r="T457" s="401"/>
      <c r="U457" s="401"/>
      <c r="V457" s="401"/>
      <c r="W457" s="401"/>
      <c r="X457" s="401"/>
      <c r="Y457" s="401"/>
      <c r="Z457" s="401"/>
      <c r="AA457" s="401"/>
      <c r="AB457" s="401"/>
    </row>
    <row r="458" spans="12:28" ht="19.05" customHeight="1">
      <c r="L458" s="400"/>
      <c r="O458" s="401"/>
      <c r="P458" s="401"/>
      <c r="R458" s="401"/>
      <c r="S458" s="401"/>
      <c r="T458" s="401"/>
      <c r="U458" s="401"/>
      <c r="V458" s="401"/>
      <c r="W458" s="401"/>
      <c r="X458" s="401"/>
      <c r="Y458" s="401"/>
      <c r="Z458" s="401"/>
      <c r="AA458" s="401"/>
      <c r="AB458" s="401"/>
    </row>
    <row r="459" spans="12:28" ht="19.05" customHeight="1">
      <c r="L459" s="400"/>
      <c r="O459" s="401"/>
      <c r="P459" s="401"/>
      <c r="R459" s="401"/>
      <c r="S459" s="401"/>
      <c r="T459" s="401"/>
      <c r="U459" s="401"/>
      <c r="V459" s="401"/>
      <c r="W459" s="401"/>
      <c r="X459" s="401"/>
      <c r="Y459" s="401"/>
      <c r="Z459" s="401"/>
      <c r="AA459" s="401"/>
      <c r="AB459" s="401"/>
    </row>
    <row r="460" spans="12:28" ht="19.05" customHeight="1">
      <c r="L460" s="400"/>
      <c r="O460" s="401"/>
      <c r="P460" s="401"/>
      <c r="R460" s="401"/>
      <c r="S460" s="401"/>
      <c r="T460" s="401"/>
      <c r="U460" s="401"/>
      <c r="V460" s="401"/>
      <c r="W460" s="401"/>
      <c r="X460" s="401"/>
      <c r="Y460" s="401"/>
      <c r="Z460" s="401"/>
      <c r="AA460" s="401"/>
      <c r="AB460" s="401"/>
    </row>
    <row r="461" spans="12:28" ht="19.05" customHeight="1">
      <c r="L461" s="400"/>
      <c r="O461" s="401"/>
      <c r="P461" s="401"/>
      <c r="R461" s="401"/>
      <c r="S461" s="401"/>
      <c r="T461" s="401"/>
      <c r="U461" s="401"/>
      <c r="V461" s="401"/>
      <c r="W461" s="401"/>
      <c r="X461" s="401"/>
      <c r="Y461" s="401"/>
      <c r="Z461" s="401"/>
      <c r="AA461" s="401"/>
      <c r="AB461" s="401"/>
    </row>
    <row r="462" spans="12:28" ht="19.05" customHeight="1">
      <c r="L462" s="400"/>
      <c r="O462" s="401"/>
      <c r="P462" s="401"/>
      <c r="R462" s="401"/>
      <c r="S462" s="401"/>
      <c r="T462" s="401"/>
      <c r="U462" s="401"/>
      <c r="V462" s="401"/>
      <c r="W462" s="401"/>
      <c r="X462" s="401"/>
      <c r="Y462" s="401"/>
      <c r="Z462" s="401"/>
      <c r="AA462" s="401"/>
      <c r="AB462" s="401"/>
    </row>
    <row r="463" spans="12:28" ht="19.05" customHeight="1">
      <c r="L463" s="400"/>
      <c r="O463" s="401"/>
      <c r="P463" s="401"/>
      <c r="R463" s="401"/>
      <c r="S463" s="401"/>
      <c r="T463" s="401"/>
      <c r="U463" s="401"/>
      <c r="V463" s="401"/>
      <c r="W463" s="401"/>
      <c r="X463" s="401"/>
      <c r="Y463" s="401"/>
      <c r="Z463" s="401"/>
      <c r="AA463" s="401"/>
      <c r="AB463" s="401"/>
    </row>
    <row r="464" spans="12:28" ht="19.05" customHeight="1">
      <c r="L464" s="400"/>
      <c r="O464" s="401"/>
      <c r="P464" s="401"/>
      <c r="R464" s="401"/>
      <c r="S464" s="401"/>
      <c r="T464" s="401"/>
      <c r="U464" s="401"/>
      <c r="V464" s="401"/>
      <c r="W464" s="401"/>
      <c r="X464" s="401"/>
      <c r="Y464" s="401"/>
      <c r="Z464" s="401"/>
      <c r="AA464" s="401"/>
      <c r="AB464" s="401"/>
    </row>
    <row r="465" spans="12:28" ht="19.05" customHeight="1">
      <c r="L465" s="400"/>
      <c r="O465" s="401"/>
      <c r="P465" s="401"/>
      <c r="R465" s="401"/>
      <c r="S465" s="401"/>
      <c r="T465" s="401"/>
      <c r="U465" s="401"/>
      <c r="V465" s="401"/>
      <c r="W465" s="401"/>
      <c r="X465" s="401"/>
      <c r="Y465" s="401"/>
      <c r="Z465" s="401"/>
      <c r="AA465" s="401"/>
      <c r="AB465" s="401"/>
    </row>
    <row r="466" spans="12:28" ht="19.05" customHeight="1">
      <c r="L466" s="400"/>
      <c r="O466" s="401"/>
      <c r="P466" s="401"/>
      <c r="R466" s="401"/>
      <c r="S466" s="401"/>
      <c r="T466" s="401"/>
      <c r="U466" s="401"/>
      <c r="V466" s="401"/>
      <c r="W466" s="401"/>
      <c r="X466" s="401"/>
      <c r="Y466" s="401"/>
      <c r="Z466" s="401"/>
      <c r="AA466" s="401"/>
      <c r="AB466" s="401"/>
    </row>
    <row r="467" spans="12:28" ht="19.05" customHeight="1">
      <c r="L467" s="400"/>
      <c r="O467" s="401"/>
      <c r="P467" s="401"/>
      <c r="R467" s="401"/>
      <c r="S467" s="401"/>
      <c r="T467" s="401"/>
      <c r="U467" s="401"/>
      <c r="V467" s="401"/>
      <c r="W467" s="401"/>
      <c r="X467" s="401"/>
      <c r="Y467" s="401"/>
      <c r="Z467" s="401"/>
      <c r="AA467" s="401"/>
      <c r="AB467" s="401"/>
    </row>
    <row r="468" spans="12:28" ht="19.05" customHeight="1">
      <c r="L468" s="400"/>
      <c r="O468" s="401"/>
      <c r="P468" s="401"/>
      <c r="R468" s="401"/>
      <c r="S468" s="401"/>
      <c r="T468" s="401"/>
      <c r="U468" s="401"/>
      <c r="V468" s="401"/>
      <c r="W468" s="401"/>
      <c r="X468" s="401"/>
      <c r="Y468" s="401"/>
      <c r="Z468" s="401"/>
      <c r="AA468" s="401"/>
      <c r="AB468" s="401"/>
    </row>
    <row r="469" spans="12:28" ht="19.05" customHeight="1">
      <c r="L469" s="400"/>
      <c r="O469" s="401"/>
      <c r="P469" s="401"/>
      <c r="R469" s="401"/>
      <c r="S469" s="401"/>
      <c r="T469" s="401"/>
      <c r="U469" s="401"/>
      <c r="V469" s="401"/>
      <c r="W469" s="401"/>
      <c r="X469" s="401"/>
      <c r="Y469" s="401"/>
      <c r="Z469" s="401"/>
      <c r="AA469" s="401"/>
      <c r="AB469" s="401"/>
    </row>
    <row r="470" spans="12:28" ht="19.05" customHeight="1">
      <c r="L470" s="400"/>
      <c r="O470" s="401"/>
      <c r="P470" s="401"/>
      <c r="R470" s="401"/>
      <c r="S470" s="401"/>
      <c r="T470" s="401"/>
      <c r="U470" s="401"/>
      <c r="V470" s="401"/>
      <c r="W470" s="401"/>
      <c r="X470" s="401"/>
      <c r="Y470" s="401"/>
      <c r="Z470" s="401"/>
      <c r="AA470" s="401"/>
      <c r="AB470" s="401"/>
    </row>
    <row r="471" spans="12:28" ht="19.05" customHeight="1">
      <c r="L471" s="400"/>
      <c r="O471" s="401"/>
      <c r="P471" s="401"/>
      <c r="R471" s="401"/>
      <c r="S471" s="401"/>
      <c r="T471" s="401"/>
      <c r="U471" s="401"/>
      <c r="V471" s="401"/>
      <c r="W471" s="401"/>
      <c r="X471" s="401"/>
      <c r="Y471" s="401"/>
      <c r="Z471" s="401"/>
      <c r="AA471" s="401"/>
      <c r="AB471" s="401"/>
    </row>
    <row r="472" spans="12:28" ht="19.05" customHeight="1">
      <c r="L472" s="400"/>
      <c r="O472" s="401"/>
      <c r="P472" s="401"/>
      <c r="R472" s="401"/>
      <c r="S472" s="401"/>
      <c r="T472" s="401"/>
      <c r="U472" s="401"/>
      <c r="V472" s="401"/>
      <c r="W472" s="401"/>
      <c r="X472" s="401"/>
      <c r="Y472" s="401"/>
      <c r="Z472" s="401"/>
      <c r="AA472" s="401"/>
      <c r="AB472" s="401"/>
    </row>
    <row r="473" spans="12:28" ht="19.05" customHeight="1">
      <c r="L473" s="400"/>
      <c r="O473" s="401"/>
      <c r="P473" s="401"/>
      <c r="R473" s="401"/>
      <c r="S473" s="401"/>
      <c r="T473" s="401"/>
      <c r="U473" s="401"/>
      <c r="V473" s="401"/>
      <c r="W473" s="401"/>
      <c r="X473" s="401"/>
      <c r="Y473" s="401"/>
      <c r="Z473" s="401"/>
      <c r="AA473" s="401"/>
      <c r="AB473" s="401"/>
    </row>
    <row r="474" spans="12:28" ht="19.05" customHeight="1">
      <c r="L474" s="400"/>
      <c r="O474" s="401"/>
      <c r="P474" s="401"/>
      <c r="R474" s="401"/>
      <c r="S474" s="401"/>
      <c r="T474" s="401"/>
      <c r="U474" s="401"/>
      <c r="V474" s="401"/>
      <c r="W474" s="401"/>
      <c r="X474" s="401"/>
      <c r="Y474" s="401"/>
      <c r="Z474" s="401"/>
      <c r="AA474" s="401"/>
      <c r="AB474" s="401"/>
    </row>
    <row r="475" spans="12:28" ht="19.05" customHeight="1">
      <c r="L475" s="400"/>
      <c r="O475" s="401"/>
      <c r="P475" s="401"/>
      <c r="R475" s="401"/>
      <c r="S475" s="401"/>
      <c r="T475" s="401"/>
      <c r="U475" s="401"/>
      <c r="V475" s="401"/>
      <c r="W475" s="401"/>
      <c r="X475" s="401"/>
      <c r="Y475" s="401"/>
      <c r="Z475" s="401"/>
      <c r="AA475" s="401"/>
      <c r="AB475" s="401"/>
    </row>
    <row r="476" spans="12:28" ht="19.05" customHeight="1">
      <c r="L476" s="400"/>
      <c r="O476" s="401"/>
      <c r="P476" s="401"/>
      <c r="R476" s="401"/>
      <c r="S476" s="401"/>
      <c r="T476" s="401"/>
      <c r="U476" s="401"/>
      <c r="V476" s="401"/>
      <c r="W476" s="401"/>
      <c r="X476" s="401"/>
      <c r="Y476" s="401"/>
      <c r="Z476" s="401"/>
      <c r="AA476" s="401"/>
      <c r="AB476" s="401"/>
    </row>
    <row r="477" spans="12:28" ht="19.05" customHeight="1">
      <c r="L477" s="400"/>
      <c r="O477" s="401"/>
      <c r="P477" s="401"/>
      <c r="R477" s="401"/>
      <c r="S477" s="401"/>
      <c r="T477" s="401"/>
      <c r="U477" s="401"/>
      <c r="V477" s="401"/>
      <c r="W477" s="401"/>
      <c r="X477" s="401"/>
      <c r="Y477" s="401"/>
      <c r="Z477" s="401"/>
      <c r="AA477" s="401"/>
      <c r="AB477" s="401"/>
    </row>
    <row r="478" spans="12:28" ht="19.05" customHeight="1">
      <c r="L478" s="400"/>
      <c r="O478" s="401"/>
      <c r="P478" s="401"/>
      <c r="R478" s="401"/>
      <c r="S478" s="401"/>
      <c r="T478" s="401"/>
      <c r="U478" s="401"/>
      <c r="V478" s="401"/>
      <c r="W478" s="401"/>
      <c r="X478" s="401"/>
      <c r="Y478" s="401"/>
      <c r="Z478" s="401"/>
      <c r="AA478" s="401"/>
      <c r="AB478" s="401"/>
    </row>
    <row r="479" spans="12:28" ht="19.05" customHeight="1">
      <c r="L479" s="400"/>
      <c r="O479" s="401"/>
      <c r="P479" s="401"/>
      <c r="R479" s="401"/>
      <c r="S479" s="401"/>
      <c r="T479" s="401"/>
      <c r="U479" s="401"/>
      <c r="V479" s="401"/>
      <c r="W479" s="401"/>
      <c r="X479" s="401"/>
      <c r="Y479" s="401"/>
      <c r="Z479" s="401"/>
      <c r="AA479" s="401"/>
      <c r="AB479" s="401"/>
    </row>
    <row r="480" spans="12:28" ht="19.05" customHeight="1">
      <c r="L480" s="400"/>
      <c r="O480" s="401"/>
      <c r="P480" s="401"/>
      <c r="R480" s="401"/>
      <c r="S480" s="401"/>
      <c r="T480" s="401"/>
      <c r="U480" s="401"/>
      <c r="V480" s="401"/>
      <c r="W480" s="401"/>
      <c r="X480" s="401"/>
      <c r="Y480" s="401"/>
      <c r="Z480" s="401"/>
      <c r="AA480" s="401"/>
      <c r="AB480" s="401"/>
    </row>
    <row r="481" spans="12:28" ht="19.05" customHeight="1">
      <c r="L481" s="400"/>
      <c r="O481" s="401"/>
      <c r="P481" s="401"/>
      <c r="R481" s="401"/>
      <c r="S481" s="401"/>
      <c r="T481" s="401"/>
      <c r="U481" s="401"/>
      <c r="V481" s="401"/>
      <c r="W481" s="401"/>
      <c r="X481" s="401"/>
      <c r="Y481" s="401"/>
      <c r="Z481" s="401"/>
      <c r="AA481" s="401"/>
      <c r="AB481" s="401"/>
    </row>
    <row r="482" spans="12:28" ht="19.05" customHeight="1">
      <c r="L482" s="400"/>
      <c r="O482" s="401"/>
      <c r="P482" s="401"/>
      <c r="R482" s="401"/>
      <c r="S482" s="401"/>
      <c r="T482" s="401"/>
      <c r="U482" s="401"/>
      <c r="V482" s="401"/>
      <c r="W482" s="401"/>
      <c r="X482" s="401"/>
      <c r="Y482" s="401"/>
      <c r="Z482" s="401"/>
      <c r="AA482" s="401"/>
      <c r="AB482" s="401"/>
    </row>
    <row r="483" spans="12:28" ht="19.05" customHeight="1">
      <c r="L483" s="400"/>
      <c r="O483" s="401"/>
      <c r="P483" s="401"/>
      <c r="R483" s="401"/>
      <c r="S483" s="401"/>
      <c r="T483" s="401"/>
      <c r="U483" s="401"/>
      <c r="V483" s="401"/>
      <c r="W483" s="401"/>
      <c r="X483" s="401"/>
      <c r="Y483" s="401"/>
      <c r="Z483" s="401"/>
      <c r="AA483" s="401"/>
      <c r="AB483" s="401"/>
    </row>
    <row r="484" spans="12:28" ht="19.05" customHeight="1">
      <c r="L484" s="400"/>
      <c r="O484" s="401"/>
      <c r="P484" s="401"/>
      <c r="R484" s="401"/>
      <c r="S484" s="401"/>
      <c r="T484" s="401"/>
      <c r="U484" s="401"/>
      <c r="V484" s="401"/>
      <c r="W484" s="401"/>
      <c r="X484" s="401"/>
      <c r="Y484" s="401"/>
      <c r="Z484" s="401"/>
      <c r="AA484" s="401"/>
      <c r="AB484" s="401"/>
    </row>
    <row r="485" spans="12:28" ht="19.05" customHeight="1">
      <c r="L485" s="400"/>
      <c r="O485" s="401"/>
      <c r="P485" s="401"/>
      <c r="R485" s="401"/>
      <c r="S485" s="401"/>
      <c r="T485" s="401"/>
      <c r="U485" s="401"/>
      <c r="V485" s="401"/>
      <c r="W485" s="401"/>
      <c r="X485" s="401"/>
      <c r="Y485" s="401"/>
      <c r="Z485" s="401"/>
      <c r="AA485" s="401"/>
      <c r="AB485" s="401"/>
    </row>
    <row r="486" spans="12:28" ht="19.05" customHeight="1">
      <c r="L486" s="400"/>
      <c r="O486" s="401"/>
      <c r="P486" s="401"/>
      <c r="R486" s="401"/>
      <c r="S486" s="401"/>
      <c r="T486" s="401"/>
      <c r="U486" s="401"/>
      <c r="V486" s="401"/>
      <c r="W486" s="401"/>
      <c r="X486" s="401"/>
      <c r="Y486" s="401"/>
      <c r="Z486" s="401"/>
      <c r="AA486" s="401"/>
      <c r="AB486" s="401"/>
    </row>
    <row r="487" spans="12:28" ht="19.05" customHeight="1">
      <c r="L487" s="400"/>
      <c r="O487" s="401"/>
      <c r="P487" s="401"/>
      <c r="R487" s="401"/>
      <c r="S487" s="401"/>
      <c r="T487" s="401"/>
      <c r="U487" s="401"/>
      <c r="V487" s="401"/>
      <c r="W487" s="401"/>
      <c r="X487" s="401"/>
      <c r="Y487" s="401"/>
      <c r="Z487" s="401"/>
      <c r="AA487" s="401"/>
      <c r="AB487" s="401"/>
    </row>
    <row r="488" spans="12:28" ht="19.05" customHeight="1">
      <c r="L488" s="400"/>
      <c r="O488" s="401"/>
      <c r="P488" s="401"/>
      <c r="R488" s="401"/>
      <c r="S488" s="401"/>
      <c r="T488" s="401"/>
      <c r="U488" s="401"/>
      <c r="V488" s="401"/>
      <c r="W488" s="401"/>
      <c r="X488" s="401"/>
      <c r="Y488" s="401"/>
      <c r="Z488" s="401"/>
      <c r="AA488" s="401"/>
      <c r="AB488" s="401"/>
    </row>
    <row r="489" spans="12:28" ht="19.05" customHeight="1">
      <c r="L489" s="400"/>
      <c r="O489" s="401"/>
      <c r="P489" s="401"/>
      <c r="R489" s="401"/>
      <c r="S489" s="401"/>
      <c r="T489" s="401"/>
      <c r="U489" s="401"/>
      <c r="V489" s="401"/>
      <c r="W489" s="401"/>
      <c r="X489" s="401"/>
      <c r="Y489" s="401"/>
      <c r="Z489" s="401"/>
      <c r="AA489" s="401"/>
      <c r="AB489" s="401"/>
    </row>
    <row r="490" spans="12:28" ht="19.05" customHeight="1">
      <c r="L490" s="400"/>
      <c r="O490" s="401"/>
      <c r="P490" s="401"/>
      <c r="R490" s="401"/>
      <c r="S490" s="401"/>
      <c r="T490" s="401"/>
      <c r="U490" s="401"/>
      <c r="V490" s="401"/>
      <c r="W490" s="401"/>
      <c r="X490" s="401"/>
      <c r="Y490" s="401"/>
      <c r="Z490" s="401"/>
      <c r="AA490" s="401"/>
      <c r="AB490" s="401"/>
    </row>
    <row r="491" spans="12:28" ht="19.05" customHeight="1">
      <c r="L491" s="400"/>
      <c r="O491" s="401"/>
      <c r="P491" s="401"/>
      <c r="R491" s="401"/>
      <c r="S491" s="401"/>
      <c r="T491" s="401"/>
      <c r="U491" s="401"/>
      <c r="V491" s="401"/>
      <c r="W491" s="401"/>
      <c r="X491" s="401"/>
      <c r="Y491" s="401"/>
      <c r="Z491" s="401"/>
      <c r="AA491" s="401"/>
      <c r="AB491" s="401"/>
    </row>
    <row r="492" spans="12:28" ht="19.05" customHeight="1">
      <c r="L492" s="400"/>
      <c r="O492" s="401"/>
      <c r="P492" s="401"/>
      <c r="R492" s="401"/>
      <c r="S492" s="401"/>
      <c r="T492" s="401"/>
      <c r="U492" s="401"/>
      <c r="V492" s="401"/>
      <c r="W492" s="401"/>
      <c r="X492" s="401"/>
      <c r="Y492" s="401"/>
      <c r="Z492" s="401"/>
      <c r="AA492" s="401"/>
      <c r="AB492" s="401"/>
    </row>
    <row r="493" spans="12:28" ht="19.05" customHeight="1">
      <c r="L493" s="400"/>
      <c r="O493" s="401"/>
      <c r="P493" s="401"/>
      <c r="R493" s="401"/>
      <c r="S493" s="401"/>
      <c r="T493" s="401"/>
      <c r="U493" s="401"/>
      <c r="V493" s="401"/>
      <c r="W493" s="401"/>
      <c r="X493" s="401"/>
      <c r="Y493" s="401"/>
      <c r="Z493" s="401"/>
      <c r="AA493" s="401"/>
      <c r="AB493" s="401"/>
    </row>
    <row r="494" spans="12:28" ht="19.05" customHeight="1">
      <c r="L494" s="400"/>
      <c r="O494" s="401"/>
      <c r="P494" s="401"/>
      <c r="R494" s="401"/>
      <c r="S494" s="401"/>
      <c r="T494" s="401"/>
      <c r="U494" s="401"/>
      <c r="V494" s="401"/>
      <c r="W494" s="401"/>
      <c r="X494" s="401"/>
      <c r="Y494" s="401"/>
      <c r="Z494" s="401"/>
      <c r="AA494" s="401"/>
      <c r="AB494" s="401"/>
    </row>
    <row r="495" spans="12:28" ht="19.05" customHeight="1">
      <c r="L495" s="400"/>
      <c r="O495" s="401"/>
      <c r="P495" s="401"/>
      <c r="R495" s="401"/>
      <c r="S495" s="401"/>
      <c r="T495" s="401"/>
      <c r="U495" s="401"/>
      <c r="V495" s="401"/>
      <c r="W495" s="401"/>
      <c r="X495" s="401"/>
      <c r="Y495" s="401"/>
      <c r="Z495" s="401"/>
      <c r="AA495" s="401"/>
      <c r="AB495" s="401"/>
    </row>
    <row r="496" spans="12:28" ht="19.05" customHeight="1">
      <c r="L496" s="400"/>
      <c r="O496" s="401"/>
      <c r="P496" s="401"/>
      <c r="R496" s="401"/>
      <c r="S496" s="401"/>
      <c r="T496" s="401"/>
      <c r="U496" s="401"/>
      <c r="V496" s="401"/>
      <c r="W496" s="401"/>
      <c r="X496" s="401"/>
      <c r="Y496" s="401"/>
      <c r="Z496" s="401"/>
      <c r="AA496" s="401"/>
      <c r="AB496" s="401"/>
    </row>
    <row r="497" spans="12:28" ht="19.05" customHeight="1">
      <c r="L497" s="400"/>
      <c r="O497" s="401"/>
      <c r="P497" s="401"/>
      <c r="R497" s="401"/>
      <c r="S497" s="401"/>
      <c r="T497" s="401"/>
      <c r="U497" s="401"/>
      <c r="V497" s="401"/>
      <c r="W497" s="401"/>
      <c r="X497" s="401"/>
      <c r="Y497" s="401"/>
      <c r="Z497" s="401"/>
      <c r="AA497" s="401"/>
      <c r="AB497" s="401"/>
    </row>
    <row r="498" spans="12:28" ht="19.05" customHeight="1">
      <c r="L498" s="400"/>
      <c r="O498" s="401"/>
      <c r="P498" s="401"/>
      <c r="R498" s="401"/>
      <c r="S498" s="401"/>
      <c r="T498" s="401"/>
      <c r="U498" s="401"/>
      <c r="V498" s="401"/>
      <c r="W498" s="401"/>
      <c r="X498" s="401"/>
      <c r="Y498" s="401"/>
      <c r="Z498" s="401"/>
      <c r="AA498" s="401"/>
      <c r="AB498" s="401"/>
    </row>
    <row r="499" spans="12:28" ht="19.05" customHeight="1">
      <c r="L499" s="400"/>
      <c r="O499" s="401"/>
      <c r="P499" s="401"/>
      <c r="R499" s="401"/>
      <c r="S499" s="401"/>
      <c r="T499" s="401"/>
      <c r="U499" s="401"/>
      <c r="V499" s="401"/>
      <c r="W499" s="401"/>
      <c r="X499" s="401"/>
      <c r="Y499" s="401"/>
      <c r="Z499" s="401"/>
      <c r="AA499" s="401"/>
      <c r="AB499" s="401"/>
    </row>
    <row r="500" spans="12:28" ht="19.05" customHeight="1">
      <c r="L500" s="400"/>
      <c r="O500" s="401"/>
      <c r="P500" s="401"/>
      <c r="R500" s="401"/>
      <c r="S500" s="401"/>
      <c r="T500" s="401"/>
      <c r="U500" s="401"/>
      <c r="V500" s="401"/>
      <c r="W500" s="401"/>
      <c r="X500" s="401"/>
      <c r="Y500" s="401"/>
      <c r="Z500" s="401"/>
      <c r="AA500" s="401"/>
      <c r="AB500" s="401"/>
    </row>
    <row r="501" spans="12:28" ht="19.05" customHeight="1">
      <c r="L501" s="400"/>
      <c r="O501" s="401"/>
      <c r="P501" s="401"/>
      <c r="R501" s="401"/>
      <c r="S501" s="401"/>
      <c r="T501" s="401"/>
      <c r="U501" s="401"/>
      <c r="V501" s="401"/>
      <c r="W501" s="401"/>
      <c r="X501" s="401"/>
      <c r="Y501" s="401"/>
      <c r="Z501" s="401"/>
      <c r="AA501" s="401"/>
      <c r="AB501" s="401"/>
    </row>
    <row r="502" spans="12:28" ht="19.05" customHeight="1">
      <c r="L502" s="400"/>
      <c r="O502" s="401"/>
      <c r="P502" s="401"/>
      <c r="R502" s="401"/>
      <c r="S502" s="401"/>
      <c r="T502" s="401"/>
      <c r="U502" s="401"/>
      <c r="V502" s="401"/>
      <c r="W502" s="401"/>
      <c r="X502" s="401"/>
      <c r="Y502" s="401"/>
      <c r="Z502" s="401"/>
      <c r="AA502" s="401"/>
      <c r="AB502" s="401"/>
    </row>
    <row r="503" spans="12:28" ht="19.05" customHeight="1">
      <c r="L503" s="400"/>
      <c r="O503" s="401"/>
      <c r="P503" s="401"/>
      <c r="R503" s="401"/>
      <c r="S503" s="401"/>
      <c r="T503" s="401"/>
      <c r="U503" s="401"/>
      <c r="V503" s="401"/>
      <c r="W503" s="401"/>
      <c r="X503" s="401"/>
      <c r="Y503" s="401"/>
      <c r="Z503" s="401"/>
      <c r="AA503" s="401"/>
      <c r="AB503" s="401"/>
    </row>
    <row r="504" spans="12:28" ht="19.05" customHeight="1">
      <c r="L504" s="400"/>
      <c r="O504" s="401"/>
      <c r="P504" s="401"/>
      <c r="R504" s="401"/>
      <c r="S504" s="401"/>
      <c r="T504" s="401"/>
      <c r="U504" s="401"/>
      <c r="V504" s="401"/>
      <c r="W504" s="401"/>
      <c r="X504" s="401"/>
      <c r="Y504" s="401"/>
      <c r="Z504" s="401"/>
      <c r="AA504" s="401"/>
      <c r="AB504" s="401"/>
    </row>
    <row r="505" spans="12:28" ht="19.05" customHeight="1">
      <c r="L505" s="400"/>
      <c r="O505" s="401"/>
      <c r="P505" s="401"/>
      <c r="R505" s="401"/>
      <c r="S505" s="401"/>
      <c r="T505" s="401"/>
      <c r="U505" s="401"/>
      <c r="V505" s="401"/>
      <c r="W505" s="401"/>
      <c r="X505" s="401"/>
      <c r="Y505" s="401"/>
      <c r="Z505" s="401"/>
      <c r="AA505" s="401"/>
      <c r="AB505" s="401"/>
    </row>
    <row r="506" spans="12:28" ht="19.05" customHeight="1">
      <c r="L506" s="400"/>
      <c r="O506" s="401"/>
      <c r="P506" s="401"/>
      <c r="R506" s="401"/>
      <c r="S506" s="401"/>
      <c r="T506" s="401"/>
      <c r="U506" s="401"/>
      <c r="V506" s="401"/>
      <c r="W506" s="401"/>
      <c r="X506" s="401"/>
      <c r="Y506" s="401"/>
      <c r="Z506" s="401"/>
      <c r="AA506" s="401"/>
      <c r="AB506" s="401"/>
    </row>
    <row r="507" spans="12:28" ht="19.05" customHeight="1">
      <c r="L507" s="400"/>
      <c r="O507" s="401"/>
      <c r="P507" s="401"/>
      <c r="R507" s="401"/>
      <c r="S507" s="401"/>
      <c r="T507" s="401"/>
      <c r="U507" s="401"/>
      <c r="V507" s="401"/>
      <c r="W507" s="401"/>
      <c r="X507" s="401"/>
      <c r="Y507" s="401"/>
      <c r="Z507" s="401"/>
      <c r="AA507" s="401"/>
      <c r="AB507" s="401"/>
    </row>
    <row r="508" spans="12:28" ht="19.05" customHeight="1">
      <c r="L508" s="400"/>
      <c r="O508" s="401"/>
      <c r="P508" s="401"/>
      <c r="R508" s="401"/>
      <c r="S508" s="401"/>
      <c r="T508" s="401"/>
      <c r="U508" s="401"/>
      <c r="V508" s="401"/>
      <c r="W508" s="401"/>
      <c r="X508" s="401"/>
      <c r="Y508" s="401"/>
      <c r="Z508" s="401"/>
      <c r="AA508" s="401"/>
      <c r="AB508" s="401"/>
    </row>
    <row r="509" spans="12:28" ht="19.05" customHeight="1">
      <c r="L509" s="400"/>
      <c r="O509" s="401"/>
      <c r="P509" s="401"/>
      <c r="R509" s="401"/>
      <c r="S509" s="401"/>
      <c r="T509" s="401"/>
      <c r="U509" s="401"/>
      <c r="V509" s="401"/>
      <c r="W509" s="401"/>
      <c r="X509" s="401"/>
      <c r="Y509" s="401"/>
      <c r="Z509" s="401"/>
      <c r="AA509" s="401"/>
      <c r="AB509" s="401"/>
    </row>
    <row r="510" spans="12:28" ht="19.05" customHeight="1">
      <c r="L510" s="400"/>
      <c r="O510" s="401"/>
      <c r="P510" s="401"/>
      <c r="R510" s="401"/>
      <c r="S510" s="401"/>
      <c r="T510" s="401"/>
      <c r="U510" s="401"/>
      <c r="V510" s="401"/>
      <c r="W510" s="401"/>
      <c r="X510" s="401"/>
      <c r="Y510" s="401"/>
      <c r="Z510" s="401"/>
      <c r="AA510" s="401"/>
      <c r="AB510" s="401"/>
    </row>
    <row r="511" spans="12:28" ht="19.05" customHeight="1">
      <c r="L511" s="400"/>
      <c r="O511" s="401"/>
      <c r="P511" s="401"/>
      <c r="R511" s="401"/>
      <c r="S511" s="401"/>
      <c r="T511" s="401"/>
      <c r="U511" s="401"/>
      <c r="V511" s="401"/>
      <c r="W511" s="401"/>
      <c r="X511" s="401"/>
      <c r="Y511" s="401"/>
      <c r="Z511" s="401"/>
      <c r="AA511" s="401"/>
      <c r="AB511" s="401"/>
    </row>
    <row r="512" spans="12:28" ht="19.05" customHeight="1">
      <c r="L512" s="400"/>
      <c r="O512" s="401"/>
      <c r="P512" s="401"/>
      <c r="R512" s="401"/>
      <c r="S512" s="401"/>
      <c r="T512" s="401"/>
      <c r="U512" s="401"/>
      <c r="V512" s="401"/>
      <c r="W512" s="401"/>
      <c r="X512" s="401"/>
      <c r="Y512" s="401"/>
      <c r="Z512" s="401"/>
      <c r="AA512" s="401"/>
      <c r="AB512" s="401"/>
    </row>
    <row r="513" spans="12:28" ht="19.05" customHeight="1">
      <c r="L513" s="400"/>
      <c r="O513" s="401"/>
      <c r="P513" s="401"/>
      <c r="R513" s="401"/>
      <c r="S513" s="401"/>
      <c r="T513" s="401"/>
      <c r="U513" s="401"/>
      <c r="V513" s="401"/>
      <c r="W513" s="401"/>
      <c r="X513" s="401"/>
      <c r="Y513" s="401"/>
      <c r="Z513" s="401"/>
      <c r="AA513" s="401"/>
      <c r="AB513" s="401"/>
    </row>
    <row r="514" spans="12:28" ht="19.05" customHeight="1">
      <c r="L514" s="400"/>
      <c r="O514" s="401"/>
      <c r="P514" s="401"/>
      <c r="R514" s="401"/>
      <c r="S514" s="401"/>
      <c r="T514" s="401"/>
      <c r="U514" s="401"/>
      <c r="V514" s="401"/>
      <c r="W514" s="401"/>
      <c r="X514" s="401"/>
      <c r="Y514" s="401"/>
      <c r="Z514" s="401"/>
      <c r="AA514" s="401"/>
      <c r="AB514" s="401"/>
    </row>
    <row r="515" spans="12:28" ht="19.05" customHeight="1">
      <c r="L515" s="400"/>
      <c r="O515" s="401"/>
      <c r="P515" s="401"/>
      <c r="R515" s="401"/>
      <c r="S515" s="401"/>
      <c r="T515" s="401"/>
      <c r="U515" s="401"/>
      <c r="V515" s="401"/>
      <c r="W515" s="401"/>
      <c r="X515" s="401"/>
      <c r="Y515" s="401"/>
      <c r="Z515" s="401"/>
      <c r="AA515" s="401"/>
      <c r="AB515" s="401"/>
    </row>
    <row r="516" spans="12:28" ht="19.05" customHeight="1">
      <c r="L516" s="400"/>
      <c r="O516" s="401"/>
      <c r="P516" s="401"/>
      <c r="R516" s="401"/>
      <c r="S516" s="401"/>
      <c r="T516" s="401"/>
      <c r="U516" s="401"/>
      <c r="V516" s="401"/>
      <c r="W516" s="401"/>
      <c r="X516" s="401"/>
      <c r="Y516" s="401"/>
      <c r="Z516" s="401"/>
      <c r="AA516" s="401"/>
      <c r="AB516" s="401"/>
    </row>
    <row r="517" spans="12:28" ht="19.05" customHeight="1">
      <c r="L517" s="400"/>
      <c r="O517" s="401"/>
      <c r="P517" s="401"/>
      <c r="R517" s="401"/>
      <c r="S517" s="401"/>
      <c r="T517" s="401"/>
      <c r="U517" s="401"/>
      <c r="V517" s="401"/>
      <c r="W517" s="401"/>
      <c r="X517" s="401"/>
      <c r="Y517" s="401"/>
      <c r="Z517" s="401"/>
      <c r="AA517" s="401"/>
      <c r="AB517" s="401"/>
    </row>
    <row r="518" spans="12:28" ht="19.05" customHeight="1">
      <c r="L518" s="400"/>
      <c r="O518" s="401"/>
      <c r="P518" s="401"/>
      <c r="R518" s="401"/>
      <c r="S518" s="401"/>
      <c r="T518" s="401"/>
      <c r="U518" s="401"/>
      <c r="V518" s="401"/>
      <c r="W518" s="401"/>
      <c r="X518" s="401"/>
      <c r="Y518" s="401"/>
      <c r="Z518" s="401"/>
      <c r="AA518" s="401"/>
      <c r="AB518" s="401"/>
    </row>
    <row r="519" spans="12:28" ht="19.05" customHeight="1">
      <c r="L519" s="400"/>
      <c r="O519" s="401"/>
      <c r="P519" s="401"/>
      <c r="R519" s="401"/>
      <c r="S519" s="401"/>
      <c r="T519" s="401"/>
      <c r="U519" s="401"/>
      <c r="V519" s="401"/>
      <c r="W519" s="401"/>
      <c r="X519" s="401"/>
      <c r="Y519" s="401"/>
      <c r="Z519" s="401"/>
      <c r="AA519" s="401"/>
      <c r="AB519" s="401"/>
    </row>
    <row r="520" spans="12:28" ht="19.05" customHeight="1">
      <c r="L520" s="400"/>
      <c r="O520" s="401"/>
      <c r="P520" s="401"/>
      <c r="R520" s="401"/>
      <c r="S520" s="401"/>
      <c r="T520" s="401"/>
      <c r="U520" s="401"/>
      <c r="V520" s="401"/>
      <c r="W520" s="401"/>
      <c r="X520" s="401"/>
      <c r="Y520" s="401"/>
      <c r="Z520" s="401"/>
      <c r="AA520" s="401"/>
      <c r="AB520" s="401"/>
    </row>
    <row r="521" spans="12:28" ht="19.05" customHeight="1">
      <c r="L521" s="400"/>
      <c r="O521" s="401"/>
      <c r="P521" s="401"/>
      <c r="R521" s="401"/>
      <c r="S521" s="401"/>
      <c r="T521" s="401"/>
      <c r="U521" s="401"/>
      <c r="V521" s="401"/>
      <c r="W521" s="401"/>
      <c r="X521" s="401"/>
      <c r="Y521" s="401"/>
      <c r="Z521" s="401"/>
      <c r="AA521" s="401"/>
      <c r="AB521" s="401"/>
    </row>
    <row r="522" spans="12:28" ht="19.05" customHeight="1">
      <c r="L522" s="400"/>
      <c r="O522" s="401"/>
      <c r="P522" s="401"/>
      <c r="R522" s="401"/>
      <c r="S522" s="401"/>
      <c r="T522" s="401"/>
      <c r="U522" s="401"/>
      <c r="V522" s="401"/>
      <c r="W522" s="401"/>
      <c r="X522" s="401"/>
      <c r="Y522" s="401"/>
      <c r="Z522" s="401"/>
      <c r="AA522" s="401"/>
      <c r="AB522" s="401"/>
    </row>
    <row r="523" spans="12:28" ht="19.05" customHeight="1">
      <c r="L523" s="400"/>
      <c r="O523" s="401"/>
      <c r="P523" s="401"/>
      <c r="R523" s="401"/>
      <c r="S523" s="401"/>
      <c r="T523" s="401"/>
      <c r="U523" s="401"/>
      <c r="V523" s="401"/>
      <c r="W523" s="401"/>
      <c r="X523" s="401"/>
      <c r="Y523" s="401"/>
      <c r="Z523" s="401"/>
      <c r="AA523" s="401"/>
      <c r="AB523" s="401"/>
    </row>
    <row r="524" spans="12:28" ht="19.05" customHeight="1">
      <c r="L524" s="400"/>
      <c r="O524" s="401"/>
      <c r="P524" s="401"/>
      <c r="R524" s="401"/>
      <c r="S524" s="401"/>
      <c r="T524" s="401"/>
      <c r="U524" s="401"/>
      <c r="V524" s="401"/>
      <c r="W524" s="401"/>
      <c r="X524" s="401"/>
      <c r="Y524" s="401"/>
      <c r="Z524" s="401"/>
      <c r="AA524" s="401"/>
      <c r="AB524" s="401"/>
    </row>
    <row r="525" spans="12:28" ht="19.05" customHeight="1">
      <c r="L525" s="400"/>
      <c r="O525" s="401"/>
      <c r="P525" s="401"/>
      <c r="R525" s="401"/>
      <c r="S525" s="401"/>
      <c r="T525" s="401"/>
      <c r="U525" s="401"/>
      <c r="V525" s="401"/>
      <c r="W525" s="401"/>
      <c r="X525" s="401"/>
      <c r="Y525" s="401"/>
      <c r="Z525" s="401"/>
      <c r="AA525" s="401"/>
      <c r="AB525" s="401"/>
    </row>
    <row r="526" spans="12:28" ht="19.05" customHeight="1">
      <c r="L526" s="400"/>
      <c r="O526" s="401"/>
      <c r="P526" s="401"/>
      <c r="R526" s="401"/>
      <c r="S526" s="401"/>
      <c r="T526" s="401"/>
      <c r="U526" s="401"/>
      <c r="V526" s="401"/>
      <c r="W526" s="401"/>
      <c r="X526" s="401"/>
      <c r="Y526" s="401"/>
      <c r="Z526" s="401"/>
      <c r="AA526" s="401"/>
      <c r="AB526" s="401"/>
    </row>
    <row r="527" spans="12:28" ht="19.05" customHeight="1">
      <c r="L527" s="400"/>
      <c r="O527" s="401"/>
      <c r="P527" s="401"/>
      <c r="R527" s="401"/>
      <c r="S527" s="401"/>
      <c r="T527" s="401"/>
      <c r="U527" s="401"/>
      <c r="V527" s="401"/>
      <c r="W527" s="401"/>
      <c r="X527" s="401"/>
      <c r="Y527" s="401"/>
      <c r="Z527" s="401"/>
      <c r="AA527" s="401"/>
      <c r="AB527" s="401"/>
    </row>
    <row r="528" spans="12:28" ht="19.05" customHeight="1">
      <c r="L528" s="400"/>
      <c r="O528" s="401"/>
      <c r="P528" s="401"/>
      <c r="R528" s="401"/>
      <c r="S528" s="401"/>
      <c r="T528" s="401"/>
      <c r="U528" s="401"/>
      <c r="V528" s="401"/>
      <c r="W528" s="401"/>
      <c r="X528" s="401"/>
      <c r="Y528" s="401"/>
      <c r="Z528" s="401"/>
      <c r="AA528" s="401"/>
      <c r="AB528" s="401"/>
    </row>
    <row r="529" spans="12:28" ht="19.05" customHeight="1">
      <c r="L529" s="400"/>
      <c r="O529" s="401"/>
      <c r="P529" s="401"/>
      <c r="R529" s="401"/>
      <c r="S529" s="401"/>
      <c r="T529" s="401"/>
      <c r="U529" s="401"/>
      <c r="V529" s="401"/>
      <c r="W529" s="401"/>
      <c r="X529" s="401"/>
      <c r="Y529" s="401"/>
      <c r="Z529" s="401"/>
      <c r="AA529" s="401"/>
      <c r="AB529" s="401"/>
    </row>
    <row r="530" spans="12:28" ht="19.05" customHeight="1">
      <c r="L530" s="400"/>
      <c r="O530" s="401"/>
      <c r="P530" s="401"/>
      <c r="R530" s="401"/>
      <c r="S530" s="401"/>
      <c r="T530" s="401"/>
      <c r="U530" s="401"/>
      <c r="V530" s="401"/>
      <c r="W530" s="401"/>
      <c r="X530" s="401"/>
      <c r="Y530" s="401"/>
      <c r="Z530" s="401"/>
      <c r="AA530" s="401"/>
      <c r="AB530" s="401"/>
    </row>
    <row r="531" spans="12:28" ht="19.05" customHeight="1">
      <c r="L531" s="400"/>
      <c r="O531" s="401"/>
      <c r="P531" s="401"/>
      <c r="R531" s="401"/>
      <c r="S531" s="401"/>
      <c r="T531" s="401"/>
      <c r="U531" s="401"/>
      <c r="V531" s="401"/>
      <c r="W531" s="401"/>
      <c r="X531" s="401"/>
      <c r="Y531" s="401"/>
      <c r="Z531" s="401"/>
      <c r="AA531" s="401"/>
      <c r="AB531" s="401"/>
    </row>
    <row r="532" spans="12:28" ht="19.05" customHeight="1">
      <c r="L532" s="400"/>
      <c r="O532" s="401"/>
      <c r="P532" s="401"/>
      <c r="R532" s="401"/>
      <c r="S532" s="401"/>
      <c r="T532" s="401"/>
      <c r="U532" s="401"/>
      <c r="V532" s="401"/>
      <c r="W532" s="401"/>
      <c r="X532" s="401"/>
      <c r="Y532" s="401"/>
      <c r="Z532" s="401"/>
      <c r="AA532" s="401"/>
      <c r="AB532" s="401"/>
    </row>
    <row r="533" spans="12:28" ht="19.05" customHeight="1">
      <c r="L533" s="400"/>
      <c r="O533" s="401"/>
      <c r="P533" s="401"/>
      <c r="R533" s="401"/>
      <c r="S533" s="401"/>
      <c r="T533" s="401"/>
      <c r="U533" s="401"/>
      <c r="V533" s="401"/>
      <c r="W533" s="401"/>
      <c r="X533" s="401"/>
      <c r="Y533" s="401"/>
      <c r="Z533" s="401"/>
      <c r="AA533" s="401"/>
      <c r="AB533" s="401"/>
    </row>
    <row r="534" spans="12:28" ht="19.05" customHeight="1">
      <c r="L534" s="400"/>
      <c r="O534" s="401"/>
      <c r="P534" s="401"/>
      <c r="R534" s="401"/>
      <c r="S534" s="401"/>
      <c r="T534" s="401"/>
      <c r="U534" s="401"/>
      <c r="V534" s="401"/>
      <c r="W534" s="401"/>
      <c r="X534" s="401"/>
      <c r="Y534" s="401"/>
      <c r="Z534" s="401"/>
      <c r="AA534" s="401"/>
      <c r="AB534" s="401"/>
    </row>
    <row r="535" spans="12:28" ht="19.05" customHeight="1">
      <c r="L535" s="400"/>
      <c r="O535" s="401"/>
      <c r="P535" s="401"/>
      <c r="R535" s="401"/>
      <c r="S535" s="401"/>
      <c r="T535" s="401"/>
      <c r="U535" s="401"/>
      <c r="V535" s="401"/>
      <c r="W535" s="401"/>
      <c r="X535" s="401"/>
      <c r="Y535" s="401"/>
      <c r="Z535" s="401"/>
      <c r="AA535" s="401"/>
      <c r="AB535" s="401"/>
    </row>
    <row r="536" spans="12:28" ht="19.05" customHeight="1">
      <c r="L536" s="400"/>
      <c r="O536" s="401"/>
      <c r="P536" s="401"/>
      <c r="R536" s="401"/>
      <c r="S536" s="401"/>
      <c r="T536" s="401"/>
      <c r="U536" s="401"/>
      <c r="V536" s="401"/>
      <c r="W536" s="401"/>
      <c r="X536" s="401"/>
      <c r="Y536" s="401"/>
      <c r="Z536" s="401"/>
      <c r="AA536" s="401"/>
      <c r="AB536" s="401"/>
    </row>
    <row r="537" spans="12:28" ht="19.05" customHeight="1">
      <c r="L537" s="400"/>
      <c r="O537" s="401"/>
      <c r="P537" s="401"/>
      <c r="R537" s="401"/>
      <c r="S537" s="401"/>
      <c r="T537" s="401"/>
      <c r="U537" s="401"/>
      <c r="V537" s="401"/>
      <c r="W537" s="401"/>
      <c r="X537" s="401"/>
      <c r="Y537" s="401"/>
      <c r="Z537" s="401"/>
      <c r="AA537" s="401"/>
      <c r="AB537" s="401"/>
    </row>
    <row r="538" spans="12:28" ht="19.05" customHeight="1">
      <c r="L538" s="400"/>
      <c r="O538" s="401"/>
      <c r="P538" s="401"/>
      <c r="R538" s="401"/>
      <c r="S538" s="401"/>
      <c r="T538" s="401"/>
      <c r="U538" s="401"/>
      <c r="V538" s="401"/>
      <c r="W538" s="401"/>
      <c r="X538" s="401"/>
      <c r="Y538" s="401"/>
      <c r="Z538" s="401"/>
      <c r="AA538" s="401"/>
      <c r="AB538" s="401"/>
    </row>
    <row r="539" spans="12:28" ht="19.05" customHeight="1">
      <c r="L539" s="400"/>
      <c r="O539" s="401"/>
      <c r="P539" s="401"/>
      <c r="R539" s="401"/>
      <c r="S539" s="401"/>
      <c r="T539" s="401"/>
      <c r="U539" s="401"/>
      <c r="V539" s="401"/>
      <c r="W539" s="401"/>
      <c r="X539" s="401"/>
      <c r="Y539" s="401"/>
      <c r="Z539" s="401"/>
      <c r="AA539" s="401"/>
      <c r="AB539" s="401"/>
    </row>
    <row r="540" spans="12:28" ht="19.05" customHeight="1">
      <c r="L540" s="400"/>
      <c r="O540" s="401"/>
      <c r="P540" s="401"/>
      <c r="R540" s="401"/>
      <c r="S540" s="401"/>
      <c r="T540" s="401"/>
      <c r="U540" s="401"/>
      <c r="V540" s="401"/>
      <c r="W540" s="401"/>
      <c r="X540" s="401"/>
      <c r="Y540" s="401"/>
      <c r="Z540" s="401"/>
      <c r="AA540" s="401"/>
      <c r="AB540" s="401"/>
    </row>
    <row r="541" spans="12:28" ht="19.05" customHeight="1">
      <c r="L541" s="400"/>
      <c r="O541" s="401"/>
      <c r="P541" s="401"/>
      <c r="R541" s="401"/>
      <c r="S541" s="401"/>
      <c r="T541" s="401"/>
      <c r="U541" s="401"/>
      <c r="V541" s="401"/>
      <c r="W541" s="401"/>
      <c r="X541" s="401"/>
      <c r="Y541" s="401"/>
      <c r="Z541" s="401"/>
      <c r="AA541" s="401"/>
      <c r="AB541" s="401"/>
    </row>
    <row r="542" spans="12:28" ht="19.05" customHeight="1">
      <c r="L542" s="400"/>
      <c r="O542" s="401"/>
      <c r="P542" s="401"/>
      <c r="R542" s="401"/>
      <c r="S542" s="401"/>
      <c r="T542" s="401"/>
      <c r="U542" s="401"/>
      <c r="V542" s="401"/>
      <c r="W542" s="401"/>
      <c r="X542" s="401"/>
      <c r="Y542" s="401"/>
      <c r="Z542" s="401"/>
      <c r="AA542" s="401"/>
      <c r="AB542" s="401"/>
    </row>
    <row r="543" spans="12:28" ht="19.05" customHeight="1">
      <c r="L543" s="400"/>
      <c r="O543" s="401"/>
      <c r="P543" s="401"/>
      <c r="R543" s="401"/>
      <c r="S543" s="401"/>
      <c r="T543" s="401"/>
      <c r="U543" s="401"/>
      <c r="V543" s="401"/>
      <c r="W543" s="401"/>
      <c r="X543" s="401"/>
      <c r="Y543" s="401"/>
      <c r="Z543" s="401"/>
      <c r="AA543" s="401"/>
      <c r="AB543" s="401"/>
    </row>
    <row r="544" spans="12:28" ht="19.05" customHeight="1">
      <c r="L544" s="400"/>
      <c r="O544" s="401"/>
      <c r="P544" s="401"/>
      <c r="R544" s="401"/>
      <c r="S544" s="401"/>
      <c r="T544" s="401"/>
      <c r="U544" s="401"/>
      <c r="V544" s="401"/>
      <c r="W544" s="401"/>
      <c r="X544" s="401"/>
      <c r="Y544" s="401"/>
      <c r="Z544" s="401"/>
      <c r="AA544" s="401"/>
      <c r="AB544" s="401"/>
    </row>
    <row r="545" spans="12:28" ht="19.05" customHeight="1">
      <c r="L545" s="400"/>
      <c r="O545" s="401"/>
      <c r="P545" s="401"/>
      <c r="R545" s="401"/>
      <c r="S545" s="401"/>
      <c r="T545" s="401"/>
      <c r="U545" s="401"/>
      <c r="V545" s="401"/>
      <c r="W545" s="401"/>
      <c r="X545" s="401"/>
      <c r="Y545" s="401"/>
      <c r="Z545" s="401"/>
      <c r="AA545" s="401"/>
      <c r="AB545" s="401"/>
    </row>
    <row r="546" spans="12:28" ht="19.05" customHeight="1">
      <c r="L546" s="400"/>
      <c r="O546" s="401"/>
      <c r="P546" s="401"/>
      <c r="R546" s="401"/>
      <c r="S546" s="401"/>
      <c r="T546" s="401"/>
      <c r="U546" s="401"/>
      <c r="V546" s="401"/>
      <c r="W546" s="401"/>
      <c r="X546" s="401"/>
      <c r="Y546" s="401"/>
      <c r="Z546" s="401"/>
      <c r="AA546" s="401"/>
      <c r="AB546" s="401"/>
    </row>
    <row r="547" spans="12:28" ht="19.05" customHeight="1">
      <c r="L547" s="400"/>
      <c r="O547" s="401"/>
      <c r="P547" s="401"/>
      <c r="R547" s="401"/>
      <c r="S547" s="401"/>
      <c r="T547" s="401"/>
      <c r="U547" s="401"/>
      <c r="V547" s="401"/>
      <c r="W547" s="401"/>
      <c r="X547" s="401"/>
      <c r="Y547" s="401"/>
      <c r="Z547" s="401"/>
      <c r="AA547" s="401"/>
      <c r="AB547" s="401"/>
    </row>
    <row r="548" spans="12:28" ht="19.05" customHeight="1">
      <c r="L548" s="400"/>
      <c r="O548" s="401"/>
      <c r="P548" s="401"/>
      <c r="R548" s="401"/>
      <c r="S548" s="401"/>
      <c r="T548" s="401"/>
      <c r="U548" s="401"/>
      <c r="V548" s="401"/>
      <c r="W548" s="401"/>
      <c r="X548" s="401"/>
      <c r="Y548" s="401"/>
      <c r="Z548" s="401"/>
      <c r="AA548" s="401"/>
      <c r="AB548" s="401"/>
    </row>
    <row r="549" spans="12:28" ht="19.05" customHeight="1">
      <c r="L549" s="400"/>
      <c r="O549" s="401"/>
      <c r="P549" s="401"/>
      <c r="R549" s="401"/>
      <c r="S549" s="401"/>
      <c r="T549" s="401"/>
      <c r="U549" s="401"/>
      <c r="V549" s="401"/>
      <c r="W549" s="401"/>
      <c r="X549" s="401"/>
      <c r="Y549" s="401"/>
      <c r="Z549" s="401"/>
      <c r="AA549" s="401"/>
      <c r="AB549" s="401"/>
    </row>
    <row r="550" spans="12:28" ht="19.05" customHeight="1">
      <c r="L550" s="400"/>
      <c r="O550" s="401"/>
      <c r="P550" s="401"/>
      <c r="R550" s="401"/>
      <c r="S550" s="401"/>
      <c r="T550" s="401"/>
      <c r="U550" s="401"/>
      <c r="V550" s="401"/>
      <c r="W550" s="401"/>
      <c r="X550" s="401"/>
      <c r="Y550" s="401"/>
      <c r="Z550" s="401"/>
      <c r="AA550" s="401"/>
      <c r="AB550" s="401"/>
    </row>
    <row r="551" spans="12:28" ht="19.05" customHeight="1">
      <c r="L551" s="400"/>
      <c r="O551" s="401"/>
      <c r="P551" s="401"/>
      <c r="R551" s="401"/>
      <c r="S551" s="401"/>
      <c r="T551" s="401"/>
      <c r="U551" s="401"/>
      <c r="V551" s="401"/>
      <c r="W551" s="401"/>
      <c r="X551" s="401"/>
      <c r="Y551" s="401"/>
      <c r="Z551" s="401"/>
      <c r="AA551" s="401"/>
      <c r="AB551" s="401"/>
    </row>
    <row r="552" spans="12:28" ht="19.05" customHeight="1">
      <c r="L552" s="400"/>
      <c r="O552" s="401"/>
      <c r="P552" s="401"/>
      <c r="R552" s="401"/>
      <c r="S552" s="401"/>
      <c r="T552" s="401"/>
      <c r="U552" s="401"/>
      <c r="V552" s="401"/>
      <c r="W552" s="401"/>
      <c r="X552" s="401"/>
      <c r="Y552" s="401"/>
      <c r="Z552" s="401"/>
      <c r="AA552" s="401"/>
      <c r="AB552" s="401"/>
    </row>
    <row r="553" spans="12:28" ht="19.05" customHeight="1">
      <c r="L553" s="400"/>
      <c r="O553" s="401"/>
      <c r="P553" s="401"/>
      <c r="R553" s="401"/>
      <c r="S553" s="401"/>
      <c r="T553" s="401"/>
      <c r="U553" s="401"/>
      <c r="V553" s="401"/>
      <c r="W553" s="401"/>
      <c r="X553" s="401"/>
      <c r="Y553" s="401"/>
      <c r="Z553" s="401"/>
      <c r="AA553" s="401"/>
      <c r="AB553" s="401"/>
    </row>
    <row r="554" spans="12:28" ht="19.05" customHeight="1">
      <c r="L554" s="400"/>
      <c r="O554" s="401"/>
      <c r="P554" s="401"/>
      <c r="R554" s="401"/>
      <c r="S554" s="401"/>
      <c r="T554" s="401"/>
      <c r="U554" s="401"/>
      <c r="V554" s="401"/>
      <c r="W554" s="401"/>
      <c r="X554" s="401"/>
      <c r="Y554" s="401"/>
      <c r="Z554" s="401"/>
      <c r="AA554" s="401"/>
      <c r="AB554" s="401"/>
    </row>
    <row r="555" spans="12:28" ht="19.05" customHeight="1">
      <c r="L555" s="400"/>
      <c r="O555" s="401"/>
      <c r="P555" s="401"/>
      <c r="R555" s="401"/>
      <c r="S555" s="401"/>
      <c r="T555" s="401"/>
      <c r="U555" s="401"/>
      <c r="V555" s="401"/>
      <c r="W555" s="401"/>
      <c r="X555" s="401"/>
      <c r="Y555" s="401"/>
      <c r="Z555" s="401"/>
      <c r="AA555" s="401"/>
      <c r="AB555" s="401"/>
    </row>
    <row r="556" spans="12:28" ht="19.05" customHeight="1">
      <c r="L556" s="400"/>
      <c r="O556" s="401"/>
      <c r="P556" s="401"/>
      <c r="R556" s="401"/>
      <c r="S556" s="401"/>
      <c r="T556" s="401"/>
      <c r="U556" s="401"/>
      <c r="V556" s="401"/>
      <c r="W556" s="401"/>
      <c r="X556" s="401"/>
      <c r="Y556" s="401"/>
      <c r="Z556" s="401"/>
      <c r="AA556" s="401"/>
      <c r="AB556" s="401"/>
    </row>
    <row r="557" spans="12:28" ht="19.05" customHeight="1">
      <c r="L557" s="400"/>
      <c r="O557" s="401"/>
      <c r="P557" s="401"/>
      <c r="R557" s="401"/>
      <c r="S557" s="401"/>
      <c r="T557" s="401"/>
      <c r="U557" s="401"/>
      <c r="V557" s="401"/>
      <c r="W557" s="401"/>
      <c r="X557" s="401"/>
      <c r="Y557" s="401"/>
      <c r="Z557" s="401"/>
      <c r="AA557" s="401"/>
      <c r="AB557" s="401"/>
    </row>
    <row r="558" spans="12:28" ht="19.05" customHeight="1">
      <c r="L558" s="400"/>
      <c r="O558" s="401"/>
      <c r="P558" s="401"/>
      <c r="R558" s="401"/>
      <c r="S558" s="401"/>
      <c r="T558" s="401"/>
      <c r="U558" s="401"/>
      <c r="V558" s="401"/>
      <c r="W558" s="401"/>
      <c r="X558" s="401"/>
      <c r="Y558" s="401"/>
      <c r="Z558" s="401"/>
      <c r="AA558" s="401"/>
      <c r="AB558" s="401"/>
    </row>
    <row r="559" spans="12:28" ht="19.05" customHeight="1">
      <c r="L559" s="400"/>
      <c r="O559" s="401"/>
      <c r="P559" s="401"/>
      <c r="R559" s="401"/>
      <c r="S559" s="401"/>
      <c r="T559" s="401"/>
      <c r="U559" s="401"/>
      <c r="V559" s="401"/>
      <c r="W559" s="401"/>
      <c r="X559" s="401"/>
      <c r="Y559" s="401"/>
      <c r="Z559" s="401"/>
      <c r="AA559" s="401"/>
      <c r="AB559" s="401"/>
    </row>
    <row r="560" spans="12:28" ht="19.05" customHeight="1">
      <c r="L560" s="400"/>
      <c r="O560" s="401"/>
      <c r="P560" s="401"/>
      <c r="R560" s="401"/>
      <c r="S560" s="401"/>
      <c r="T560" s="401"/>
      <c r="U560" s="401"/>
      <c r="V560" s="401"/>
      <c r="W560" s="401"/>
      <c r="X560" s="401"/>
      <c r="Y560" s="401"/>
      <c r="Z560" s="401"/>
      <c r="AA560" s="401"/>
      <c r="AB560" s="401"/>
    </row>
    <row r="561" spans="12:28" ht="19.05" customHeight="1">
      <c r="L561" s="400"/>
      <c r="O561" s="401"/>
      <c r="P561" s="401"/>
      <c r="R561" s="401"/>
      <c r="S561" s="401"/>
      <c r="T561" s="401"/>
      <c r="U561" s="401"/>
      <c r="V561" s="401"/>
      <c r="W561" s="401"/>
      <c r="X561" s="401"/>
      <c r="Y561" s="401"/>
      <c r="Z561" s="401"/>
      <c r="AA561" s="401"/>
      <c r="AB561" s="401"/>
    </row>
    <row r="562" spans="12:28" ht="19.05" customHeight="1">
      <c r="L562" s="400"/>
      <c r="O562" s="401"/>
      <c r="P562" s="401"/>
      <c r="R562" s="401"/>
      <c r="S562" s="401"/>
      <c r="T562" s="401"/>
      <c r="U562" s="401"/>
      <c r="V562" s="401"/>
      <c r="W562" s="401"/>
      <c r="X562" s="401"/>
      <c r="Y562" s="401"/>
      <c r="Z562" s="401"/>
      <c r="AA562" s="401"/>
      <c r="AB562" s="401"/>
    </row>
    <row r="563" spans="12:28" ht="19.05" customHeight="1">
      <c r="L563" s="400"/>
      <c r="O563" s="401"/>
      <c r="P563" s="401"/>
      <c r="R563" s="401"/>
      <c r="S563" s="401"/>
      <c r="T563" s="401"/>
      <c r="U563" s="401"/>
      <c r="V563" s="401"/>
      <c r="W563" s="401"/>
      <c r="X563" s="401"/>
      <c r="Y563" s="401"/>
      <c r="Z563" s="401"/>
      <c r="AA563" s="401"/>
      <c r="AB563" s="401"/>
    </row>
    <row r="564" spans="12:28" ht="19.05" customHeight="1">
      <c r="L564" s="400"/>
      <c r="O564" s="401"/>
      <c r="P564" s="401"/>
      <c r="R564" s="401"/>
      <c r="S564" s="401"/>
      <c r="T564" s="401"/>
      <c r="U564" s="401"/>
      <c r="V564" s="401"/>
      <c r="W564" s="401"/>
      <c r="X564" s="401"/>
      <c r="Y564" s="401"/>
      <c r="Z564" s="401"/>
      <c r="AA564" s="401"/>
      <c r="AB564" s="401"/>
    </row>
    <row r="565" spans="12:28" ht="19.05" customHeight="1">
      <c r="L565" s="400"/>
      <c r="O565" s="401"/>
      <c r="P565" s="401"/>
      <c r="R565" s="401"/>
      <c r="S565" s="401"/>
      <c r="T565" s="401"/>
      <c r="U565" s="401"/>
      <c r="V565" s="401"/>
      <c r="W565" s="401"/>
      <c r="X565" s="401"/>
      <c r="Y565" s="401"/>
      <c r="Z565" s="401"/>
      <c r="AA565" s="401"/>
      <c r="AB565" s="401"/>
    </row>
    <row r="566" spans="12:28" ht="19.05" customHeight="1">
      <c r="L566" s="400"/>
      <c r="O566" s="401"/>
      <c r="P566" s="401"/>
      <c r="R566" s="401"/>
      <c r="S566" s="401"/>
      <c r="T566" s="401"/>
      <c r="U566" s="401"/>
      <c r="V566" s="401"/>
      <c r="W566" s="401"/>
      <c r="X566" s="401"/>
      <c r="Y566" s="401"/>
      <c r="Z566" s="401"/>
      <c r="AA566" s="401"/>
      <c r="AB566" s="401"/>
    </row>
    <row r="567" spans="12:28" ht="19.05" customHeight="1">
      <c r="L567" s="400"/>
      <c r="O567" s="401"/>
      <c r="P567" s="401"/>
      <c r="R567" s="401"/>
      <c r="S567" s="401"/>
      <c r="T567" s="401"/>
      <c r="U567" s="401"/>
      <c r="V567" s="401"/>
      <c r="W567" s="401"/>
      <c r="X567" s="401"/>
      <c r="Y567" s="401"/>
      <c r="Z567" s="401"/>
      <c r="AA567" s="401"/>
      <c r="AB567" s="401"/>
    </row>
    <row r="568" spans="12:28" ht="19.05" customHeight="1">
      <c r="L568" s="400"/>
      <c r="O568" s="401"/>
      <c r="P568" s="401"/>
      <c r="R568" s="401"/>
      <c r="S568" s="401"/>
      <c r="T568" s="401"/>
      <c r="U568" s="401"/>
      <c r="V568" s="401"/>
      <c r="W568" s="401"/>
      <c r="X568" s="401"/>
      <c r="Y568" s="401"/>
      <c r="Z568" s="401"/>
      <c r="AA568" s="401"/>
      <c r="AB568" s="401"/>
    </row>
    <row r="569" spans="12:28" ht="19.05" customHeight="1">
      <c r="L569" s="400"/>
      <c r="O569" s="401"/>
      <c r="P569" s="401"/>
      <c r="R569" s="401"/>
      <c r="S569" s="401"/>
      <c r="T569" s="401"/>
      <c r="U569" s="401"/>
      <c r="V569" s="401"/>
      <c r="W569" s="401"/>
      <c r="X569" s="401"/>
      <c r="Y569" s="401"/>
      <c r="Z569" s="401"/>
      <c r="AA569" s="401"/>
      <c r="AB569" s="401"/>
    </row>
    <row r="570" spans="12:28" ht="19.05" customHeight="1">
      <c r="L570" s="400"/>
      <c r="O570" s="401"/>
      <c r="P570" s="401"/>
      <c r="R570" s="401"/>
      <c r="S570" s="401"/>
      <c r="T570" s="401"/>
      <c r="U570" s="401"/>
      <c r="V570" s="401"/>
      <c r="W570" s="401"/>
      <c r="X570" s="401"/>
      <c r="Y570" s="401"/>
      <c r="Z570" s="401"/>
      <c r="AA570" s="401"/>
      <c r="AB570" s="401"/>
    </row>
    <row r="571" spans="12:28" ht="19.05" customHeight="1">
      <c r="L571" s="400"/>
      <c r="O571" s="401"/>
      <c r="P571" s="401"/>
      <c r="R571" s="401"/>
      <c r="S571" s="401"/>
      <c r="T571" s="401"/>
      <c r="U571" s="401"/>
      <c r="V571" s="401"/>
      <c r="W571" s="401"/>
      <c r="X571" s="401"/>
      <c r="Y571" s="401"/>
      <c r="Z571" s="401"/>
      <c r="AA571" s="401"/>
      <c r="AB571" s="401"/>
    </row>
    <row r="572" spans="12:28" ht="19.05" customHeight="1">
      <c r="L572" s="400"/>
      <c r="O572" s="401"/>
      <c r="P572" s="401"/>
      <c r="R572" s="401"/>
      <c r="S572" s="401"/>
      <c r="T572" s="401"/>
      <c r="U572" s="401"/>
      <c r="V572" s="401"/>
      <c r="W572" s="401"/>
      <c r="X572" s="401"/>
      <c r="Y572" s="401"/>
      <c r="Z572" s="401"/>
      <c r="AA572" s="401"/>
      <c r="AB572" s="401"/>
    </row>
    <row r="573" spans="12:28" ht="19.05" customHeight="1">
      <c r="L573" s="400"/>
      <c r="O573" s="401"/>
      <c r="P573" s="401"/>
      <c r="R573" s="401"/>
      <c r="S573" s="401"/>
      <c r="T573" s="401"/>
      <c r="U573" s="401"/>
      <c r="V573" s="401"/>
      <c r="W573" s="401"/>
      <c r="X573" s="401"/>
      <c r="Y573" s="401"/>
      <c r="Z573" s="401"/>
      <c r="AA573" s="401"/>
      <c r="AB573" s="401"/>
    </row>
    <row r="574" spans="12:28" ht="19.05" customHeight="1">
      <c r="L574" s="400"/>
      <c r="O574" s="401"/>
      <c r="P574" s="401"/>
      <c r="R574" s="401"/>
      <c r="S574" s="401"/>
      <c r="T574" s="401"/>
      <c r="U574" s="401"/>
      <c r="V574" s="401"/>
      <c r="W574" s="401"/>
      <c r="X574" s="401"/>
      <c r="Y574" s="401"/>
      <c r="Z574" s="401"/>
      <c r="AA574" s="401"/>
      <c r="AB574" s="401"/>
    </row>
    <row r="575" spans="12:28" ht="19.05" customHeight="1">
      <c r="L575" s="400"/>
      <c r="O575" s="401"/>
      <c r="P575" s="401"/>
      <c r="R575" s="401"/>
      <c r="S575" s="401"/>
      <c r="T575" s="401"/>
      <c r="U575" s="401"/>
      <c r="V575" s="401"/>
      <c r="W575" s="401"/>
      <c r="X575" s="401"/>
      <c r="Y575" s="401"/>
      <c r="Z575" s="401"/>
      <c r="AA575" s="401"/>
      <c r="AB575" s="401"/>
    </row>
    <row r="576" spans="12:28" ht="19.05" customHeight="1">
      <c r="L576" s="400"/>
      <c r="O576" s="401"/>
      <c r="P576" s="401"/>
      <c r="R576" s="401"/>
      <c r="S576" s="401"/>
      <c r="T576" s="401"/>
      <c r="U576" s="401"/>
      <c r="V576" s="401"/>
      <c r="W576" s="401"/>
      <c r="X576" s="401"/>
      <c r="Y576" s="401"/>
      <c r="Z576" s="401"/>
      <c r="AA576" s="401"/>
      <c r="AB576" s="401"/>
    </row>
    <row r="577" spans="12:28" ht="19.05" customHeight="1">
      <c r="L577" s="400"/>
      <c r="O577" s="401"/>
      <c r="P577" s="401"/>
      <c r="R577" s="401"/>
      <c r="S577" s="401"/>
      <c r="T577" s="401"/>
      <c r="U577" s="401"/>
      <c r="V577" s="401"/>
      <c r="W577" s="401"/>
      <c r="X577" s="401"/>
      <c r="Y577" s="401"/>
      <c r="Z577" s="401"/>
      <c r="AA577" s="401"/>
      <c r="AB577" s="401"/>
    </row>
    <row r="578" spans="12:28" ht="19.05" customHeight="1">
      <c r="L578" s="400"/>
      <c r="O578" s="401"/>
      <c r="P578" s="401"/>
      <c r="R578" s="401"/>
      <c r="S578" s="401"/>
      <c r="T578" s="401"/>
      <c r="U578" s="401"/>
      <c r="V578" s="401"/>
      <c r="W578" s="401"/>
      <c r="X578" s="401"/>
      <c r="Y578" s="401"/>
      <c r="Z578" s="401"/>
      <c r="AA578" s="401"/>
      <c r="AB578" s="401"/>
    </row>
    <row r="579" spans="12:28" ht="19.05" customHeight="1">
      <c r="L579" s="400"/>
      <c r="O579" s="401"/>
      <c r="P579" s="401"/>
      <c r="R579" s="401"/>
      <c r="S579" s="401"/>
      <c r="T579" s="401"/>
      <c r="U579" s="401"/>
      <c r="V579" s="401"/>
      <c r="W579" s="401"/>
      <c r="X579" s="401"/>
      <c r="Y579" s="401"/>
      <c r="Z579" s="401"/>
      <c r="AA579" s="401"/>
      <c r="AB579" s="401"/>
    </row>
    <row r="580" spans="12:28" ht="19.05" customHeight="1">
      <c r="L580" s="400"/>
      <c r="O580" s="401"/>
      <c r="P580" s="401"/>
      <c r="R580" s="401"/>
      <c r="S580" s="401"/>
      <c r="T580" s="401"/>
      <c r="U580" s="401"/>
      <c r="V580" s="401"/>
      <c r="W580" s="401"/>
      <c r="X580" s="401"/>
      <c r="Y580" s="401"/>
      <c r="Z580" s="401"/>
      <c r="AA580" s="401"/>
      <c r="AB580" s="401"/>
    </row>
    <row r="581" spans="12:28" ht="19.05" customHeight="1">
      <c r="L581" s="400"/>
      <c r="O581" s="401"/>
      <c r="P581" s="401"/>
      <c r="R581" s="401"/>
      <c r="S581" s="401"/>
      <c r="T581" s="401"/>
      <c r="U581" s="401"/>
      <c r="V581" s="401"/>
      <c r="W581" s="401"/>
      <c r="X581" s="401"/>
      <c r="Y581" s="401"/>
      <c r="Z581" s="401"/>
      <c r="AA581" s="401"/>
      <c r="AB581" s="401"/>
    </row>
    <row r="582" spans="12:28" ht="19.05" customHeight="1">
      <c r="L582" s="400"/>
      <c r="O582" s="401"/>
      <c r="P582" s="401"/>
      <c r="R582" s="401"/>
      <c r="S582" s="401"/>
      <c r="T582" s="401"/>
      <c r="U582" s="401"/>
      <c r="V582" s="401"/>
      <c r="W582" s="401"/>
      <c r="X582" s="401"/>
      <c r="Y582" s="401"/>
      <c r="Z582" s="401"/>
      <c r="AA582" s="401"/>
      <c r="AB582" s="401"/>
    </row>
    <row r="583" spans="12:28" ht="19.05" customHeight="1">
      <c r="L583" s="400"/>
      <c r="O583" s="401"/>
      <c r="P583" s="401"/>
      <c r="R583" s="401"/>
      <c r="S583" s="401"/>
      <c r="T583" s="401"/>
      <c r="U583" s="401"/>
      <c r="V583" s="401"/>
      <c r="W583" s="401"/>
      <c r="X583" s="401"/>
      <c r="Y583" s="401"/>
      <c r="Z583" s="401"/>
      <c r="AA583" s="401"/>
      <c r="AB583" s="401"/>
    </row>
    <row r="584" spans="12:28" ht="19.05" customHeight="1">
      <c r="L584" s="400"/>
      <c r="O584" s="401"/>
      <c r="P584" s="401"/>
      <c r="R584" s="401"/>
      <c r="S584" s="401"/>
      <c r="T584" s="401"/>
      <c r="U584" s="401"/>
      <c r="V584" s="401"/>
      <c r="W584" s="401"/>
      <c r="X584" s="401"/>
      <c r="Y584" s="401"/>
      <c r="Z584" s="401"/>
      <c r="AA584" s="401"/>
      <c r="AB584" s="401"/>
    </row>
    <row r="585" spans="12:28" ht="19.05" customHeight="1">
      <c r="L585" s="400"/>
      <c r="O585" s="401"/>
      <c r="P585" s="401"/>
      <c r="R585" s="401"/>
      <c r="S585" s="401"/>
      <c r="T585" s="401"/>
      <c r="U585" s="401"/>
      <c r="V585" s="401"/>
      <c r="W585" s="401"/>
      <c r="X585" s="401"/>
      <c r="Y585" s="401"/>
      <c r="Z585" s="401"/>
      <c r="AA585" s="401"/>
      <c r="AB585" s="401"/>
    </row>
    <row r="586" spans="12:28" ht="19.05" customHeight="1">
      <c r="L586" s="400"/>
      <c r="O586" s="401"/>
      <c r="P586" s="401"/>
      <c r="R586" s="401"/>
      <c r="S586" s="401"/>
      <c r="T586" s="401"/>
      <c r="U586" s="401"/>
      <c r="V586" s="401"/>
      <c r="W586" s="401"/>
      <c r="X586" s="401"/>
      <c r="Y586" s="401"/>
      <c r="Z586" s="401"/>
      <c r="AA586" s="401"/>
      <c r="AB586" s="401"/>
    </row>
    <row r="587" spans="12:28" ht="19.05" customHeight="1">
      <c r="L587" s="400"/>
      <c r="O587" s="401"/>
      <c r="P587" s="401"/>
      <c r="R587" s="401"/>
      <c r="S587" s="401"/>
      <c r="T587" s="401"/>
      <c r="U587" s="401"/>
      <c r="V587" s="401"/>
      <c r="W587" s="401"/>
      <c r="X587" s="401"/>
      <c r="Y587" s="401"/>
      <c r="Z587" s="401"/>
      <c r="AA587" s="401"/>
      <c r="AB587" s="401"/>
    </row>
    <row r="588" spans="12:28" ht="19.05" customHeight="1">
      <c r="L588" s="400"/>
      <c r="O588" s="401"/>
      <c r="P588" s="401"/>
      <c r="R588" s="401"/>
      <c r="S588" s="401"/>
      <c r="T588" s="401"/>
      <c r="U588" s="401"/>
      <c r="V588" s="401"/>
      <c r="W588" s="401"/>
      <c r="X588" s="401"/>
      <c r="Y588" s="401"/>
      <c r="Z588" s="401"/>
      <c r="AA588" s="401"/>
      <c r="AB588" s="401"/>
    </row>
    <row r="589" spans="12:28" ht="19.05" customHeight="1">
      <c r="L589" s="400"/>
      <c r="O589" s="401"/>
      <c r="P589" s="401"/>
      <c r="R589" s="401"/>
      <c r="S589" s="401"/>
      <c r="T589" s="401"/>
      <c r="U589" s="401"/>
      <c r="V589" s="401"/>
      <c r="W589" s="401"/>
      <c r="X589" s="401"/>
      <c r="Y589" s="401"/>
      <c r="Z589" s="401"/>
      <c r="AA589" s="401"/>
      <c r="AB589" s="401"/>
    </row>
    <row r="590" spans="12:28" ht="19.05" customHeight="1">
      <c r="L590" s="400"/>
      <c r="O590" s="401"/>
      <c r="P590" s="401"/>
      <c r="R590" s="401"/>
      <c r="S590" s="401"/>
      <c r="T590" s="401"/>
      <c r="U590" s="401"/>
      <c r="V590" s="401"/>
      <c r="W590" s="401"/>
      <c r="X590" s="401"/>
      <c r="Y590" s="401"/>
      <c r="Z590" s="401"/>
      <c r="AA590" s="401"/>
      <c r="AB590" s="401"/>
    </row>
    <row r="591" spans="12:28" ht="19.05" customHeight="1">
      <c r="L591" s="400"/>
      <c r="O591" s="401"/>
      <c r="P591" s="401"/>
      <c r="R591" s="401"/>
      <c r="S591" s="401"/>
      <c r="T591" s="401"/>
      <c r="U591" s="401"/>
      <c r="V591" s="401"/>
      <c r="W591" s="401"/>
      <c r="X591" s="401"/>
      <c r="Y591" s="401"/>
      <c r="Z591" s="401"/>
      <c r="AA591" s="401"/>
      <c r="AB591" s="401"/>
    </row>
    <row r="592" spans="12:28" ht="19.05" customHeight="1">
      <c r="L592" s="400"/>
      <c r="O592" s="401"/>
      <c r="P592" s="401"/>
      <c r="R592" s="401"/>
      <c r="S592" s="401"/>
      <c r="T592" s="401"/>
      <c r="U592" s="401"/>
      <c r="V592" s="401"/>
      <c r="W592" s="401"/>
      <c r="X592" s="401"/>
      <c r="Y592" s="401"/>
      <c r="Z592" s="401"/>
      <c r="AA592" s="401"/>
      <c r="AB592" s="401"/>
    </row>
    <row r="593" spans="12:28" ht="19.05" customHeight="1">
      <c r="L593" s="400"/>
      <c r="O593" s="401"/>
      <c r="P593" s="401"/>
      <c r="R593" s="401"/>
      <c r="S593" s="401"/>
      <c r="T593" s="401"/>
      <c r="U593" s="401"/>
      <c r="V593" s="401"/>
      <c r="W593" s="401"/>
      <c r="X593" s="401"/>
      <c r="Y593" s="401"/>
      <c r="Z593" s="401"/>
      <c r="AA593" s="401"/>
      <c r="AB593" s="401"/>
    </row>
    <row r="594" spans="12:28" ht="19.05" customHeight="1">
      <c r="L594" s="400"/>
      <c r="O594" s="401"/>
      <c r="P594" s="401"/>
      <c r="R594" s="401"/>
      <c r="S594" s="401"/>
      <c r="T594" s="401"/>
      <c r="U594" s="401"/>
      <c r="V594" s="401"/>
      <c r="W594" s="401"/>
      <c r="X594" s="401"/>
      <c r="Y594" s="401"/>
      <c r="Z594" s="401"/>
      <c r="AA594" s="401"/>
      <c r="AB594" s="401"/>
    </row>
    <row r="595" spans="12:28" ht="19.05" customHeight="1">
      <c r="L595" s="400"/>
      <c r="O595" s="401"/>
      <c r="P595" s="401"/>
      <c r="R595" s="401"/>
      <c r="S595" s="401"/>
      <c r="T595" s="401"/>
      <c r="U595" s="401"/>
      <c r="V595" s="401"/>
      <c r="W595" s="401"/>
      <c r="X595" s="401"/>
      <c r="Y595" s="401"/>
      <c r="Z595" s="401"/>
      <c r="AA595" s="401"/>
      <c r="AB595" s="401"/>
    </row>
    <row r="596" spans="12:28" ht="19.05" customHeight="1">
      <c r="L596" s="400"/>
      <c r="O596" s="401"/>
      <c r="P596" s="401"/>
      <c r="R596" s="401"/>
      <c r="S596" s="401"/>
      <c r="T596" s="401"/>
      <c r="U596" s="401"/>
      <c r="V596" s="401"/>
      <c r="W596" s="401"/>
      <c r="X596" s="401"/>
      <c r="Y596" s="401"/>
      <c r="Z596" s="401"/>
      <c r="AA596" s="401"/>
      <c r="AB596" s="401"/>
    </row>
    <row r="597" spans="12:28" ht="19.05" customHeight="1">
      <c r="L597" s="400"/>
      <c r="O597" s="401"/>
      <c r="P597" s="401"/>
      <c r="R597" s="401"/>
      <c r="S597" s="401"/>
      <c r="T597" s="401"/>
      <c r="U597" s="401"/>
      <c r="V597" s="401"/>
      <c r="W597" s="401"/>
      <c r="X597" s="401"/>
      <c r="Y597" s="401"/>
      <c r="Z597" s="401"/>
      <c r="AA597" s="401"/>
      <c r="AB597" s="401"/>
    </row>
    <row r="598" spans="12:28" ht="19.05" customHeight="1">
      <c r="L598" s="400"/>
      <c r="O598" s="401"/>
      <c r="P598" s="401"/>
      <c r="R598" s="401"/>
      <c r="S598" s="401"/>
      <c r="T598" s="401"/>
      <c r="U598" s="401"/>
      <c r="V598" s="401"/>
      <c r="W598" s="401"/>
      <c r="X598" s="401"/>
      <c r="Y598" s="401"/>
      <c r="Z598" s="401"/>
      <c r="AA598" s="401"/>
      <c r="AB598" s="401"/>
    </row>
    <row r="599" spans="12:28" ht="19.05" customHeight="1">
      <c r="L599" s="400"/>
      <c r="O599" s="401"/>
      <c r="P599" s="401"/>
      <c r="R599" s="401"/>
      <c r="S599" s="401"/>
      <c r="T599" s="401"/>
      <c r="U599" s="401"/>
      <c r="V599" s="401"/>
      <c r="W599" s="401"/>
      <c r="X599" s="401"/>
      <c r="Y599" s="401"/>
      <c r="Z599" s="401"/>
      <c r="AA599" s="401"/>
      <c r="AB599" s="401"/>
    </row>
    <row r="600" spans="12:28" ht="19.05" customHeight="1">
      <c r="L600" s="400"/>
      <c r="O600" s="401"/>
      <c r="P600" s="401"/>
      <c r="R600" s="401"/>
      <c r="S600" s="401"/>
      <c r="T600" s="401"/>
      <c r="U600" s="401"/>
      <c r="V600" s="401"/>
      <c r="W600" s="401"/>
      <c r="X600" s="401"/>
      <c r="Y600" s="401"/>
      <c r="Z600" s="401"/>
      <c r="AA600" s="401"/>
      <c r="AB600" s="401"/>
    </row>
    <row r="601" spans="12:28" ht="19.05" customHeight="1">
      <c r="L601" s="400"/>
      <c r="O601" s="401"/>
      <c r="P601" s="401"/>
      <c r="R601" s="401"/>
      <c r="S601" s="401"/>
      <c r="T601" s="401"/>
      <c r="U601" s="401"/>
      <c r="V601" s="401"/>
      <c r="W601" s="401"/>
      <c r="X601" s="401"/>
      <c r="Y601" s="401"/>
      <c r="Z601" s="401"/>
      <c r="AA601" s="401"/>
      <c r="AB601" s="401"/>
    </row>
    <row r="602" spans="12:28" ht="19.05" customHeight="1">
      <c r="L602" s="400"/>
      <c r="O602" s="401"/>
      <c r="P602" s="401"/>
      <c r="R602" s="401"/>
      <c r="S602" s="401"/>
      <c r="T602" s="401"/>
      <c r="U602" s="401"/>
      <c r="V602" s="401"/>
      <c r="W602" s="401"/>
      <c r="X602" s="401"/>
      <c r="Y602" s="401"/>
      <c r="Z602" s="401"/>
      <c r="AA602" s="401"/>
      <c r="AB602" s="401"/>
    </row>
    <row r="603" spans="12:28" ht="19.05" customHeight="1">
      <c r="L603" s="400"/>
      <c r="O603" s="401"/>
      <c r="P603" s="401"/>
      <c r="R603" s="401"/>
      <c r="S603" s="401"/>
      <c r="T603" s="401"/>
      <c r="U603" s="401"/>
      <c r="V603" s="401"/>
      <c r="W603" s="401"/>
      <c r="X603" s="401"/>
      <c r="Y603" s="401"/>
      <c r="Z603" s="401"/>
      <c r="AA603" s="401"/>
      <c r="AB603" s="401"/>
    </row>
    <row r="604" spans="12:28" ht="19.05" customHeight="1">
      <c r="L604" s="400"/>
      <c r="O604" s="401"/>
      <c r="P604" s="401"/>
      <c r="R604" s="401"/>
      <c r="S604" s="401"/>
      <c r="T604" s="401"/>
      <c r="U604" s="401"/>
      <c r="V604" s="401"/>
      <c r="W604" s="401"/>
      <c r="X604" s="401"/>
      <c r="Y604" s="401"/>
      <c r="Z604" s="401"/>
      <c r="AA604" s="401"/>
      <c r="AB604" s="401"/>
    </row>
    <row r="605" spans="12:28" ht="19.05" customHeight="1">
      <c r="L605" s="400"/>
      <c r="O605" s="401"/>
      <c r="P605" s="401"/>
      <c r="R605" s="401"/>
      <c r="S605" s="401"/>
      <c r="T605" s="401"/>
      <c r="U605" s="401"/>
      <c r="V605" s="401"/>
      <c r="W605" s="401"/>
      <c r="X605" s="401"/>
      <c r="Y605" s="401"/>
      <c r="Z605" s="401"/>
      <c r="AA605" s="401"/>
      <c r="AB605" s="401"/>
    </row>
    <row r="606" spans="12:28" ht="19.05" customHeight="1">
      <c r="L606" s="400"/>
      <c r="O606" s="401"/>
      <c r="P606" s="401"/>
      <c r="R606" s="401"/>
      <c r="S606" s="401"/>
      <c r="T606" s="401"/>
      <c r="U606" s="401"/>
      <c r="V606" s="401"/>
      <c r="W606" s="401"/>
      <c r="X606" s="401"/>
      <c r="Y606" s="401"/>
      <c r="Z606" s="401"/>
      <c r="AA606" s="401"/>
      <c r="AB606" s="401"/>
    </row>
    <row r="607" spans="12:28" ht="19.05" customHeight="1">
      <c r="L607" s="400"/>
      <c r="O607" s="401"/>
      <c r="P607" s="401"/>
      <c r="R607" s="401"/>
      <c r="S607" s="401"/>
      <c r="T607" s="401"/>
      <c r="U607" s="401"/>
      <c r="V607" s="401"/>
      <c r="W607" s="401"/>
      <c r="X607" s="401"/>
      <c r="Y607" s="401"/>
      <c r="Z607" s="401"/>
      <c r="AA607" s="401"/>
      <c r="AB607" s="401"/>
    </row>
    <row r="608" spans="12:28" ht="19.05" customHeight="1">
      <c r="L608" s="400"/>
      <c r="O608" s="401"/>
      <c r="P608" s="401"/>
      <c r="R608" s="401"/>
      <c r="S608" s="401"/>
      <c r="T608" s="401"/>
      <c r="U608" s="401"/>
      <c r="V608" s="401"/>
      <c r="W608" s="401"/>
      <c r="X608" s="401"/>
      <c r="Y608" s="401"/>
      <c r="Z608" s="401"/>
      <c r="AA608" s="401"/>
      <c r="AB608" s="401"/>
    </row>
    <row r="609" spans="12:28" ht="19.05" customHeight="1">
      <c r="L609" s="400"/>
      <c r="O609" s="401"/>
      <c r="P609" s="401"/>
      <c r="R609" s="401"/>
      <c r="S609" s="401"/>
      <c r="T609" s="401"/>
      <c r="U609" s="401"/>
      <c r="V609" s="401"/>
      <c r="W609" s="401"/>
      <c r="X609" s="401"/>
      <c r="Y609" s="401"/>
      <c r="Z609" s="401"/>
      <c r="AA609" s="401"/>
      <c r="AB609" s="401"/>
    </row>
    <row r="610" spans="12:28" ht="19.05" customHeight="1">
      <c r="L610" s="400"/>
      <c r="O610" s="401"/>
      <c r="P610" s="401"/>
      <c r="R610" s="401"/>
      <c r="S610" s="401"/>
      <c r="T610" s="401"/>
      <c r="U610" s="401"/>
      <c r="V610" s="401"/>
      <c r="W610" s="401"/>
      <c r="X610" s="401"/>
      <c r="Y610" s="401"/>
      <c r="Z610" s="401"/>
      <c r="AA610" s="401"/>
      <c r="AB610" s="401"/>
    </row>
    <row r="611" spans="12:28" ht="19.05" customHeight="1">
      <c r="L611" s="400"/>
      <c r="O611" s="401"/>
      <c r="P611" s="401"/>
      <c r="R611" s="401"/>
      <c r="S611" s="401"/>
      <c r="T611" s="401"/>
      <c r="U611" s="401"/>
      <c r="V611" s="401"/>
      <c r="W611" s="401"/>
      <c r="X611" s="401"/>
      <c r="Y611" s="401"/>
      <c r="Z611" s="401"/>
      <c r="AA611" s="401"/>
      <c r="AB611" s="401"/>
    </row>
    <row r="612" spans="12:28" ht="19.05" customHeight="1">
      <c r="L612" s="400"/>
      <c r="O612" s="401"/>
      <c r="P612" s="401"/>
      <c r="R612" s="401"/>
      <c r="S612" s="401"/>
      <c r="T612" s="401"/>
      <c r="U612" s="401"/>
      <c r="V612" s="401"/>
      <c r="W612" s="401"/>
      <c r="X612" s="401"/>
      <c r="Y612" s="401"/>
      <c r="Z612" s="401"/>
      <c r="AA612" s="401"/>
      <c r="AB612" s="401"/>
    </row>
    <row r="613" spans="12:28" ht="19.05" customHeight="1">
      <c r="L613" s="400"/>
      <c r="O613" s="401"/>
      <c r="P613" s="401"/>
      <c r="R613" s="401"/>
      <c r="S613" s="401"/>
      <c r="T613" s="401"/>
      <c r="U613" s="401"/>
      <c r="V613" s="401"/>
      <c r="W613" s="401"/>
      <c r="X613" s="401"/>
      <c r="Y613" s="401"/>
      <c r="Z613" s="401"/>
      <c r="AA613" s="401"/>
      <c r="AB613" s="401"/>
    </row>
    <row r="614" spans="12:28" ht="19.05" customHeight="1">
      <c r="L614" s="400"/>
      <c r="O614" s="401"/>
      <c r="P614" s="401"/>
      <c r="R614" s="401"/>
      <c r="S614" s="401"/>
      <c r="T614" s="401"/>
      <c r="U614" s="401"/>
      <c r="V614" s="401"/>
      <c r="W614" s="401"/>
      <c r="X614" s="401"/>
      <c r="Y614" s="401"/>
      <c r="Z614" s="401"/>
      <c r="AA614" s="401"/>
      <c r="AB614" s="401"/>
    </row>
    <row r="615" spans="12:28" ht="19.05" customHeight="1">
      <c r="L615" s="400"/>
      <c r="O615" s="401"/>
      <c r="P615" s="401"/>
      <c r="R615" s="401"/>
      <c r="S615" s="401"/>
      <c r="T615" s="401"/>
      <c r="U615" s="401"/>
      <c r="V615" s="401"/>
      <c r="W615" s="401"/>
      <c r="X615" s="401"/>
      <c r="Y615" s="401"/>
      <c r="Z615" s="401"/>
      <c r="AA615" s="401"/>
      <c r="AB615" s="401"/>
    </row>
    <row r="616" spans="12:28" ht="19.05" customHeight="1">
      <c r="L616" s="400"/>
      <c r="O616" s="401"/>
      <c r="P616" s="401"/>
      <c r="R616" s="401"/>
      <c r="S616" s="401"/>
      <c r="T616" s="401"/>
      <c r="U616" s="401"/>
      <c r="V616" s="401"/>
      <c r="W616" s="401"/>
      <c r="X616" s="401"/>
      <c r="Y616" s="401"/>
      <c r="Z616" s="401"/>
      <c r="AA616" s="401"/>
      <c r="AB616" s="401"/>
    </row>
    <row r="617" spans="12:28" ht="19.05" customHeight="1">
      <c r="L617" s="400"/>
      <c r="O617" s="401"/>
      <c r="P617" s="401"/>
      <c r="R617" s="401"/>
      <c r="S617" s="401"/>
      <c r="T617" s="401"/>
      <c r="U617" s="401"/>
      <c r="V617" s="401"/>
      <c r="W617" s="401"/>
      <c r="X617" s="401"/>
      <c r="Y617" s="401"/>
      <c r="Z617" s="401"/>
      <c r="AA617" s="401"/>
      <c r="AB617" s="401"/>
    </row>
    <row r="618" spans="12:28" ht="19.05" customHeight="1">
      <c r="L618" s="400"/>
      <c r="O618" s="401"/>
      <c r="P618" s="401"/>
      <c r="R618" s="401"/>
      <c r="S618" s="401"/>
      <c r="T618" s="401"/>
      <c r="U618" s="401"/>
      <c r="V618" s="401"/>
      <c r="W618" s="401"/>
      <c r="X618" s="401"/>
      <c r="Y618" s="401"/>
      <c r="Z618" s="401"/>
      <c r="AA618" s="401"/>
      <c r="AB618" s="401"/>
    </row>
    <row r="619" spans="12:28" ht="19.05" customHeight="1">
      <c r="L619" s="400"/>
      <c r="O619" s="401"/>
      <c r="P619" s="401"/>
      <c r="R619" s="401"/>
      <c r="S619" s="401"/>
      <c r="T619" s="401"/>
      <c r="U619" s="401"/>
      <c r="V619" s="401"/>
      <c r="W619" s="401"/>
      <c r="X619" s="401"/>
      <c r="Y619" s="401"/>
      <c r="Z619" s="401"/>
      <c r="AA619" s="401"/>
      <c r="AB619" s="401"/>
    </row>
    <row r="620" spans="12:28" ht="19.05" customHeight="1">
      <c r="L620" s="400"/>
      <c r="O620" s="401"/>
      <c r="P620" s="401"/>
      <c r="R620" s="401"/>
      <c r="S620" s="401"/>
      <c r="T620" s="401"/>
      <c r="U620" s="401"/>
      <c r="V620" s="401"/>
      <c r="W620" s="401"/>
      <c r="X620" s="401"/>
      <c r="Y620" s="401"/>
      <c r="Z620" s="401"/>
      <c r="AA620" s="401"/>
      <c r="AB620" s="401"/>
    </row>
    <row r="621" spans="12:28" ht="19.05" customHeight="1">
      <c r="L621" s="400"/>
      <c r="O621" s="401"/>
      <c r="P621" s="401"/>
      <c r="R621" s="401"/>
      <c r="S621" s="401"/>
      <c r="T621" s="401"/>
      <c r="U621" s="401"/>
      <c r="V621" s="401"/>
      <c r="W621" s="401"/>
      <c r="X621" s="401"/>
      <c r="Y621" s="401"/>
      <c r="Z621" s="401"/>
      <c r="AA621" s="401"/>
      <c r="AB621" s="401"/>
    </row>
    <row r="622" spans="12:28" ht="19.05" customHeight="1">
      <c r="L622" s="400"/>
      <c r="O622" s="401"/>
      <c r="P622" s="401"/>
      <c r="R622" s="401"/>
      <c r="S622" s="401"/>
      <c r="T622" s="401"/>
      <c r="U622" s="401"/>
      <c r="V622" s="401"/>
      <c r="W622" s="401"/>
      <c r="X622" s="401"/>
      <c r="Y622" s="401"/>
      <c r="Z622" s="401"/>
      <c r="AA622" s="401"/>
      <c r="AB622" s="401"/>
    </row>
    <row r="623" spans="12:28" ht="19.05" customHeight="1">
      <c r="L623" s="400"/>
      <c r="O623" s="401"/>
      <c r="P623" s="401"/>
      <c r="R623" s="401"/>
      <c r="S623" s="401"/>
      <c r="T623" s="401"/>
      <c r="U623" s="401"/>
      <c r="V623" s="401"/>
      <c r="W623" s="401"/>
      <c r="X623" s="401"/>
      <c r="Y623" s="401"/>
      <c r="Z623" s="401"/>
      <c r="AA623" s="401"/>
      <c r="AB623" s="401"/>
    </row>
    <row r="624" spans="12:28" ht="19.05" customHeight="1">
      <c r="L624" s="400"/>
      <c r="O624" s="401"/>
      <c r="P624" s="401"/>
      <c r="R624" s="401"/>
      <c r="S624" s="401"/>
      <c r="T624" s="401"/>
      <c r="U624" s="401"/>
      <c r="V624" s="401"/>
      <c r="W624" s="401"/>
      <c r="X624" s="401"/>
      <c r="Y624" s="401"/>
      <c r="Z624" s="401"/>
      <c r="AA624" s="401"/>
      <c r="AB624" s="401"/>
    </row>
    <row r="625" spans="12:28" ht="19.05" customHeight="1">
      <c r="L625" s="400"/>
      <c r="O625" s="401"/>
      <c r="P625" s="401"/>
      <c r="R625" s="401"/>
      <c r="S625" s="401"/>
      <c r="T625" s="401"/>
      <c r="U625" s="401"/>
      <c r="V625" s="401"/>
      <c r="W625" s="401"/>
      <c r="X625" s="401"/>
      <c r="Y625" s="401"/>
      <c r="Z625" s="401"/>
      <c r="AA625" s="401"/>
      <c r="AB625" s="401"/>
    </row>
    <row r="626" spans="12:28" ht="19.05" customHeight="1">
      <c r="L626" s="400"/>
      <c r="O626" s="401"/>
      <c r="P626" s="401"/>
      <c r="R626" s="401"/>
      <c r="S626" s="401"/>
      <c r="T626" s="401"/>
      <c r="U626" s="401"/>
      <c r="V626" s="401"/>
      <c r="W626" s="401"/>
      <c r="X626" s="401"/>
      <c r="Y626" s="401"/>
      <c r="Z626" s="401"/>
      <c r="AA626" s="401"/>
      <c r="AB626" s="401"/>
    </row>
    <row r="627" spans="12:28" ht="19.05" customHeight="1">
      <c r="L627" s="400"/>
      <c r="O627" s="401"/>
      <c r="P627" s="401"/>
      <c r="R627" s="401"/>
      <c r="S627" s="401"/>
      <c r="T627" s="401"/>
      <c r="U627" s="401"/>
      <c r="V627" s="401"/>
      <c r="W627" s="401"/>
      <c r="X627" s="401"/>
      <c r="Y627" s="401"/>
      <c r="Z627" s="401"/>
      <c r="AA627" s="401"/>
      <c r="AB627" s="401"/>
    </row>
    <row r="628" spans="12:28" ht="19.05" customHeight="1">
      <c r="L628" s="400"/>
      <c r="O628" s="401"/>
      <c r="P628" s="401"/>
      <c r="R628" s="401"/>
      <c r="S628" s="401"/>
      <c r="T628" s="401"/>
      <c r="U628" s="401"/>
      <c r="V628" s="401"/>
      <c r="W628" s="401"/>
      <c r="X628" s="401"/>
      <c r="Y628" s="401"/>
      <c r="Z628" s="401"/>
      <c r="AA628" s="401"/>
      <c r="AB628" s="401"/>
    </row>
    <row r="629" spans="12:28" ht="19.05" customHeight="1">
      <c r="L629" s="400"/>
      <c r="O629" s="401"/>
      <c r="P629" s="401"/>
      <c r="R629" s="401"/>
      <c r="S629" s="401"/>
      <c r="T629" s="401"/>
      <c r="U629" s="401"/>
      <c r="V629" s="401"/>
      <c r="W629" s="401"/>
      <c r="X629" s="401"/>
      <c r="Y629" s="401"/>
      <c r="Z629" s="401"/>
      <c r="AA629" s="401"/>
      <c r="AB629" s="401"/>
    </row>
    <row r="630" spans="12:28" ht="19.05" customHeight="1">
      <c r="L630" s="400"/>
      <c r="O630" s="401"/>
      <c r="P630" s="401"/>
      <c r="R630" s="401"/>
      <c r="S630" s="401"/>
      <c r="T630" s="401"/>
      <c r="U630" s="401"/>
      <c r="V630" s="401"/>
      <c r="W630" s="401"/>
      <c r="X630" s="401"/>
      <c r="Y630" s="401"/>
      <c r="Z630" s="401"/>
      <c r="AA630" s="401"/>
      <c r="AB630" s="401"/>
    </row>
    <row r="631" spans="12:28" ht="19.05" customHeight="1">
      <c r="L631" s="400"/>
      <c r="O631" s="401"/>
      <c r="P631" s="401"/>
      <c r="R631" s="401"/>
      <c r="S631" s="401"/>
      <c r="T631" s="401"/>
      <c r="U631" s="401"/>
      <c r="V631" s="401"/>
      <c r="W631" s="401"/>
      <c r="X631" s="401"/>
      <c r="Y631" s="401"/>
      <c r="Z631" s="401"/>
      <c r="AA631" s="401"/>
      <c r="AB631" s="401"/>
    </row>
    <row r="632" spans="12:28" ht="19.05" customHeight="1">
      <c r="L632" s="400"/>
      <c r="O632" s="401"/>
      <c r="P632" s="401"/>
      <c r="R632" s="401"/>
      <c r="S632" s="401"/>
      <c r="T632" s="401"/>
      <c r="U632" s="401"/>
      <c r="V632" s="401"/>
      <c r="W632" s="401"/>
      <c r="X632" s="401"/>
      <c r="Y632" s="401"/>
      <c r="Z632" s="401"/>
      <c r="AA632" s="401"/>
      <c r="AB632" s="401"/>
    </row>
    <row r="633" spans="12:28" ht="19.05" customHeight="1">
      <c r="L633" s="400"/>
      <c r="O633" s="401"/>
      <c r="P633" s="401"/>
      <c r="R633" s="401"/>
      <c r="S633" s="401"/>
      <c r="T633" s="401"/>
      <c r="U633" s="401"/>
      <c r="V633" s="401"/>
      <c r="W633" s="401"/>
      <c r="X633" s="401"/>
      <c r="Y633" s="401"/>
      <c r="Z633" s="401"/>
      <c r="AA633" s="401"/>
      <c r="AB633" s="401"/>
    </row>
    <row r="634" spans="12:28" ht="19.05" customHeight="1">
      <c r="L634" s="400"/>
      <c r="O634" s="401"/>
      <c r="P634" s="401"/>
      <c r="R634" s="401"/>
      <c r="S634" s="401"/>
      <c r="T634" s="401"/>
      <c r="U634" s="401"/>
      <c r="V634" s="401"/>
      <c r="W634" s="401"/>
      <c r="X634" s="401"/>
      <c r="Y634" s="401"/>
      <c r="Z634" s="401"/>
      <c r="AA634" s="401"/>
      <c r="AB634" s="401"/>
    </row>
    <row r="635" spans="12:28" ht="19.05" customHeight="1">
      <c r="L635" s="400"/>
      <c r="O635" s="401"/>
      <c r="P635" s="401"/>
      <c r="R635" s="401"/>
      <c r="S635" s="401"/>
      <c r="T635" s="401"/>
      <c r="U635" s="401"/>
      <c r="V635" s="401"/>
      <c r="W635" s="401"/>
      <c r="X635" s="401"/>
      <c r="Y635" s="401"/>
      <c r="Z635" s="401"/>
      <c r="AA635" s="401"/>
      <c r="AB635" s="401"/>
    </row>
    <row r="636" spans="12:28" ht="19.05" customHeight="1">
      <c r="L636" s="400"/>
      <c r="O636" s="401"/>
      <c r="P636" s="401"/>
      <c r="R636" s="401"/>
      <c r="S636" s="401"/>
      <c r="T636" s="401"/>
      <c r="U636" s="401"/>
      <c r="V636" s="401"/>
      <c r="W636" s="401"/>
      <c r="X636" s="401"/>
      <c r="Y636" s="401"/>
      <c r="Z636" s="401"/>
      <c r="AA636" s="401"/>
      <c r="AB636" s="401"/>
    </row>
    <row r="637" spans="12:28" ht="19.05" customHeight="1">
      <c r="L637" s="400"/>
      <c r="O637" s="401"/>
      <c r="P637" s="401"/>
      <c r="R637" s="401"/>
      <c r="S637" s="401"/>
      <c r="T637" s="401"/>
      <c r="U637" s="401"/>
      <c r="V637" s="401"/>
      <c r="W637" s="401"/>
      <c r="X637" s="401"/>
      <c r="Y637" s="401"/>
      <c r="Z637" s="401"/>
      <c r="AA637" s="401"/>
      <c r="AB637" s="401"/>
    </row>
    <row r="638" spans="12:28" ht="19.05" customHeight="1">
      <c r="L638" s="400"/>
      <c r="O638" s="401"/>
      <c r="P638" s="401"/>
      <c r="R638" s="401"/>
      <c r="S638" s="401"/>
      <c r="T638" s="401"/>
      <c r="U638" s="401"/>
      <c r="V638" s="401"/>
      <c r="W638" s="401"/>
      <c r="X638" s="401"/>
      <c r="Y638" s="401"/>
      <c r="Z638" s="401"/>
      <c r="AA638" s="401"/>
      <c r="AB638" s="401"/>
    </row>
    <row r="639" spans="12:28" ht="19.05" customHeight="1">
      <c r="L639" s="400"/>
      <c r="O639" s="401"/>
      <c r="P639" s="401"/>
      <c r="R639" s="401"/>
      <c r="S639" s="401"/>
      <c r="T639" s="401"/>
      <c r="U639" s="401"/>
      <c r="V639" s="401"/>
      <c r="W639" s="401"/>
      <c r="X639" s="401"/>
      <c r="Y639" s="401"/>
      <c r="Z639" s="401"/>
      <c r="AA639" s="401"/>
      <c r="AB639" s="401"/>
    </row>
    <row r="640" spans="12:28" ht="19.05" customHeight="1">
      <c r="L640" s="400"/>
      <c r="O640" s="401"/>
      <c r="P640" s="401"/>
      <c r="R640" s="401"/>
      <c r="S640" s="401"/>
      <c r="T640" s="401"/>
      <c r="U640" s="401"/>
      <c r="V640" s="401"/>
      <c r="W640" s="401"/>
      <c r="X640" s="401"/>
      <c r="Y640" s="401"/>
      <c r="Z640" s="401"/>
      <c r="AA640" s="401"/>
      <c r="AB640" s="401"/>
    </row>
    <row r="641" spans="12:28" ht="19.05" customHeight="1">
      <c r="L641" s="400"/>
      <c r="O641" s="401"/>
      <c r="P641" s="401"/>
      <c r="R641" s="401"/>
      <c r="S641" s="401"/>
      <c r="T641" s="401"/>
      <c r="U641" s="401"/>
      <c r="V641" s="401"/>
      <c r="W641" s="401"/>
      <c r="X641" s="401"/>
      <c r="Y641" s="401"/>
      <c r="Z641" s="401"/>
      <c r="AA641" s="401"/>
      <c r="AB641" s="401"/>
    </row>
    <row r="642" spans="12:28" ht="19.05" customHeight="1">
      <c r="L642" s="400"/>
      <c r="O642" s="401"/>
      <c r="P642" s="401"/>
      <c r="R642" s="401"/>
      <c r="S642" s="401"/>
      <c r="T642" s="401"/>
      <c r="U642" s="401"/>
      <c r="V642" s="401"/>
      <c r="W642" s="401"/>
      <c r="X642" s="401"/>
      <c r="Y642" s="401"/>
      <c r="Z642" s="401"/>
      <c r="AA642" s="401"/>
      <c r="AB642" s="401"/>
    </row>
    <row r="643" spans="12:28" ht="19.05" customHeight="1">
      <c r="L643" s="400"/>
      <c r="O643" s="401"/>
      <c r="P643" s="401"/>
      <c r="R643" s="401"/>
      <c r="S643" s="401"/>
      <c r="T643" s="401"/>
      <c r="U643" s="401"/>
      <c r="V643" s="401"/>
      <c r="W643" s="401"/>
      <c r="X643" s="401"/>
      <c r="Y643" s="401"/>
      <c r="Z643" s="401"/>
      <c r="AA643" s="401"/>
      <c r="AB643" s="401"/>
    </row>
    <row r="644" spans="12:28" ht="19.05" customHeight="1">
      <c r="L644" s="400"/>
      <c r="O644" s="401"/>
      <c r="P644" s="401"/>
      <c r="R644" s="401"/>
      <c r="S644" s="401"/>
      <c r="T644" s="401"/>
      <c r="U644" s="401"/>
      <c r="V644" s="401"/>
      <c r="W644" s="401"/>
      <c r="X644" s="401"/>
      <c r="Y644" s="401"/>
      <c r="Z644" s="401"/>
      <c r="AA644" s="401"/>
      <c r="AB644" s="401"/>
    </row>
    <row r="645" spans="12:28" ht="19.05" customHeight="1">
      <c r="L645" s="400"/>
      <c r="O645" s="401"/>
      <c r="P645" s="401"/>
      <c r="R645" s="401"/>
      <c r="S645" s="401"/>
      <c r="T645" s="401"/>
      <c r="U645" s="401"/>
      <c r="V645" s="401"/>
      <c r="W645" s="401"/>
      <c r="X645" s="401"/>
      <c r="Y645" s="401"/>
      <c r="Z645" s="401"/>
      <c r="AA645" s="401"/>
      <c r="AB645" s="401"/>
    </row>
    <row r="646" spans="12:28" ht="19.05" customHeight="1">
      <c r="L646" s="400"/>
      <c r="O646" s="401"/>
      <c r="P646" s="401"/>
      <c r="R646" s="401"/>
      <c r="S646" s="401"/>
      <c r="T646" s="401"/>
      <c r="U646" s="401"/>
      <c r="V646" s="401"/>
      <c r="W646" s="401"/>
      <c r="X646" s="401"/>
      <c r="Y646" s="401"/>
      <c r="Z646" s="401"/>
      <c r="AA646" s="401"/>
      <c r="AB646" s="401"/>
    </row>
    <row r="647" spans="12:28" ht="19.05" customHeight="1">
      <c r="L647" s="400"/>
      <c r="O647" s="401"/>
      <c r="P647" s="401"/>
      <c r="R647" s="401"/>
      <c r="S647" s="401"/>
      <c r="T647" s="401"/>
      <c r="U647" s="401"/>
      <c r="V647" s="401"/>
      <c r="W647" s="401"/>
      <c r="X647" s="401"/>
      <c r="Y647" s="401"/>
      <c r="Z647" s="401"/>
      <c r="AA647" s="401"/>
      <c r="AB647" s="401"/>
    </row>
    <row r="648" spans="12:28" ht="19.05" customHeight="1">
      <c r="L648" s="400"/>
      <c r="O648" s="401"/>
      <c r="P648" s="401"/>
      <c r="R648" s="401"/>
      <c r="S648" s="401"/>
      <c r="T648" s="401"/>
      <c r="U648" s="401"/>
      <c r="V648" s="401"/>
      <c r="W648" s="401"/>
      <c r="X648" s="401"/>
      <c r="Y648" s="401"/>
      <c r="Z648" s="401"/>
      <c r="AA648" s="401"/>
      <c r="AB648" s="401"/>
    </row>
    <row r="649" spans="12:28" ht="19.05" customHeight="1">
      <c r="L649" s="400"/>
      <c r="O649" s="401"/>
      <c r="P649" s="401"/>
      <c r="R649" s="401"/>
      <c r="S649" s="401"/>
      <c r="T649" s="401"/>
      <c r="U649" s="401"/>
      <c r="V649" s="401"/>
      <c r="W649" s="401"/>
      <c r="X649" s="401"/>
      <c r="Y649" s="401"/>
      <c r="Z649" s="401"/>
      <c r="AA649" s="401"/>
      <c r="AB649" s="401"/>
    </row>
    <row r="650" spans="12:28" ht="19.05" customHeight="1">
      <c r="L650" s="400"/>
      <c r="O650" s="401"/>
      <c r="P650" s="401"/>
      <c r="R650" s="401"/>
      <c r="S650" s="401"/>
      <c r="T650" s="401"/>
      <c r="U650" s="401"/>
      <c r="V650" s="401"/>
      <c r="W650" s="401"/>
      <c r="X650" s="401"/>
      <c r="Y650" s="401"/>
      <c r="Z650" s="401"/>
      <c r="AA650" s="401"/>
      <c r="AB650" s="401"/>
    </row>
    <row r="651" spans="12:28" ht="19.05" customHeight="1">
      <c r="L651" s="400"/>
      <c r="O651" s="401"/>
      <c r="P651" s="401"/>
      <c r="R651" s="401"/>
      <c r="S651" s="401"/>
      <c r="T651" s="401"/>
      <c r="U651" s="401"/>
      <c r="V651" s="401"/>
      <c r="W651" s="401"/>
      <c r="X651" s="401"/>
      <c r="Y651" s="401"/>
      <c r="Z651" s="401"/>
      <c r="AA651" s="401"/>
      <c r="AB651" s="401"/>
    </row>
    <row r="652" spans="12:28" ht="19.05" customHeight="1">
      <c r="L652" s="400"/>
      <c r="O652" s="401"/>
      <c r="P652" s="401"/>
      <c r="R652" s="401"/>
      <c r="S652" s="401"/>
      <c r="T652" s="401"/>
      <c r="U652" s="401"/>
      <c r="V652" s="401"/>
      <c r="W652" s="401"/>
      <c r="X652" s="401"/>
      <c r="Y652" s="401"/>
      <c r="Z652" s="401"/>
      <c r="AA652" s="401"/>
      <c r="AB652" s="401"/>
    </row>
    <row r="653" spans="12:28" ht="19.05" customHeight="1">
      <c r="L653" s="400"/>
      <c r="O653" s="401"/>
      <c r="P653" s="401"/>
      <c r="R653" s="401"/>
      <c r="S653" s="401"/>
      <c r="T653" s="401"/>
      <c r="U653" s="401"/>
      <c r="V653" s="401"/>
      <c r="W653" s="401"/>
      <c r="X653" s="401"/>
      <c r="Y653" s="401"/>
      <c r="Z653" s="401"/>
      <c r="AA653" s="401"/>
      <c r="AB653" s="401"/>
    </row>
    <row r="654" spans="12:28" ht="19.05" customHeight="1">
      <c r="L654" s="400"/>
      <c r="O654" s="401"/>
      <c r="P654" s="401"/>
      <c r="R654" s="401"/>
      <c r="S654" s="401"/>
      <c r="T654" s="401"/>
      <c r="U654" s="401"/>
      <c r="V654" s="401"/>
      <c r="W654" s="401"/>
      <c r="X654" s="401"/>
      <c r="Y654" s="401"/>
      <c r="Z654" s="401"/>
      <c r="AA654" s="401"/>
      <c r="AB654" s="401"/>
    </row>
    <row r="655" spans="12:28" ht="19.05" customHeight="1">
      <c r="L655" s="400"/>
      <c r="O655" s="401"/>
      <c r="P655" s="401"/>
      <c r="R655" s="401"/>
      <c r="S655" s="401"/>
      <c r="T655" s="401"/>
      <c r="U655" s="401"/>
      <c r="V655" s="401"/>
      <c r="W655" s="401"/>
      <c r="X655" s="401"/>
      <c r="Y655" s="401"/>
      <c r="Z655" s="401"/>
      <c r="AA655" s="401"/>
      <c r="AB655" s="401"/>
    </row>
    <row r="656" spans="12:28" ht="19.05" customHeight="1">
      <c r="L656" s="400"/>
      <c r="O656" s="401"/>
      <c r="P656" s="401"/>
      <c r="R656" s="401"/>
      <c r="S656" s="401"/>
      <c r="T656" s="401"/>
      <c r="U656" s="401"/>
      <c r="V656" s="401"/>
      <c r="W656" s="401"/>
      <c r="X656" s="401"/>
      <c r="Y656" s="401"/>
      <c r="Z656" s="401"/>
      <c r="AA656" s="401"/>
      <c r="AB656" s="401"/>
    </row>
    <row r="657" spans="12:28" ht="19.05" customHeight="1">
      <c r="L657" s="400"/>
      <c r="O657" s="401"/>
      <c r="P657" s="401"/>
      <c r="R657" s="401"/>
      <c r="S657" s="401"/>
      <c r="T657" s="401"/>
      <c r="U657" s="401"/>
      <c r="V657" s="401"/>
      <c r="W657" s="401"/>
      <c r="X657" s="401"/>
      <c r="Y657" s="401"/>
      <c r="Z657" s="401"/>
      <c r="AA657" s="401"/>
      <c r="AB657" s="401"/>
    </row>
    <row r="658" spans="12:28" ht="19.05" customHeight="1">
      <c r="L658" s="400"/>
      <c r="O658" s="401"/>
      <c r="P658" s="401"/>
      <c r="R658" s="401"/>
      <c r="S658" s="401"/>
      <c r="T658" s="401"/>
      <c r="U658" s="401"/>
      <c r="V658" s="401"/>
      <c r="W658" s="401"/>
      <c r="X658" s="401"/>
      <c r="Y658" s="401"/>
      <c r="Z658" s="401"/>
      <c r="AA658" s="401"/>
      <c r="AB658" s="401"/>
    </row>
    <row r="659" spans="12:28" ht="19.05" customHeight="1">
      <c r="L659" s="400"/>
      <c r="O659" s="401"/>
      <c r="P659" s="401"/>
      <c r="R659" s="401"/>
      <c r="S659" s="401"/>
      <c r="T659" s="401"/>
      <c r="U659" s="401"/>
      <c r="V659" s="401"/>
      <c r="W659" s="401"/>
      <c r="X659" s="401"/>
      <c r="Y659" s="401"/>
      <c r="Z659" s="401"/>
      <c r="AA659" s="401"/>
      <c r="AB659" s="401"/>
    </row>
    <row r="660" spans="12:28" ht="19.05" customHeight="1">
      <c r="L660" s="400"/>
      <c r="O660" s="401"/>
      <c r="P660" s="401"/>
      <c r="R660" s="401"/>
      <c r="S660" s="401"/>
      <c r="T660" s="401"/>
      <c r="U660" s="401"/>
      <c r="V660" s="401"/>
      <c r="W660" s="401"/>
      <c r="X660" s="401"/>
      <c r="Y660" s="401"/>
      <c r="Z660" s="401"/>
      <c r="AA660" s="401"/>
      <c r="AB660" s="401"/>
    </row>
    <row r="661" spans="12:28" ht="19.05" customHeight="1">
      <c r="L661" s="400"/>
      <c r="O661" s="401"/>
      <c r="P661" s="401"/>
      <c r="R661" s="401"/>
      <c r="S661" s="401"/>
      <c r="T661" s="401"/>
      <c r="U661" s="401"/>
      <c r="V661" s="401"/>
      <c r="W661" s="401"/>
      <c r="X661" s="401"/>
      <c r="Y661" s="401"/>
      <c r="Z661" s="401"/>
      <c r="AA661" s="401"/>
      <c r="AB661" s="401"/>
    </row>
    <row r="662" spans="12:28" ht="19.05" customHeight="1">
      <c r="L662" s="400"/>
      <c r="O662" s="401"/>
      <c r="P662" s="401"/>
      <c r="R662" s="401"/>
      <c r="S662" s="401"/>
      <c r="T662" s="401"/>
      <c r="U662" s="401"/>
      <c r="V662" s="401"/>
      <c r="W662" s="401"/>
      <c r="X662" s="401"/>
      <c r="Y662" s="401"/>
      <c r="Z662" s="401"/>
      <c r="AA662" s="401"/>
      <c r="AB662" s="401"/>
    </row>
    <row r="663" spans="12:28" ht="19.05" customHeight="1">
      <c r="L663" s="400"/>
      <c r="O663" s="401"/>
      <c r="P663" s="401"/>
      <c r="R663" s="401"/>
      <c r="S663" s="401"/>
      <c r="T663" s="401"/>
      <c r="U663" s="401"/>
      <c r="V663" s="401"/>
      <c r="W663" s="401"/>
      <c r="X663" s="401"/>
      <c r="Y663" s="401"/>
      <c r="Z663" s="401"/>
      <c r="AA663" s="401"/>
      <c r="AB663" s="401"/>
    </row>
    <row r="664" spans="12:28" ht="19.05" customHeight="1">
      <c r="L664" s="400"/>
      <c r="O664" s="401"/>
      <c r="P664" s="401"/>
      <c r="R664" s="401"/>
      <c r="S664" s="401"/>
      <c r="T664" s="401"/>
      <c r="U664" s="401"/>
      <c r="V664" s="401"/>
      <c r="W664" s="401"/>
      <c r="X664" s="401"/>
      <c r="Y664" s="401"/>
      <c r="Z664" s="401"/>
      <c r="AA664" s="401"/>
      <c r="AB664" s="401"/>
    </row>
    <row r="665" spans="12:28" ht="19.05" customHeight="1">
      <c r="L665" s="400"/>
      <c r="O665" s="401"/>
      <c r="P665" s="401"/>
      <c r="R665" s="401"/>
      <c r="S665" s="401"/>
      <c r="T665" s="401"/>
      <c r="U665" s="401"/>
      <c r="V665" s="401"/>
      <c r="W665" s="401"/>
      <c r="X665" s="401"/>
      <c r="Y665" s="401"/>
      <c r="Z665" s="401"/>
      <c r="AA665" s="401"/>
      <c r="AB665" s="401"/>
    </row>
    <row r="666" spans="12:28" ht="19.05" customHeight="1">
      <c r="L666" s="400"/>
      <c r="O666" s="401"/>
      <c r="P666" s="401"/>
      <c r="R666" s="401"/>
      <c r="S666" s="401"/>
      <c r="T666" s="401"/>
      <c r="U666" s="401"/>
      <c r="V666" s="401"/>
      <c r="W666" s="401"/>
      <c r="X666" s="401"/>
      <c r="Y666" s="401"/>
      <c r="Z666" s="401"/>
      <c r="AA666" s="401"/>
      <c r="AB666" s="401"/>
    </row>
    <row r="667" spans="12:28" ht="19.05" customHeight="1">
      <c r="L667" s="400"/>
      <c r="O667" s="401"/>
      <c r="P667" s="401"/>
      <c r="R667" s="401"/>
      <c r="S667" s="401"/>
      <c r="T667" s="401"/>
      <c r="U667" s="401"/>
      <c r="V667" s="401"/>
      <c r="W667" s="401"/>
      <c r="X667" s="401"/>
      <c r="Y667" s="401"/>
      <c r="Z667" s="401"/>
      <c r="AA667" s="401"/>
      <c r="AB667" s="401"/>
    </row>
    <row r="668" spans="12:28" ht="19.05" customHeight="1">
      <c r="L668" s="400"/>
      <c r="O668" s="401"/>
      <c r="P668" s="401"/>
      <c r="R668" s="401"/>
      <c r="S668" s="401"/>
      <c r="T668" s="401"/>
      <c r="U668" s="401"/>
      <c r="V668" s="401"/>
      <c r="W668" s="401"/>
      <c r="X668" s="401"/>
      <c r="Y668" s="401"/>
      <c r="Z668" s="401"/>
      <c r="AA668" s="401"/>
      <c r="AB668" s="401"/>
    </row>
    <row r="669" spans="12:28" ht="19.05" customHeight="1">
      <c r="L669" s="400"/>
      <c r="O669" s="401"/>
      <c r="P669" s="401"/>
      <c r="R669" s="401"/>
      <c r="S669" s="401"/>
      <c r="T669" s="401"/>
      <c r="U669" s="401"/>
      <c r="V669" s="401"/>
      <c r="W669" s="401"/>
      <c r="X669" s="401"/>
      <c r="Y669" s="401"/>
      <c r="Z669" s="401"/>
      <c r="AA669" s="401"/>
      <c r="AB669" s="401"/>
    </row>
    <row r="670" spans="12:28" ht="19.05" customHeight="1">
      <c r="L670" s="400"/>
      <c r="O670" s="401"/>
      <c r="P670" s="401"/>
      <c r="R670" s="401"/>
      <c r="S670" s="401"/>
      <c r="T670" s="401"/>
      <c r="U670" s="401"/>
      <c r="V670" s="401"/>
      <c r="W670" s="401"/>
      <c r="X670" s="401"/>
      <c r="Y670" s="401"/>
      <c r="Z670" s="401"/>
      <c r="AA670" s="401"/>
      <c r="AB670" s="401"/>
    </row>
    <row r="671" spans="12:28" ht="19.05" customHeight="1">
      <c r="L671" s="400"/>
      <c r="O671" s="401"/>
      <c r="P671" s="401"/>
      <c r="R671" s="401"/>
      <c r="S671" s="401"/>
      <c r="T671" s="401"/>
      <c r="U671" s="401"/>
      <c r="V671" s="401"/>
      <c r="W671" s="401"/>
      <c r="X671" s="401"/>
      <c r="Y671" s="401"/>
      <c r="Z671" s="401"/>
      <c r="AA671" s="401"/>
      <c r="AB671" s="401"/>
    </row>
    <row r="672" spans="12:28" ht="19.05" customHeight="1">
      <c r="L672" s="400"/>
      <c r="O672" s="401"/>
      <c r="P672" s="401"/>
      <c r="R672" s="401"/>
      <c r="S672" s="401"/>
      <c r="T672" s="401"/>
      <c r="U672" s="401"/>
      <c r="V672" s="401"/>
      <c r="W672" s="401"/>
      <c r="X672" s="401"/>
      <c r="Y672" s="401"/>
      <c r="Z672" s="401"/>
      <c r="AA672" s="401"/>
      <c r="AB672" s="401"/>
    </row>
    <row r="673" spans="12:28" ht="19.05" customHeight="1">
      <c r="L673" s="400"/>
      <c r="O673" s="401"/>
      <c r="P673" s="401"/>
      <c r="R673" s="401"/>
      <c r="S673" s="401"/>
      <c r="T673" s="401"/>
      <c r="U673" s="401"/>
      <c r="V673" s="401"/>
      <c r="W673" s="401"/>
      <c r="X673" s="401"/>
      <c r="Y673" s="401"/>
      <c r="Z673" s="401"/>
      <c r="AA673" s="401"/>
      <c r="AB673" s="401"/>
    </row>
    <row r="674" spans="12:28" ht="19.05" customHeight="1">
      <c r="L674" s="400"/>
      <c r="O674" s="401"/>
      <c r="P674" s="401"/>
      <c r="R674" s="401"/>
      <c r="S674" s="401"/>
      <c r="T674" s="401"/>
      <c r="U674" s="401"/>
      <c r="V674" s="401"/>
      <c r="W674" s="401"/>
      <c r="X674" s="401"/>
      <c r="Y674" s="401"/>
      <c r="Z674" s="401"/>
      <c r="AA674" s="401"/>
      <c r="AB674" s="401"/>
    </row>
    <row r="675" spans="12:28" ht="19.05" customHeight="1">
      <c r="L675" s="400"/>
      <c r="O675" s="401"/>
      <c r="P675" s="401"/>
      <c r="R675" s="401"/>
      <c r="S675" s="401"/>
      <c r="T675" s="401"/>
      <c r="U675" s="401"/>
      <c r="V675" s="401"/>
      <c r="W675" s="401"/>
      <c r="X675" s="401"/>
      <c r="Y675" s="401"/>
      <c r="Z675" s="401"/>
      <c r="AA675" s="401"/>
      <c r="AB675" s="401"/>
    </row>
    <row r="676" spans="12:28" ht="19.05" customHeight="1">
      <c r="L676" s="400"/>
      <c r="O676" s="401"/>
      <c r="P676" s="401"/>
      <c r="R676" s="401"/>
      <c r="S676" s="401"/>
      <c r="T676" s="401"/>
      <c r="U676" s="401"/>
      <c r="V676" s="401"/>
      <c r="W676" s="401"/>
      <c r="X676" s="401"/>
      <c r="Y676" s="401"/>
      <c r="Z676" s="401"/>
      <c r="AA676" s="401"/>
      <c r="AB676" s="401"/>
    </row>
    <row r="677" spans="12:28" ht="19.05" customHeight="1">
      <c r="L677" s="400"/>
      <c r="O677" s="401"/>
      <c r="P677" s="401"/>
      <c r="R677" s="401"/>
      <c r="S677" s="401"/>
      <c r="T677" s="401"/>
      <c r="U677" s="401"/>
      <c r="V677" s="401"/>
      <c r="W677" s="401"/>
      <c r="X677" s="401"/>
      <c r="Y677" s="401"/>
      <c r="Z677" s="401"/>
      <c r="AA677" s="401"/>
      <c r="AB677" s="401"/>
    </row>
    <row r="678" spans="12:28" ht="19.05" customHeight="1">
      <c r="L678" s="400"/>
      <c r="O678" s="401"/>
      <c r="P678" s="401"/>
      <c r="R678" s="401"/>
      <c r="S678" s="401"/>
      <c r="T678" s="401"/>
      <c r="U678" s="401"/>
      <c r="V678" s="401"/>
      <c r="W678" s="401"/>
      <c r="X678" s="401"/>
      <c r="Y678" s="401"/>
      <c r="Z678" s="401"/>
      <c r="AA678" s="401"/>
      <c r="AB678" s="401"/>
    </row>
    <row r="679" spans="12:28" ht="19.05" customHeight="1">
      <c r="L679" s="400"/>
      <c r="O679" s="401"/>
      <c r="P679" s="401"/>
      <c r="R679" s="401"/>
      <c r="S679" s="401"/>
      <c r="T679" s="401"/>
      <c r="U679" s="401"/>
      <c r="V679" s="401"/>
      <c r="W679" s="401"/>
      <c r="X679" s="401"/>
      <c r="Y679" s="401"/>
      <c r="Z679" s="401"/>
      <c r="AA679" s="401"/>
      <c r="AB679" s="401"/>
    </row>
    <row r="680" spans="12:28" ht="19.05" customHeight="1">
      <c r="L680" s="400"/>
      <c r="O680" s="401"/>
      <c r="P680" s="401"/>
      <c r="R680" s="401"/>
      <c r="S680" s="401"/>
      <c r="T680" s="401"/>
      <c r="U680" s="401"/>
      <c r="V680" s="401"/>
      <c r="W680" s="401"/>
      <c r="X680" s="401"/>
      <c r="Y680" s="401"/>
      <c r="Z680" s="401"/>
      <c r="AA680" s="401"/>
      <c r="AB680" s="401"/>
    </row>
    <row r="681" spans="12:28" ht="19.05" customHeight="1">
      <c r="L681" s="400"/>
      <c r="O681" s="401"/>
      <c r="P681" s="401"/>
      <c r="R681" s="401"/>
      <c r="S681" s="401"/>
      <c r="T681" s="401"/>
      <c r="U681" s="401"/>
      <c r="V681" s="401"/>
      <c r="W681" s="401"/>
      <c r="X681" s="401"/>
      <c r="Y681" s="401"/>
      <c r="Z681" s="401"/>
      <c r="AA681" s="401"/>
      <c r="AB681" s="401"/>
    </row>
    <row r="682" spans="12:28" ht="19.05" customHeight="1">
      <c r="L682" s="400"/>
      <c r="O682" s="401"/>
      <c r="P682" s="401"/>
      <c r="R682" s="401"/>
      <c r="S682" s="401"/>
      <c r="T682" s="401"/>
      <c r="U682" s="401"/>
      <c r="V682" s="401"/>
      <c r="W682" s="401"/>
      <c r="X682" s="401"/>
      <c r="Y682" s="401"/>
      <c r="Z682" s="401"/>
      <c r="AA682" s="401"/>
      <c r="AB682" s="401"/>
    </row>
    <row r="683" spans="12:28" ht="19.05" customHeight="1">
      <c r="L683" s="400"/>
      <c r="O683" s="401"/>
      <c r="P683" s="401"/>
      <c r="R683" s="401"/>
      <c r="S683" s="401"/>
      <c r="T683" s="401"/>
      <c r="U683" s="401"/>
      <c r="V683" s="401"/>
      <c r="W683" s="401"/>
      <c r="X683" s="401"/>
      <c r="Y683" s="401"/>
      <c r="Z683" s="401"/>
      <c r="AA683" s="401"/>
      <c r="AB683" s="401"/>
    </row>
    <row r="684" spans="12:28" ht="19.05" customHeight="1">
      <c r="L684" s="400"/>
      <c r="O684" s="401"/>
      <c r="P684" s="401"/>
      <c r="R684" s="401"/>
      <c r="S684" s="401"/>
      <c r="T684" s="401"/>
      <c r="U684" s="401"/>
      <c r="V684" s="401"/>
      <c r="W684" s="401"/>
      <c r="X684" s="401"/>
      <c r="Y684" s="401"/>
      <c r="Z684" s="401"/>
      <c r="AA684" s="401"/>
      <c r="AB684" s="401"/>
    </row>
    <row r="685" spans="12:28" ht="19.05" customHeight="1">
      <c r="L685" s="400"/>
      <c r="O685" s="401"/>
      <c r="P685" s="401"/>
      <c r="R685" s="401"/>
      <c r="S685" s="401"/>
      <c r="T685" s="401"/>
      <c r="U685" s="401"/>
      <c r="V685" s="401"/>
      <c r="W685" s="401"/>
      <c r="X685" s="401"/>
      <c r="Y685" s="401"/>
      <c r="Z685" s="401"/>
      <c r="AA685" s="401"/>
      <c r="AB685" s="401"/>
    </row>
    <row r="686" spans="12:28" ht="19.05" customHeight="1">
      <c r="L686" s="400"/>
      <c r="O686" s="401"/>
      <c r="P686" s="401"/>
      <c r="R686" s="401"/>
      <c r="S686" s="401"/>
      <c r="T686" s="401"/>
      <c r="U686" s="401"/>
      <c r="V686" s="401"/>
      <c r="W686" s="401"/>
      <c r="X686" s="401"/>
      <c r="Y686" s="401"/>
      <c r="Z686" s="401"/>
      <c r="AA686" s="401"/>
      <c r="AB686" s="401"/>
    </row>
    <row r="687" spans="12:28" ht="19.05" customHeight="1">
      <c r="L687" s="400"/>
      <c r="O687" s="401"/>
      <c r="P687" s="401"/>
      <c r="R687" s="401"/>
      <c r="S687" s="401"/>
      <c r="T687" s="401"/>
      <c r="U687" s="401"/>
      <c r="V687" s="401"/>
      <c r="W687" s="401"/>
      <c r="X687" s="401"/>
      <c r="Y687" s="401"/>
      <c r="Z687" s="401"/>
      <c r="AA687" s="401"/>
      <c r="AB687" s="401"/>
    </row>
    <row r="688" spans="12:28" ht="19.05" customHeight="1">
      <c r="L688" s="400"/>
      <c r="O688" s="401"/>
      <c r="P688" s="401"/>
      <c r="R688" s="401"/>
      <c r="S688" s="401"/>
      <c r="T688" s="401"/>
      <c r="U688" s="401"/>
      <c r="V688" s="401"/>
      <c r="W688" s="401"/>
      <c r="X688" s="401"/>
      <c r="Y688" s="401"/>
      <c r="Z688" s="401"/>
      <c r="AA688" s="401"/>
      <c r="AB688" s="401"/>
    </row>
    <row r="689" spans="12:28" ht="19.05" customHeight="1">
      <c r="L689" s="400"/>
      <c r="O689" s="401"/>
      <c r="P689" s="401"/>
      <c r="R689" s="401"/>
      <c r="S689" s="401"/>
      <c r="T689" s="401"/>
      <c r="U689" s="401"/>
      <c r="V689" s="401"/>
      <c r="W689" s="401"/>
      <c r="X689" s="401"/>
      <c r="Y689" s="401"/>
      <c r="Z689" s="401"/>
      <c r="AA689" s="401"/>
      <c r="AB689" s="401"/>
    </row>
    <row r="690" spans="12:28" ht="19.05" customHeight="1">
      <c r="L690" s="400"/>
      <c r="O690" s="401"/>
      <c r="P690" s="401"/>
      <c r="R690" s="401"/>
      <c r="S690" s="401"/>
      <c r="T690" s="401"/>
      <c r="U690" s="401"/>
      <c r="V690" s="401"/>
      <c r="W690" s="401"/>
      <c r="X690" s="401"/>
      <c r="Y690" s="401"/>
      <c r="Z690" s="401"/>
      <c r="AA690" s="401"/>
      <c r="AB690" s="401"/>
    </row>
    <row r="691" spans="12:28" ht="19.05" customHeight="1">
      <c r="L691" s="400"/>
      <c r="O691" s="401"/>
      <c r="P691" s="401"/>
      <c r="R691" s="401"/>
      <c r="S691" s="401"/>
      <c r="T691" s="401"/>
      <c r="U691" s="401"/>
      <c r="V691" s="401"/>
      <c r="W691" s="401"/>
      <c r="X691" s="401"/>
      <c r="Y691" s="401"/>
      <c r="Z691" s="401"/>
      <c r="AA691" s="401"/>
      <c r="AB691" s="401"/>
    </row>
    <row r="692" spans="12:28" ht="19.05" customHeight="1">
      <c r="L692" s="400"/>
      <c r="O692" s="401"/>
      <c r="P692" s="401"/>
      <c r="R692" s="401"/>
      <c r="S692" s="401"/>
      <c r="T692" s="401"/>
      <c r="U692" s="401"/>
      <c r="V692" s="401"/>
      <c r="W692" s="401"/>
      <c r="X692" s="401"/>
      <c r="Y692" s="401"/>
      <c r="Z692" s="401"/>
      <c r="AA692" s="401"/>
      <c r="AB692" s="401"/>
    </row>
    <row r="693" spans="12:28" ht="19.05" customHeight="1">
      <c r="L693" s="400"/>
      <c r="O693" s="401"/>
      <c r="P693" s="401"/>
      <c r="R693" s="401"/>
      <c r="S693" s="401"/>
      <c r="T693" s="401"/>
      <c r="U693" s="401"/>
      <c r="V693" s="401"/>
      <c r="W693" s="401"/>
      <c r="X693" s="401"/>
      <c r="Y693" s="401"/>
      <c r="Z693" s="401"/>
      <c r="AA693" s="401"/>
      <c r="AB693" s="401"/>
    </row>
    <row r="694" spans="12:28" ht="19.05" customHeight="1">
      <c r="L694" s="400"/>
      <c r="O694" s="401"/>
      <c r="P694" s="401"/>
      <c r="R694" s="401"/>
      <c r="S694" s="401"/>
      <c r="T694" s="401"/>
      <c r="U694" s="401"/>
      <c r="V694" s="401"/>
      <c r="W694" s="401"/>
      <c r="X694" s="401"/>
      <c r="Y694" s="401"/>
      <c r="Z694" s="401"/>
      <c r="AA694" s="401"/>
      <c r="AB694" s="401"/>
    </row>
    <row r="695" spans="12:28" ht="19.05" customHeight="1">
      <c r="L695" s="400"/>
      <c r="O695" s="401"/>
      <c r="P695" s="401"/>
      <c r="R695" s="401"/>
      <c r="S695" s="401"/>
      <c r="T695" s="401"/>
      <c r="U695" s="401"/>
      <c r="V695" s="401"/>
      <c r="W695" s="401"/>
      <c r="X695" s="401"/>
      <c r="Y695" s="401"/>
      <c r="Z695" s="401"/>
      <c r="AA695" s="401"/>
      <c r="AB695" s="401"/>
    </row>
    <row r="696" spans="12:28" ht="19.05" customHeight="1">
      <c r="L696" s="400"/>
      <c r="O696" s="401"/>
      <c r="P696" s="401"/>
      <c r="R696" s="401"/>
      <c r="S696" s="401"/>
      <c r="T696" s="401"/>
      <c r="U696" s="401"/>
      <c r="V696" s="401"/>
      <c r="W696" s="401"/>
      <c r="X696" s="401"/>
      <c r="Y696" s="401"/>
      <c r="Z696" s="401"/>
      <c r="AA696" s="401"/>
      <c r="AB696" s="401"/>
    </row>
    <row r="697" spans="12:28" ht="19.05" customHeight="1">
      <c r="L697" s="400"/>
      <c r="O697" s="401"/>
      <c r="P697" s="401"/>
      <c r="R697" s="401"/>
      <c r="S697" s="401"/>
      <c r="T697" s="401"/>
      <c r="U697" s="401"/>
      <c r="V697" s="401"/>
      <c r="W697" s="401"/>
      <c r="X697" s="401"/>
      <c r="Y697" s="401"/>
      <c r="Z697" s="401"/>
      <c r="AA697" s="401"/>
      <c r="AB697" s="401"/>
    </row>
    <row r="698" spans="12:28" ht="19.05" customHeight="1">
      <c r="L698" s="400"/>
      <c r="O698" s="401"/>
      <c r="P698" s="401"/>
      <c r="R698" s="401"/>
      <c r="S698" s="401"/>
      <c r="T698" s="401"/>
      <c r="U698" s="401"/>
      <c r="V698" s="401"/>
      <c r="W698" s="401"/>
      <c r="X698" s="401"/>
      <c r="Y698" s="401"/>
      <c r="Z698" s="401"/>
      <c r="AA698" s="401"/>
      <c r="AB698" s="401"/>
    </row>
    <row r="699" spans="12:28" ht="19.05" customHeight="1">
      <c r="L699" s="400"/>
      <c r="O699" s="401"/>
      <c r="P699" s="401"/>
      <c r="R699" s="401"/>
      <c r="S699" s="401"/>
      <c r="T699" s="401"/>
      <c r="U699" s="401"/>
      <c r="V699" s="401"/>
      <c r="W699" s="401"/>
      <c r="X699" s="401"/>
      <c r="Y699" s="401"/>
      <c r="Z699" s="401"/>
      <c r="AA699" s="401"/>
      <c r="AB699" s="401"/>
    </row>
    <row r="700" spans="12:28" ht="19.05" customHeight="1">
      <c r="L700" s="400"/>
      <c r="O700" s="401"/>
      <c r="P700" s="401"/>
      <c r="R700" s="401"/>
      <c r="S700" s="401"/>
      <c r="T700" s="401"/>
      <c r="U700" s="401"/>
      <c r="V700" s="401"/>
      <c r="W700" s="401"/>
      <c r="X700" s="401"/>
      <c r="Y700" s="401"/>
      <c r="Z700" s="401"/>
      <c r="AA700" s="401"/>
      <c r="AB700" s="401"/>
    </row>
    <row r="701" spans="12:28" ht="19.05" customHeight="1">
      <c r="L701" s="400"/>
      <c r="O701" s="401"/>
      <c r="P701" s="401"/>
      <c r="R701" s="401"/>
      <c r="S701" s="401"/>
      <c r="T701" s="401"/>
      <c r="U701" s="401"/>
      <c r="V701" s="401"/>
      <c r="W701" s="401"/>
      <c r="X701" s="401"/>
      <c r="Y701" s="401"/>
      <c r="Z701" s="401"/>
      <c r="AA701" s="401"/>
      <c r="AB701" s="401"/>
    </row>
    <row r="702" spans="12:28" ht="19.05" customHeight="1">
      <c r="L702" s="400"/>
      <c r="O702" s="401"/>
      <c r="P702" s="401"/>
      <c r="R702" s="401"/>
      <c r="S702" s="401"/>
      <c r="T702" s="401"/>
      <c r="U702" s="401"/>
      <c r="V702" s="401"/>
      <c r="W702" s="401"/>
      <c r="X702" s="401"/>
      <c r="Y702" s="401"/>
      <c r="Z702" s="401"/>
      <c r="AA702" s="401"/>
      <c r="AB702" s="401"/>
    </row>
    <row r="703" spans="12:28" ht="19.05" customHeight="1">
      <c r="L703" s="400"/>
      <c r="O703" s="401"/>
      <c r="P703" s="401"/>
      <c r="R703" s="401"/>
      <c r="S703" s="401"/>
      <c r="T703" s="401"/>
      <c r="U703" s="401"/>
      <c r="V703" s="401"/>
      <c r="W703" s="401"/>
      <c r="X703" s="401"/>
      <c r="Y703" s="401"/>
      <c r="Z703" s="401"/>
      <c r="AA703" s="401"/>
      <c r="AB703" s="401"/>
    </row>
    <row r="704" spans="12:28" ht="19.05" customHeight="1">
      <c r="L704" s="400"/>
      <c r="O704" s="401"/>
      <c r="P704" s="401"/>
      <c r="R704" s="401"/>
      <c r="S704" s="401"/>
      <c r="T704" s="401"/>
      <c r="U704" s="401"/>
      <c r="V704" s="401"/>
      <c r="W704" s="401"/>
      <c r="X704" s="401"/>
      <c r="Y704" s="401"/>
      <c r="Z704" s="401"/>
      <c r="AA704" s="401"/>
      <c r="AB704" s="401"/>
    </row>
    <row r="705" spans="12:28" ht="19.05" customHeight="1">
      <c r="L705" s="400"/>
      <c r="O705" s="401"/>
      <c r="P705" s="401"/>
      <c r="R705" s="401"/>
      <c r="S705" s="401"/>
      <c r="T705" s="401"/>
      <c r="U705" s="401"/>
      <c r="V705" s="401"/>
      <c r="W705" s="401"/>
      <c r="X705" s="401"/>
      <c r="Y705" s="401"/>
      <c r="Z705" s="401"/>
      <c r="AA705" s="401"/>
      <c r="AB705" s="401"/>
    </row>
    <row r="706" spans="12:28" ht="19.05" customHeight="1">
      <c r="L706" s="400"/>
      <c r="O706" s="401"/>
      <c r="P706" s="401"/>
      <c r="R706" s="401"/>
      <c r="S706" s="401"/>
      <c r="T706" s="401"/>
      <c r="U706" s="401"/>
      <c r="V706" s="401"/>
      <c r="W706" s="401"/>
      <c r="X706" s="401"/>
      <c r="Y706" s="401"/>
      <c r="Z706" s="401"/>
      <c r="AA706" s="401"/>
      <c r="AB706" s="401"/>
    </row>
    <row r="707" spans="12:28" ht="19.05" customHeight="1">
      <c r="L707" s="400"/>
      <c r="O707" s="401"/>
      <c r="P707" s="401"/>
      <c r="R707" s="401"/>
      <c r="S707" s="401"/>
      <c r="T707" s="401"/>
      <c r="U707" s="401"/>
      <c r="V707" s="401"/>
      <c r="W707" s="401"/>
      <c r="X707" s="401"/>
      <c r="Y707" s="401"/>
      <c r="Z707" s="401"/>
      <c r="AA707" s="401"/>
      <c r="AB707" s="401"/>
    </row>
    <row r="708" spans="12:28" ht="19.05" customHeight="1">
      <c r="L708" s="400"/>
      <c r="O708" s="401"/>
      <c r="P708" s="401"/>
      <c r="R708" s="401"/>
      <c r="S708" s="401"/>
      <c r="T708" s="401"/>
      <c r="U708" s="401"/>
      <c r="V708" s="401"/>
      <c r="W708" s="401"/>
      <c r="X708" s="401"/>
      <c r="Y708" s="401"/>
      <c r="Z708" s="401"/>
      <c r="AA708" s="401"/>
      <c r="AB708" s="401"/>
    </row>
    <row r="709" spans="12:28" ht="19.05" customHeight="1">
      <c r="L709" s="400"/>
      <c r="O709" s="401"/>
      <c r="P709" s="401"/>
      <c r="R709" s="401"/>
      <c r="S709" s="401"/>
      <c r="T709" s="401"/>
      <c r="U709" s="401"/>
      <c r="V709" s="401"/>
      <c r="W709" s="401"/>
      <c r="X709" s="401"/>
      <c r="Y709" s="401"/>
      <c r="Z709" s="401"/>
      <c r="AA709" s="401"/>
      <c r="AB709" s="401"/>
    </row>
    <row r="710" spans="12:28" ht="19.05" customHeight="1">
      <c r="L710" s="400"/>
      <c r="O710" s="401"/>
      <c r="P710" s="401"/>
      <c r="R710" s="401"/>
      <c r="S710" s="401"/>
      <c r="T710" s="401"/>
      <c r="U710" s="401"/>
      <c r="V710" s="401"/>
      <c r="W710" s="401"/>
      <c r="X710" s="401"/>
      <c r="Y710" s="401"/>
      <c r="Z710" s="401"/>
      <c r="AA710" s="401"/>
      <c r="AB710" s="401"/>
    </row>
    <row r="711" spans="12:28" ht="19.05" customHeight="1">
      <c r="L711" s="400"/>
      <c r="O711" s="401"/>
      <c r="P711" s="401"/>
      <c r="R711" s="401"/>
      <c r="S711" s="401"/>
      <c r="T711" s="401"/>
      <c r="U711" s="401"/>
      <c r="V711" s="401"/>
      <c r="W711" s="401"/>
      <c r="X711" s="401"/>
      <c r="Y711" s="401"/>
      <c r="Z711" s="401"/>
      <c r="AA711" s="401"/>
      <c r="AB711" s="401"/>
    </row>
    <row r="712" spans="12:28" ht="19.05" customHeight="1">
      <c r="L712" s="400"/>
      <c r="O712" s="401"/>
      <c r="P712" s="401"/>
      <c r="R712" s="401"/>
      <c r="S712" s="401"/>
      <c r="T712" s="401"/>
      <c r="U712" s="401"/>
      <c r="V712" s="401"/>
      <c r="W712" s="401"/>
      <c r="X712" s="401"/>
      <c r="Y712" s="401"/>
      <c r="Z712" s="401"/>
      <c r="AA712" s="401"/>
      <c r="AB712" s="401"/>
    </row>
    <row r="713" spans="12:28" ht="19.05" customHeight="1">
      <c r="L713" s="400"/>
      <c r="O713" s="401"/>
      <c r="P713" s="401"/>
      <c r="R713" s="401"/>
      <c r="S713" s="401"/>
      <c r="T713" s="401"/>
      <c r="U713" s="401"/>
      <c r="V713" s="401"/>
      <c r="W713" s="401"/>
      <c r="X713" s="401"/>
      <c r="Y713" s="401"/>
      <c r="Z713" s="401"/>
      <c r="AA713" s="401"/>
      <c r="AB713" s="401"/>
    </row>
    <row r="714" spans="12:28" ht="19.05" customHeight="1">
      <c r="L714" s="400"/>
      <c r="O714" s="401"/>
      <c r="P714" s="401"/>
      <c r="R714" s="401"/>
      <c r="S714" s="401"/>
      <c r="T714" s="401"/>
      <c r="U714" s="401"/>
      <c r="V714" s="401"/>
      <c r="W714" s="401"/>
      <c r="X714" s="401"/>
      <c r="Y714" s="401"/>
      <c r="Z714" s="401"/>
      <c r="AA714" s="401"/>
      <c r="AB714" s="401"/>
    </row>
    <row r="715" spans="12:28" ht="19.05" customHeight="1">
      <c r="L715" s="400"/>
      <c r="O715" s="401"/>
      <c r="P715" s="401"/>
      <c r="R715" s="401"/>
      <c r="S715" s="401"/>
      <c r="T715" s="401"/>
      <c r="U715" s="401"/>
      <c r="V715" s="401"/>
      <c r="W715" s="401"/>
      <c r="X715" s="401"/>
      <c r="Y715" s="401"/>
      <c r="Z715" s="401"/>
      <c r="AA715" s="401"/>
      <c r="AB715" s="401"/>
    </row>
    <row r="716" spans="12:28" ht="19.05" customHeight="1">
      <c r="L716" s="400"/>
      <c r="O716" s="401"/>
      <c r="P716" s="401"/>
      <c r="R716" s="401"/>
      <c r="S716" s="401"/>
      <c r="T716" s="401"/>
      <c r="U716" s="401"/>
      <c r="V716" s="401"/>
      <c r="W716" s="401"/>
      <c r="X716" s="401"/>
      <c r="Y716" s="401"/>
      <c r="Z716" s="401"/>
      <c r="AA716" s="401"/>
      <c r="AB716" s="401"/>
    </row>
    <row r="717" spans="12:28" ht="19.05" customHeight="1">
      <c r="L717" s="400"/>
      <c r="O717" s="401"/>
      <c r="P717" s="401"/>
      <c r="R717" s="401"/>
      <c r="S717" s="401"/>
      <c r="T717" s="401"/>
      <c r="U717" s="401"/>
      <c r="V717" s="401"/>
      <c r="W717" s="401"/>
      <c r="X717" s="401"/>
      <c r="Y717" s="401"/>
      <c r="Z717" s="401"/>
      <c r="AA717" s="401"/>
      <c r="AB717" s="401"/>
    </row>
    <row r="718" spans="12:28" ht="19.05" customHeight="1">
      <c r="L718" s="400"/>
      <c r="O718" s="401"/>
      <c r="P718" s="401"/>
      <c r="R718" s="401"/>
      <c r="S718" s="401"/>
      <c r="T718" s="401"/>
      <c r="U718" s="401"/>
      <c r="V718" s="401"/>
      <c r="W718" s="401"/>
      <c r="X718" s="401"/>
      <c r="Y718" s="401"/>
      <c r="Z718" s="401"/>
      <c r="AA718" s="401"/>
      <c r="AB718" s="401"/>
    </row>
    <row r="719" spans="12:28" ht="19.05" customHeight="1">
      <c r="L719" s="400"/>
      <c r="O719" s="401"/>
      <c r="P719" s="401"/>
      <c r="R719" s="401"/>
      <c r="S719" s="401"/>
      <c r="T719" s="401"/>
      <c r="U719" s="401"/>
      <c r="V719" s="401"/>
      <c r="W719" s="401"/>
      <c r="X719" s="401"/>
      <c r="Y719" s="401"/>
      <c r="Z719" s="401"/>
      <c r="AA719" s="401"/>
      <c r="AB719" s="401"/>
    </row>
    <row r="720" spans="12:28" ht="19.05" customHeight="1">
      <c r="L720" s="400"/>
      <c r="O720" s="401"/>
      <c r="P720" s="401"/>
      <c r="R720" s="401"/>
      <c r="S720" s="401"/>
      <c r="T720" s="401"/>
      <c r="U720" s="401"/>
      <c r="V720" s="401"/>
      <c r="W720" s="401"/>
      <c r="X720" s="401"/>
      <c r="Y720" s="401"/>
      <c r="Z720" s="401"/>
      <c r="AA720" s="401"/>
      <c r="AB720" s="401"/>
    </row>
    <row r="721" spans="12:28" ht="19.05" customHeight="1">
      <c r="L721" s="400"/>
      <c r="O721" s="401"/>
      <c r="P721" s="401"/>
      <c r="R721" s="401"/>
      <c r="S721" s="401"/>
      <c r="T721" s="401"/>
      <c r="U721" s="401"/>
      <c r="V721" s="401"/>
      <c r="W721" s="401"/>
      <c r="X721" s="401"/>
      <c r="Y721" s="401"/>
      <c r="Z721" s="401"/>
      <c r="AA721" s="401"/>
      <c r="AB721" s="401"/>
    </row>
    <row r="722" spans="12:28" ht="19.05" customHeight="1">
      <c r="L722" s="400"/>
      <c r="O722" s="401"/>
      <c r="P722" s="401"/>
      <c r="R722" s="401"/>
      <c r="S722" s="401"/>
      <c r="T722" s="401"/>
      <c r="U722" s="401"/>
      <c r="V722" s="401"/>
      <c r="W722" s="401"/>
      <c r="X722" s="401"/>
      <c r="Y722" s="401"/>
      <c r="Z722" s="401"/>
      <c r="AA722" s="401"/>
      <c r="AB722" s="401"/>
    </row>
    <row r="723" spans="12:28" ht="19.05" customHeight="1">
      <c r="L723" s="400"/>
      <c r="O723" s="401"/>
      <c r="P723" s="401"/>
      <c r="R723" s="401"/>
      <c r="S723" s="401"/>
      <c r="T723" s="401"/>
      <c r="U723" s="401"/>
      <c r="V723" s="401"/>
      <c r="W723" s="401"/>
      <c r="X723" s="401"/>
      <c r="Y723" s="401"/>
      <c r="Z723" s="401"/>
      <c r="AA723" s="401"/>
      <c r="AB723" s="401"/>
    </row>
    <row r="724" spans="12:28" ht="19.05" customHeight="1">
      <c r="L724" s="400"/>
      <c r="O724" s="401"/>
      <c r="P724" s="401"/>
      <c r="R724" s="401"/>
      <c r="S724" s="401"/>
      <c r="T724" s="401"/>
      <c r="U724" s="401"/>
      <c r="V724" s="401"/>
      <c r="W724" s="401"/>
      <c r="X724" s="401"/>
      <c r="Y724" s="401"/>
      <c r="Z724" s="401"/>
      <c r="AA724" s="401"/>
      <c r="AB724" s="401"/>
    </row>
    <row r="725" spans="12:28" ht="19.05" customHeight="1">
      <c r="L725" s="400"/>
      <c r="O725" s="401"/>
      <c r="P725" s="401"/>
      <c r="R725" s="401"/>
      <c r="S725" s="401"/>
      <c r="T725" s="401"/>
      <c r="U725" s="401"/>
      <c r="V725" s="401"/>
      <c r="W725" s="401"/>
      <c r="X725" s="401"/>
      <c r="Y725" s="401"/>
      <c r="Z725" s="401"/>
      <c r="AA725" s="401"/>
      <c r="AB725" s="401"/>
    </row>
    <row r="726" spans="12:28" ht="19.05" customHeight="1">
      <c r="L726" s="400"/>
      <c r="O726" s="401"/>
      <c r="P726" s="401"/>
      <c r="R726" s="401"/>
      <c r="S726" s="401"/>
      <c r="T726" s="401"/>
      <c r="U726" s="401"/>
      <c r="V726" s="401"/>
      <c r="W726" s="401"/>
      <c r="X726" s="401"/>
      <c r="Y726" s="401"/>
      <c r="Z726" s="401"/>
      <c r="AA726" s="401"/>
      <c r="AB726" s="401"/>
    </row>
    <row r="727" spans="12:28" ht="19.05" customHeight="1">
      <c r="L727" s="400"/>
      <c r="O727" s="401"/>
      <c r="P727" s="401"/>
      <c r="R727" s="401"/>
      <c r="S727" s="401"/>
      <c r="T727" s="401"/>
      <c r="U727" s="401"/>
      <c r="V727" s="401"/>
      <c r="W727" s="401"/>
      <c r="X727" s="401"/>
      <c r="Y727" s="401"/>
      <c r="Z727" s="401"/>
      <c r="AA727" s="401"/>
      <c r="AB727" s="401"/>
    </row>
    <row r="728" spans="12:28" ht="19.05" customHeight="1">
      <c r="L728" s="400"/>
      <c r="O728" s="401"/>
      <c r="P728" s="401"/>
      <c r="R728" s="401"/>
      <c r="S728" s="401"/>
      <c r="T728" s="401"/>
      <c r="U728" s="401"/>
      <c r="V728" s="401"/>
      <c r="W728" s="401"/>
      <c r="X728" s="401"/>
      <c r="Y728" s="401"/>
      <c r="Z728" s="401"/>
      <c r="AA728" s="401"/>
      <c r="AB728" s="401"/>
    </row>
    <row r="729" spans="12:28" ht="19.05" customHeight="1">
      <c r="L729" s="400"/>
      <c r="O729" s="401"/>
      <c r="P729" s="401"/>
      <c r="R729" s="401"/>
      <c r="S729" s="401"/>
      <c r="T729" s="401"/>
      <c r="U729" s="401"/>
      <c r="V729" s="401"/>
      <c r="W729" s="401"/>
      <c r="X729" s="401"/>
      <c r="Y729" s="401"/>
      <c r="Z729" s="401"/>
      <c r="AA729" s="401"/>
      <c r="AB729" s="401"/>
    </row>
    <row r="730" spans="12:28" ht="19.05" customHeight="1">
      <c r="L730" s="400"/>
      <c r="O730" s="401"/>
      <c r="P730" s="401"/>
      <c r="R730" s="401"/>
      <c r="S730" s="401"/>
      <c r="T730" s="401"/>
      <c r="U730" s="401"/>
      <c r="V730" s="401"/>
      <c r="W730" s="401"/>
      <c r="X730" s="401"/>
      <c r="Y730" s="401"/>
      <c r="Z730" s="401"/>
      <c r="AA730" s="401"/>
      <c r="AB730" s="401"/>
    </row>
    <row r="731" spans="12:28" ht="19.05" customHeight="1">
      <c r="L731" s="400"/>
      <c r="O731" s="401"/>
      <c r="P731" s="401"/>
      <c r="R731" s="401"/>
      <c r="S731" s="401"/>
      <c r="T731" s="401"/>
      <c r="U731" s="401"/>
      <c r="V731" s="401"/>
      <c r="W731" s="401"/>
      <c r="X731" s="401"/>
      <c r="Y731" s="401"/>
      <c r="Z731" s="401"/>
      <c r="AA731" s="401"/>
      <c r="AB731" s="401"/>
    </row>
    <row r="732" spans="12:28" ht="19.05" customHeight="1">
      <c r="L732" s="400"/>
      <c r="O732" s="401"/>
      <c r="P732" s="401"/>
      <c r="R732" s="401"/>
      <c r="S732" s="401"/>
      <c r="T732" s="401"/>
      <c r="U732" s="401"/>
      <c r="V732" s="401"/>
      <c r="W732" s="401"/>
      <c r="X732" s="401"/>
      <c r="Y732" s="401"/>
      <c r="Z732" s="401"/>
      <c r="AA732" s="401"/>
      <c r="AB732" s="401"/>
    </row>
    <row r="733" spans="12:28" ht="19.05" customHeight="1">
      <c r="L733" s="400"/>
      <c r="O733" s="401"/>
      <c r="P733" s="401"/>
      <c r="R733" s="401"/>
      <c r="S733" s="401"/>
      <c r="T733" s="401"/>
      <c r="U733" s="401"/>
      <c r="V733" s="401"/>
      <c r="W733" s="401"/>
      <c r="X733" s="401"/>
      <c r="Y733" s="401"/>
      <c r="Z733" s="401"/>
      <c r="AA733" s="401"/>
      <c r="AB733" s="401"/>
    </row>
    <row r="734" spans="12:28" ht="19.05" customHeight="1">
      <c r="L734" s="400"/>
      <c r="O734" s="401"/>
      <c r="P734" s="401"/>
      <c r="R734" s="401"/>
      <c r="S734" s="401"/>
      <c r="T734" s="401"/>
      <c r="U734" s="401"/>
      <c r="V734" s="401"/>
      <c r="W734" s="401"/>
      <c r="X734" s="401"/>
      <c r="Y734" s="401"/>
      <c r="Z734" s="401"/>
      <c r="AA734" s="401"/>
      <c r="AB734" s="401"/>
    </row>
    <row r="735" spans="12:28" ht="19.05" customHeight="1">
      <c r="L735" s="400"/>
      <c r="O735" s="401"/>
      <c r="P735" s="401"/>
      <c r="R735" s="401"/>
      <c r="S735" s="401"/>
      <c r="T735" s="401"/>
      <c r="U735" s="401"/>
      <c r="V735" s="401"/>
      <c r="W735" s="401"/>
      <c r="X735" s="401"/>
      <c r="Y735" s="401"/>
      <c r="Z735" s="401"/>
      <c r="AA735" s="401"/>
      <c r="AB735" s="401"/>
    </row>
    <row r="736" spans="12:28" ht="19.05" customHeight="1">
      <c r="L736" s="400"/>
      <c r="O736" s="401"/>
      <c r="P736" s="401"/>
      <c r="R736" s="401"/>
      <c r="S736" s="401"/>
      <c r="T736" s="401"/>
      <c r="U736" s="401"/>
      <c r="V736" s="401"/>
      <c r="W736" s="401"/>
      <c r="X736" s="401"/>
      <c r="Y736" s="401"/>
      <c r="Z736" s="401"/>
      <c r="AA736" s="401"/>
      <c r="AB736" s="401"/>
    </row>
    <row r="737" spans="12:28" ht="19.05" customHeight="1">
      <c r="L737" s="400"/>
      <c r="O737" s="401"/>
      <c r="P737" s="401"/>
      <c r="R737" s="401"/>
      <c r="S737" s="401"/>
      <c r="T737" s="401"/>
      <c r="U737" s="401"/>
      <c r="V737" s="401"/>
      <c r="W737" s="401"/>
      <c r="X737" s="401"/>
      <c r="Y737" s="401"/>
      <c r="Z737" s="401"/>
      <c r="AA737" s="401"/>
      <c r="AB737" s="401"/>
    </row>
    <row r="738" spans="12:28" ht="19.05" customHeight="1">
      <c r="L738" s="400"/>
      <c r="O738" s="401"/>
      <c r="P738" s="401"/>
      <c r="R738" s="401"/>
      <c r="S738" s="401"/>
      <c r="T738" s="401"/>
      <c r="U738" s="401"/>
      <c r="V738" s="401"/>
      <c r="W738" s="401"/>
      <c r="X738" s="401"/>
      <c r="Y738" s="401"/>
      <c r="Z738" s="401"/>
      <c r="AA738" s="401"/>
      <c r="AB738" s="401"/>
    </row>
    <row r="739" spans="12:28" ht="19.05" customHeight="1">
      <c r="L739" s="400"/>
      <c r="O739" s="401"/>
      <c r="P739" s="401"/>
      <c r="R739" s="401"/>
      <c r="S739" s="401"/>
      <c r="T739" s="401"/>
      <c r="U739" s="401"/>
      <c r="V739" s="401"/>
      <c r="W739" s="401"/>
      <c r="X739" s="401"/>
      <c r="Y739" s="401"/>
      <c r="Z739" s="401"/>
      <c r="AA739" s="401"/>
      <c r="AB739" s="401"/>
    </row>
    <row r="740" spans="12:28" ht="19.05" customHeight="1">
      <c r="L740" s="400"/>
      <c r="O740" s="401"/>
      <c r="P740" s="401"/>
      <c r="R740" s="401"/>
      <c r="S740" s="401"/>
      <c r="T740" s="401"/>
      <c r="U740" s="401"/>
      <c r="V740" s="401"/>
      <c r="W740" s="401"/>
      <c r="X740" s="401"/>
      <c r="Y740" s="401"/>
      <c r="Z740" s="401"/>
      <c r="AA740" s="401"/>
      <c r="AB740" s="401"/>
    </row>
    <row r="741" spans="12:28" ht="19.05" customHeight="1">
      <c r="L741" s="400"/>
      <c r="O741" s="401"/>
      <c r="P741" s="401"/>
      <c r="R741" s="401"/>
      <c r="S741" s="401"/>
      <c r="T741" s="401"/>
      <c r="U741" s="401"/>
      <c r="V741" s="401"/>
      <c r="W741" s="401"/>
      <c r="X741" s="401"/>
      <c r="Y741" s="401"/>
      <c r="Z741" s="401"/>
      <c r="AA741" s="401"/>
      <c r="AB741" s="401"/>
    </row>
    <row r="742" spans="12:28" ht="19.05" customHeight="1">
      <c r="L742" s="400"/>
      <c r="O742" s="401"/>
      <c r="P742" s="401"/>
      <c r="R742" s="401"/>
      <c r="S742" s="401"/>
      <c r="T742" s="401"/>
      <c r="U742" s="401"/>
      <c r="V742" s="401"/>
      <c r="W742" s="401"/>
      <c r="X742" s="401"/>
      <c r="Y742" s="401"/>
      <c r="Z742" s="401"/>
      <c r="AA742" s="401"/>
      <c r="AB742" s="401"/>
    </row>
    <row r="743" spans="12:28" ht="19.05" customHeight="1">
      <c r="L743" s="400"/>
      <c r="O743" s="401"/>
      <c r="P743" s="401"/>
      <c r="R743" s="401"/>
      <c r="S743" s="401"/>
      <c r="T743" s="401"/>
      <c r="U743" s="401"/>
      <c r="V743" s="401"/>
      <c r="W743" s="401"/>
      <c r="X743" s="401"/>
      <c r="Y743" s="401"/>
      <c r="Z743" s="401"/>
      <c r="AA743" s="401"/>
      <c r="AB743" s="401"/>
    </row>
    <row r="744" spans="12:28" ht="19.05" customHeight="1">
      <c r="L744" s="400"/>
      <c r="O744" s="401"/>
      <c r="P744" s="401"/>
      <c r="R744" s="401"/>
      <c r="S744" s="401"/>
      <c r="T744" s="401"/>
      <c r="U744" s="401"/>
      <c r="V744" s="401"/>
      <c r="W744" s="401"/>
      <c r="X744" s="401"/>
      <c r="Y744" s="401"/>
      <c r="Z744" s="401"/>
      <c r="AA744" s="401"/>
      <c r="AB744" s="401"/>
    </row>
    <row r="745" spans="12:28" ht="19.05" customHeight="1">
      <c r="L745" s="400"/>
      <c r="O745" s="401"/>
      <c r="P745" s="401"/>
      <c r="R745" s="401"/>
      <c r="S745" s="401"/>
      <c r="T745" s="401"/>
      <c r="U745" s="401"/>
      <c r="V745" s="401"/>
      <c r="W745" s="401"/>
      <c r="X745" s="401"/>
      <c r="Y745" s="401"/>
      <c r="Z745" s="401"/>
      <c r="AA745" s="401"/>
      <c r="AB745" s="401"/>
    </row>
    <row r="746" spans="12:28" ht="19.05" customHeight="1">
      <c r="L746" s="400"/>
      <c r="O746" s="401"/>
      <c r="P746" s="401"/>
      <c r="R746" s="401"/>
      <c r="S746" s="401"/>
      <c r="T746" s="401"/>
      <c r="U746" s="401"/>
      <c r="V746" s="401"/>
      <c r="W746" s="401"/>
      <c r="X746" s="401"/>
      <c r="Y746" s="401"/>
      <c r="Z746" s="401"/>
      <c r="AA746" s="401"/>
      <c r="AB746" s="401"/>
    </row>
    <row r="747" spans="12:28" ht="19.05" customHeight="1">
      <c r="L747" s="400"/>
      <c r="O747" s="401"/>
      <c r="P747" s="401"/>
      <c r="R747" s="401"/>
      <c r="S747" s="401"/>
      <c r="T747" s="401"/>
      <c r="U747" s="401"/>
      <c r="V747" s="401"/>
      <c r="W747" s="401"/>
      <c r="X747" s="401"/>
      <c r="Y747" s="401"/>
      <c r="Z747" s="401"/>
      <c r="AA747" s="401"/>
      <c r="AB747" s="401"/>
    </row>
    <row r="748" spans="12:28" ht="19.05" customHeight="1">
      <c r="L748" s="400"/>
      <c r="O748" s="401"/>
      <c r="P748" s="401"/>
      <c r="R748" s="401"/>
      <c r="S748" s="401"/>
      <c r="T748" s="401"/>
      <c r="U748" s="401"/>
      <c r="V748" s="401"/>
      <c r="W748" s="401"/>
      <c r="X748" s="401"/>
      <c r="Y748" s="401"/>
      <c r="Z748" s="401"/>
      <c r="AA748" s="401"/>
      <c r="AB748" s="401"/>
    </row>
    <row r="749" spans="12:28" ht="19.05" customHeight="1">
      <c r="L749" s="400"/>
      <c r="O749" s="401"/>
      <c r="P749" s="401"/>
      <c r="R749" s="401"/>
      <c r="S749" s="401"/>
      <c r="T749" s="401"/>
      <c r="U749" s="401"/>
      <c r="V749" s="401"/>
      <c r="W749" s="401"/>
      <c r="X749" s="401"/>
      <c r="Y749" s="401"/>
      <c r="Z749" s="401"/>
      <c r="AA749" s="401"/>
      <c r="AB749" s="401"/>
    </row>
    <row r="750" spans="12:28" ht="19.05" customHeight="1">
      <c r="L750" s="400"/>
      <c r="O750" s="401"/>
      <c r="P750" s="401"/>
      <c r="R750" s="401"/>
      <c r="S750" s="401"/>
      <c r="T750" s="401"/>
      <c r="U750" s="401"/>
      <c r="V750" s="401"/>
      <c r="W750" s="401"/>
      <c r="X750" s="401"/>
      <c r="Y750" s="401"/>
      <c r="Z750" s="401"/>
      <c r="AA750" s="401"/>
      <c r="AB750" s="401"/>
    </row>
    <row r="751" spans="12:28" ht="19.05" customHeight="1">
      <c r="L751" s="400"/>
      <c r="O751" s="401"/>
      <c r="P751" s="401"/>
      <c r="R751" s="401"/>
      <c r="S751" s="401"/>
      <c r="T751" s="401"/>
      <c r="U751" s="401"/>
      <c r="V751" s="401"/>
      <c r="W751" s="401"/>
      <c r="X751" s="401"/>
      <c r="Y751" s="401"/>
      <c r="Z751" s="401"/>
      <c r="AA751" s="401"/>
      <c r="AB751" s="401"/>
    </row>
    <row r="752" spans="12:28" ht="19.05" customHeight="1">
      <c r="L752" s="400"/>
      <c r="O752" s="401"/>
      <c r="P752" s="401"/>
      <c r="R752" s="401"/>
      <c r="S752" s="401"/>
      <c r="T752" s="401"/>
      <c r="U752" s="401"/>
      <c r="V752" s="401"/>
      <c r="W752" s="401"/>
      <c r="X752" s="401"/>
      <c r="Y752" s="401"/>
      <c r="Z752" s="401"/>
      <c r="AA752" s="401"/>
      <c r="AB752" s="401"/>
    </row>
    <row r="753" spans="12:28" ht="19.05" customHeight="1">
      <c r="L753" s="400"/>
      <c r="O753" s="401"/>
      <c r="P753" s="401"/>
      <c r="R753" s="401"/>
      <c r="S753" s="401"/>
      <c r="T753" s="401"/>
      <c r="U753" s="401"/>
      <c r="V753" s="401"/>
      <c r="W753" s="401"/>
      <c r="X753" s="401"/>
      <c r="Y753" s="401"/>
      <c r="Z753" s="401"/>
      <c r="AA753" s="401"/>
      <c r="AB753" s="401"/>
    </row>
    <row r="754" spans="12:28" ht="19.05" customHeight="1">
      <c r="L754" s="400"/>
      <c r="O754" s="401"/>
      <c r="P754" s="401"/>
      <c r="R754" s="401"/>
      <c r="S754" s="401"/>
      <c r="T754" s="401"/>
      <c r="U754" s="401"/>
      <c r="V754" s="401"/>
      <c r="W754" s="401"/>
      <c r="X754" s="401"/>
      <c r="Y754" s="401"/>
      <c r="Z754" s="401"/>
      <c r="AA754" s="401"/>
      <c r="AB754" s="401"/>
    </row>
    <row r="755" spans="12:28" ht="19.05" customHeight="1">
      <c r="L755" s="400"/>
      <c r="O755" s="401"/>
      <c r="P755" s="401"/>
      <c r="R755" s="401"/>
      <c r="S755" s="401"/>
      <c r="T755" s="401"/>
      <c r="U755" s="401"/>
      <c r="V755" s="401"/>
      <c r="W755" s="401"/>
      <c r="X755" s="401"/>
      <c r="Y755" s="401"/>
      <c r="Z755" s="401"/>
      <c r="AA755" s="401"/>
      <c r="AB755" s="401"/>
    </row>
    <row r="756" spans="12:28" ht="19.05" customHeight="1">
      <c r="L756" s="400"/>
      <c r="O756" s="401"/>
      <c r="P756" s="401"/>
      <c r="R756" s="401"/>
      <c r="S756" s="401"/>
      <c r="T756" s="401"/>
      <c r="U756" s="401"/>
      <c r="V756" s="401"/>
      <c r="W756" s="401"/>
      <c r="X756" s="401"/>
      <c r="Y756" s="401"/>
      <c r="Z756" s="401"/>
      <c r="AA756" s="401"/>
      <c r="AB756" s="401"/>
    </row>
    <row r="757" spans="12:28" ht="19.05" customHeight="1">
      <c r="L757" s="400"/>
      <c r="O757" s="401"/>
      <c r="P757" s="401"/>
      <c r="R757" s="401"/>
      <c r="S757" s="401"/>
      <c r="T757" s="401"/>
      <c r="U757" s="401"/>
      <c r="V757" s="401"/>
      <c r="W757" s="401"/>
      <c r="X757" s="401"/>
      <c r="Y757" s="401"/>
      <c r="Z757" s="401"/>
      <c r="AA757" s="401"/>
      <c r="AB757" s="401"/>
    </row>
    <row r="758" spans="12:28" ht="19.05" customHeight="1">
      <c r="L758" s="400"/>
      <c r="O758" s="401"/>
      <c r="P758" s="401"/>
      <c r="R758" s="401"/>
      <c r="S758" s="401"/>
      <c r="T758" s="401"/>
      <c r="U758" s="401"/>
      <c r="V758" s="401"/>
      <c r="W758" s="401"/>
      <c r="X758" s="401"/>
      <c r="Y758" s="401"/>
      <c r="Z758" s="401"/>
      <c r="AA758" s="401"/>
      <c r="AB758" s="401"/>
    </row>
    <row r="759" spans="12:28" ht="19.05" customHeight="1">
      <c r="L759" s="400"/>
      <c r="O759" s="401"/>
      <c r="P759" s="401"/>
      <c r="R759" s="401"/>
      <c r="S759" s="401"/>
      <c r="T759" s="401"/>
      <c r="U759" s="401"/>
      <c r="V759" s="401"/>
      <c r="W759" s="401"/>
      <c r="X759" s="401"/>
      <c r="Y759" s="401"/>
      <c r="Z759" s="401"/>
      <c r="AA759" s="401"/>
      <c r="AB759" s="401"/>
    </row>
    <row r="760" spans="12:28" ht="19.05" customHeight="1">
      <c r="L760" s="400"/>
      <c r="O760" s="401"/>
      <c r="P760" s="401"/>
      <c r="R760" s="401"/>
      <c r="S760" s="401"/>
      <c r="T760" s="401"/>
      <c r="U760" s="401"/>
      <c r="V760" s="401"/>
      <c r="W760" s="401"/>
      <c r="X760" s="401"/>
      <c r="Y760" s="401"/>
      <c r="Z760" s="401"/>
      <c r="AA760" s="401"/>
      <c r="AB760" s="401"/>
    </row>
    <row r="761" spans="12:28" ht="19.05" customHeight="1">
      <c r="L761" s="400"/>
      <c r="O761" s="401"/>
      <c r="P761" s="401"/>
      <c r="R761" s="401"/>
      <c r="S761" s="401"/>
      <c r="T761" s="401"/>
      <c r="U761" s="401"/>
      <c r="V761" s="401"/>
      <c r="W761" s="401"/>
      <c r="X761" s="401"/>
      <c r="Y761" s="401"/>
      <c r="Z761" s="401"/>
      <c r="AA761" s="401"/>
      <c r="AB761" s="401"/>
    </row>
    <row r="762" spans="12:28" ht="19.05" customHeight="1">
      <c r="L762" s="400"/>
      <c r="O762" s="401"/>
      <c r="P762" s="401"/>
      <c r="R762" s="401"/>
      <c r="S762" s="401"/>
      <c r="T762" s="401"/>
      <c r="U762" s="401"/>
      <c r="V762" s="401"/>
      <c r="W762" s="401"/>
      <c r="X762" s="401"/>
      <c r="Y762" s="401"/>
      <c r="Z762" s="401"/>
      <c r="AA762" s="401"/>
      <c r="AB762" s="401"/>
    </row>
    <row r="763" spans="12:28" ht="19.05" customHeight="1">
      <c r="L763" s="400"/>
      <c r="O763" s="401"/>
      <c r="P763" s="401"/>
      <c r="R763" s="401"/>
      <c r="S763" s="401"/>
      <c r="T763" s="401"/>
      <c r="U763" s="401"/>
      <c r="V763" s="401"/>
      <c r="W763" s="401"/>
      <c r="X763" s="401"/>
      <c r="Y763" s="401"/>
      <c r="Z763" s="401"/>
      <c r="AA763" s="401"/>
      <c r="AB763" s="401"/>
    </row>
    <row r="764" spans="12:28" ht="19.05" customHeight="1">
      <c r="L764" s="400"/>
      <c r="O764" s="401"/>
      <c r="P764" s="401"/>
      <c r="R764" s="401"/>
      <c r="S764" s="401"/>
      <c r="T764" s="401"/>
      <c r="U764" s="401"/>
      <c r="V764" s="401"/>
      <c r="W764" s="401"/>
      <c r="X764" s="401"/>
      <c r="Y764" s="401"/>
      <c r="Z764" s="401"/>
      <c r="AA764" s="401"/>
      <c r="AB764" s="401"/>
    </row>
    <row r="765" spans="12:28" ht="19.05" customHeight="1">
      <c r="L765" s="400"/>
      <c r="O765" s="401"/>
      <c r="P765" s="401"/>
      <c r="R765" s="401"/>
      <c r="S765" s="401"/>
      <c r="T765" s="401"/>
      <c r="U765" s="401"/>
      <c r="V765" s="401"/>
      <c r="W765" s="401"/>
      <c r="X765" s="401"/>
      <c r="Y765" s="401"/>
      <c r="Z765" s="401"/>
      <c r="AA765" s="401"/>
      <c r="AB765" s="401"/>
    </row>
    <row r="766" spans="12:28" ht="19.05" customHeight="1">
      <c r="L766" s="400"/>
      <c r="O766" s="401"/>
      <c r="P766" s="401"/>
      <c r="R766" s="401"/>
      <c r="S766" s="401"/>
      <c r="T766" s="401"/>
      <c r="U766" s="401"/>
      <c r="V766" s="401"/>
      <c r="W766" s="401"/>
      <c r="X766" s="401"/>
      <c r="Y766" s="401"/>
      <c r="Z766" s="401"/>
      <c r="AA766" s="401"/>
      <c r="AB766" s="401"/>
    </row>
    <row r="767" spans="12:28" ht="19.05" customHeight="1">
      <c r="L767" s="400"/>
      <c r="O767" s="401"/>
      <c r="P767" s="401"/>
      <c r="R767" s="401"/>
      <c r="S767" s="401"/>
      <c r="T767" s="401"/>
      <c r="U767" s="401"/>
      <c r="V767" s="401"/>
      <c r="W767" s="401"/>
      <c r="X767" s="401"/>
      <c r="Y767" s="401"/>
      <c r="Z767" s="401"/>
      <c r="AA767" s="401"/>
      <c r="AB767" s="401"/>
    </row>
    <row r="768" spans="12:28" ht="19.05" customHeight="1">
      <c r="L768" s="400"/>
      <c r="O768" s="401"/>
      <c r="P768" s="401"/>
      <c r="R768" s="401"/>
      <c r="S768" s="401"/>
      <c r="T768" s="401"/>
      <c r="U768" s="401"/>
      <c r="V768" s="401"/>
      <c r="W768" s="401"/>
      <c r="X768" s="401"/>
      <c r="Y768" s="401"/>
      <c r="Z768" s="401"/>
      <c r="AA768" s="401"/>
      <c r="AB768" s="401"/>
    </row>
    <row r="769" spans="12:28" ht="19.05" customHeight="1">
      <c r="L769" s="400"/>
      <c r="O769" s="401"/>
      <c r="P769" s="401"/>
      <c r="R769" s="401"/>
      <c r="S769" s="401"/>
      <c r="T769" s="401"/>
      <c r="U769" s="401"/>
      <c r="V769" s="401"/>
      <c r="W769" s="401"/>
      <c r="X769" s="401"/>
      <c r="Y769" s="401"/>
      <c r="Z769" s="401"/>
      <c r="AA769" s="401"/>
      <c r="AB769" s="401"/>
    </row>
    <row r="770" spans="12:28" ht="19.05" customHeight="1">
      <c r="L770" s="400"/>
      <c r="O770" s="401"/>
      <c r="P770" s="401"/>
      <c r="R770" s="401"/>
      <c r="S770" s="401"/>
      <c r="T770" s="401"/>
      <c r="U770" s="401"/>
      <c r="V770" s="401"/>
      <c r="W770" s="401"/>
      <c r="X770" s="401"/>
      <c r="Y770" s="401"/>
      <c r="Z770" s="401"/>
      <c r="AA770" s="401"/>
      <c r="AB770" s="401"/>
    </row>
    <row r="771" spans="12:28" ht="19.05" customHeight="1">
      <c r="L771" s="400"/>
      <c r="O771" s="401"/>
      <c r="P771" s="401"/>
      <c r="R771" s="401"/>
      <c r="S771" s="401"/>
      <c r="T771" s="401"/>
      <c r="U771" s="401"/>
      <c r="V771" s="401"/>
      <c r="W771" s="401"/>
      <c r="X771" s="401"/>
      <c r="Y771" s="401"/>
      <c r="Z771" s="401"/>
      <c r="AA771" s="401"/>
      <c r="AB771" s="401"/>
    </row>
    <row r="772" spans="12:28" ht="19.05" customHeight="1">
      <c r="L772" s="400"/>
      <c r="O772" s="401"/>
      <c r="P772" s="401"/>
      <c r="R772" s="401"/>
      <c r="S772" s="401"/>
      <c r="T772" s="401"/>
      <c r="U772" s="401"/>
      <c r="V772" s="401"/>
      <c r="W772" s="401"/>
      <c r="X772" s="401"/>
      <c r="Y772" s="401"/>
      <c r="Z772" s="401"/>
      <c r="AA772" s="401"/>
      <c r="AB772" s="401"/>
    </row>
    <row r="773" spans="12:28" ht="19.05" customHeight="1">
      <c r="L773" s="400"/>
      <c r="O773" s="401"/>
      <c r="P773" s="401"/>
      <c r="R773" s="401"/>
      <c r="S773" s="401"/>
      <c r="T773" s="401"/>
      <c r="U773" s="401"/>
      <c r="V773" s="401"/>
      <c r="W773" s="401"/>
      <c r="X773" s="401"/>
      <c r="Y773" s="401"/>
      <c r="Z773" s="401"/>
      <c r="AA773" s="401"/>
      <c r="AB773" s="401"/>
    </row>
    <row r="774" spans="12:28" ht="19.05" customHeight="1">
      <c r="L774" s="400"/>
      <c r="O774" s="401"/>
      <c r="P774" s="401"/>
      <c r="R774" s="401"/>
      <c r="S774" s="401"/>
      <c r="T774" s="401"/>
      <c r="U774" s="401"/>
      <c r="V774" s="401"/>
      <c r="W774" s="401"/>
      <c r="X774" s="401"/>
      <c r="Y774" s="401"/>
      <c r="Z774" s="401"/>
      <c r="AA774" s="401"/>
      <c r="AB774" s="401"/>
    </row>
    <row r="775" spans="12:28" ht="19.05" customHeight="1">
      <c r="L775" s="400"/>
      <c r="O775" s="401"/>
      <c r="P775" s="401"/>
      <c r="R775" s="401"/>
      <c r="S775" s="401"/>
      <c r="T775" s="401"/>
      <c r="U775" s="401"/>
      <c r="V775" s="401"/>
      <c r="W775" s="401"/>
      <c r="X775" s="401"/>
      <c r="Y775" s="401"/>
      <c r="Z775" s="401"/>
      <c r="AA775" s="401"/>
      <c r="AB775" s="401"/>
    </row>
    <row r="776" spans="12:28" ht="19.05" customHeight="1">
      <c r="L776" s="400"/>
      <c r="O776" s="401"/>
      <c r="P776" s="401"/>
      <c r="R776" s="401"/>
      <c r="S776" s="401"/>
      <c r="T776" s="401"/>
      <c r="U776" s="401"/>
      <c r="V776" s="401"/>
      <c r="W776" s="401"/>
      <c r="X776" s="401"/>
      <c r="Y776" s="401"/>
      <c r="Z776" s="401"/>
      <c r="AA776" s="401"/>
      <c r="AB776" s="401"/>
    </row>
    <row r="777" spans="12:28" ht="19.05" customHeight="1">
      <c r="L777" s="400"/>
      <c r="O777" s="401"/>
      <c r="P777" s="401"/>
      <c r="R777" s="401"/>
      <c r="S777" s="401"/>
      <c r="T777" s="401"/>
      <c r="U777" s="401"/>
      <c r="V777" s="401"/>
      <c r="W777" s="401"/>
      <c r="X777" s="401"/>
      <c r="Y777" s="401"/>
      <c r="Z777" s="401"/>
      <c r="AA777" s="401"/>
      <c r="AB777" s="401"/>
    </row>
    <row r="778" spans="12:28" ht="19.05" customHeight="1">
      <c r="L778" s="400"/>
      <c r="O778" s="401"/>
      <c r="P778" s="401"/>
      <c r="R778" s="401"/>
      <c r="S778" s="401"/>
      <c r="T778" s="401"/>
      <c r="U778" s="401"/>
      <c r="V778" s="401"/>
      <c r="W778" s="401"/>
      <c r="X778" s="401"/>
      <c r="Y778" s="401"/>
      <c r="Z778" s="401"/>
      <c r="AA778" s="401"/>
      <c r="AB778" s="401"/>
    </row>
    <row r="779" spans="12:28" ht="19.05" customHeight="1">
      <c r="L779" s="400"/>
      <c r="O779" s="401"/>
      <c r="P779" s="401"/>
      <c r="R779" s="401"/>
      <c r="S779" s="401"/>
      <c r="T779" s="401"/>
      <c r="U779" s="401"/>
      <c r="V779" s="401"/>
      <c r="W779" s="401"/>
      <c r="X779" s="401"/>
      <c r="Y779" s="401"/>
      <c r="Z779" s="401"/>
      <c r="AA779" s="401"/>
      <c r="AB779" s="401"/>
    </row>
    <row r="780" spans="12:28" ht="19.05" customHeight="1">
      <c r="L780" s="400"/>
      <c r="O780" s="401"/>
      <c r="P780" s="401"/>
      <c r="R780" s="401"/>
      <c r="S780" s="401"/>
      <c r="T780" s="401"/>
      <c r="U780" s="401"/>
      <c r="V780" s="401"/>
      <c r="W780" s="401"/>
      <c r="X780" s="401"/>
      <c r="Y780" s="401"/>
      <c r="Z780" s="401"/>
      <c r="AA780" s="401"/>
      <c r="AB780" s="401"/>
    </row>
    <row r="781" spans="12:28" ht="19.05" customHeight="1">
      <c r="L781" s="400"/>
      <c r="O781" s="401"/>
      <c r="P781" s="401"/>
      <c r="R781" s="401"/>
      <c r="S781" s="401"/>
      <c r="T781" s="401"/>
      <c r="U781" s="401"/>
      <c r="V781" s="401"/>
      <c r="W781" s="401"/>
      <c r="X781" s="401"/>
      <c r="Y781" s="401"/>
      <c r="Z781" s="401"/>
      <c r="AA781" s="401"/>
      <c r="AB781" s="401"/>
    </row>
    <row r="782" spans="12:28" ht="19.05" customHeight="1">
      <c r="L782" s="400"/>
      <c r="O782" s="401"/>
      <c r="P782" s="401"/>
      <c r="R782" s="401"/>
      <c r="S782" s="401"/>
      <c r="T782" s="401"/>
      <c r="U782" s="401"/>
      <c r="V782" s="401"/>
      <c r="W782" s="401"/>
      <c r="X782" s="401"/>
      <c r="Y782" s="401"/>
      <c r="Z782" s="401"/>
      <c r="AA782" s="401"/>
      <c r="AB782" s="401"/>
    </row>
    <row r="783" spans="12:28" ht="19.05" customHeight="1">
      <c r="L783" s="400"/>
      <c r="O783" s="401"/>
      <c r="P783" s="401"/>
      <c r="R783" s="401"/>
      <c r="S783" s="401"/>
      <c r="T783" s="401"/>
      <c r="U783" s="401"/>
      <c r="V783" s="401"/>
      <c r="W783" s="401"/>
      <c r="X783" s="401"/>
      <c r="Y783" s="401"/>
      <c r="Z783" s="401"/>
      <c r="AA783" s="401"/>
      <c r="AB783" s="401"/>
    </row>
    <row r="784" spans="12:28" ht="19.05" customHeight="1">
      <c r="L784" s="400"/>
      <c r="O784" s="401"/>
      <c r="P784" s="401"/>
      <c r="R784" s="401"/>
      <c r="S784" s="401"/>
      <c r="T784" s="401"/>
      <c r="U784" s="401"/>
      <c r="V784" s="401"/>
      <c r="W784" s="401"/>
      <c r="X784" s="401"/>
      <c r="Y784" s="401"/>
      <c r="Z784" s="401"/>
      <c r="AA784" s="401"/>
      <c r="AB784" s="401"/>
    </row>
    <row r="785" spans="12:28" ht="19.05" customHeight="1">
      <c r="L785" s="400"/>
      <c r="O785" s="401"/>
      <c r="P785" s="401"/>
      <c r="R785" s="401"/>
      <c r="S785" s="401"/>
      <c r="T785" s="401"/>
      <c r="U785" s="401"/>
      <c r="V785" s="401"/>
      <c r="W785" s="401"/>
      <c r="X785" s="401"/>
      <c r="Y785" s="401"/>
      <c r="Z785" s="401"/>
      <c r="AA785" s="401"/>
      <c r="AB785" s="401"/>
    </row>
    <row r="786" spans="12:28" ht="19.05" customHeight="1">
      <c r="L786" s="400"/>
      <c r="O786" s="401"/>
      <c r="P786" s="401"/>
      <c r="R786" s="401"/>
      <c r="S786" s="401"/>
      <c r="T786" s="401"/>
      <c r="U786" s="401"/>
      <c r="V786" s="401"/>
      <c r="W786" s="401"/>
      <c r="X786" s="401"/>
      <c r="Y786" s="401"/>
      <c r="Z786" s="401"/>
      <c r="AA786" s="401"/>
      <c r="AB786" s="401"/>
    </row>
    <row r="787" spans="12:28" ht="19.05" customHeight="1">
      <c r="L787" s="400"/>
      <c r="O787" s="401"/>
      <c r="P787" s="401"/>
      <c r="R787" s="401"/>
      <c r="S787" s="401"/>
      <c r="T787" s="401"/>
      <c r="U787" s="401"/>
      <c r="V787" s="401"/>
      <c r="W787" s="401"/>
      <c r="X787" s="401"/>
      <c r="Y787" s="401"/>
      <c r="Z787" s="401"/>
      <c r="AA787" s="401"/>
      <c r="AB787" s="401"/>
    </row>
    <row r="788" spans="12:28" ht="19.05" customHeight="1">
      <c r="L788" s="400"/>
      <c r="O788" s="401"/>
      <c r="P788" s="401"/>
      <c r="R788" s="401"/>
      <c r="S788" s="401"/>
      <c r="T788" s="401"/>
      <c r="U788" s="401"/>
      <c r="V788" s="401"/>
      <c r="W788" s="401"/>
      <c r="X788" s="401"/>
      <c r="Y788" s="401"/>
      <c r="Z788" s="401"/>
      <c r="AA788" s="401"/>
      <c r="AB788" s="401"/>
    </row>
    <row r="789" spans="12:28" ht="19.05" customHeight="1">
      <c r="L789" s="400"/>
      <c r="O789" s="401"/>
      <c r="P789" s="401"/>
      <c r="R789" s="401"/>
      <c r="S789" s="401"/>
      <c r="T789" s="401"/>
      <c r="U789" s="401"/>
      <c r="V789" s="401"/>
      <c r="W789" s="401"/>
      <c r="X789" s="401"/>
      <c r="Y789" s="401"/>
      <c r="Z789" s="401"/>
      <c r="AA789" s="401"/>
      <c r="AB789" s="401"/>
    </row>
    <row r="790" spans="12:28" ht="19.05" customHeight="1">
      <c r="L790" s="400"/>
      <c r="O790" s="401"/>
      <c r="P790" s="401"/>
      <c r="R790" s="401"/>
      <c r="S790" s="401"/>
      <c r="T790" s="401"/>
      <c r="U790" s="401"/>
      <c r="V790" s="401"/>
      <c r="W790" s="401"/>
      <c r="X790" s="401"/>
      <c r="Y790" s="401"/>
      <c r="Z790" s="401"/>
      <c r="AA790" s="401"/>
      <c r="AB790" s="401"/>
    </row>
    <row r="791" spans="12:28" ht="19.05" customHeight="1">
      <c r="L791" s="400"/>
      <c r="O791" s="401"/>
      <c r="P791" s="401"/>
      <c r="R791" s="401"/>
      <c r="S791" s="401"/>
      <c r="T791" s="401"/>
      <c r="U791" s="401"/>
      <c r="V791" s="401"/>
      <c r="W791" s="401"/>
      <c r="X791" s="401"/>
      <c r="Y791" s="401"/>
      <c r="Z791" s="401"/>
      <c r="AA791" s="401"/>
      <c r="AB791" s="401"/>
    </row>
    <row r="792" spans="12:28" ht="19.05" customHeight="1">
      <c r="L792" s="400"/>
      <c r="O792" s="401"/>
      <c r="P792" s="401"/>
      <c r="R792" s="401"/>
      <c r="S792" s="401"/>
      <c r="T792" s="401"/>
      <c r="U792" s="401"/>
      <c r="V792" s="401"/>
      <c r="W792" s="401"/>
      <c r="X792" s="401"/>
      <c r="Y792" s="401"/>
      <c r="Z792" s="401"/>
      <c r="AA792" s="401"/>
      <c r="AB792" s="401"/>
    </row>
    <row r="793" spans="12:28" ht="19.05" customHeight="1">
      <c r="L793" s="400"/>
      <c r="O793" s="401"/>
      <c r="P793" s="401"/>
      <c r="R793" s="401"/>
      <c r="S793" s="401"/>
      <c r="T793" s="401"/>
      <c r="U793" s="401"/>
      <c r="V793" s="401"/>
      <c r="W793" s="401"/>
      <c r="X793" s="401"/>
      <c r="Y793" s="401"/>
      <c r="Z793" s="401"/>
      <c r="AA793" s="401"/>
      <c r="AB793" s="401"/>
    </row>
    <row r="794" spans="12:28" ht="19.05" customHeight="1">
      <c r="L794" s="400"/>
      <c r="O794" s="401"/>
      <c r="P794" s="401"/>
      <c r="R794" s="401"/>
      <c r="S794" s="401"/>
      <c r="T794" s="401"/>
      <c r="U794" s="401"/>
      <c r="V794" s="401"/>
      <c r="W794" s="401"/>
      <c r="X794" s="401"/>
      <c r="Y794" s="401"/>
      <c r="Z794" s="401"/>
      <c r="AA794" s="401"/>
      <c r="AB794" s="401"/>
    </row>
    <row r="795" spans="12:28" ht="19.05" customHeight="1">
      <c r="L795" s="400"/>
      <c r="O795" s="401"/>
      <c r="P795" s="401"/>
      <c r="R795" s="401"/>
      <c r="S795" s="401"/>
      <c r="T795" s="401"/>
      <c r="U795" s="401"/>
      <c r="V795" s="401"/>
      <c r="W795" s="401"/>
      <c r="X795" s="401"/>
      <c r="Y795" s="401"/>
      <c r="Z795" s="401"/>
      <c r="AA795" s="401"/>
      <c r="AB795" s="401"/>
    </row>
    <row r="796" spans="12:28" ht="19.05" customHeight="1">
      <c r="L796" s="400"/>
      <c r="O796" s="401"/>
      <c r="P796" s="401"/>
      <c r="R796" s="401"/>
      <c r="S796" s="401"/>
      <c r="T796" s="401"/>
      <c r="U796" s="401"/>
      <c r="V796" s="401"/>
      <c r="W796" s="401"/>
      <c r="X796" s="401"/>
      <c r="Y796" s="401"/>
      <c r="Z796" s="401"/>
      <c r="AA796" s="401"/>
      <c r="AB796" s="401"/>
    </row>
    <row r="797" spans="12:28" ht="19.05" customHeight="1">
      <c r="L797" s="400"/>
      <c r="O797" s="401"/>
      <c r="P797" s="401"/>
      <c r="R797" s="401"/>
      <c r="S797" s="401"/>
      <c r="T797" s="401"/>
      <c r="U797" s="401"/>
      <c r="V797" s="401"/>
      <c r="W797" s="401"/>
      <c r="X797" s="401"/>
      <c r="Y797" s="401"/>
      <c r="Z797" s="401"/>
      <c r="AA797" s="401"/>
      <c r="AB797" s="401"/>
    </row>
    <row r="798" spans="12:28" ht="19.05" customHeight="1">
      <c r="L798" s="400"/>
      <c r="O798" s="401"/>
      <c r="P798" s="401"/>
      <c r="R798" s="401"/>
      <c r="S798" s="401"/>
      <c r="T798" s="401"/>
      <c r="U798" s="401"/>
      <c r="V798" s="401"/>
      <c r="W798" s="401"/>
      <c r="X798" s="401"/>
      <c r="Y798" s="401"/>
      <c r="Z798" s="401"/>
      <c r="AA798" s="401"/>
      <c r="AB798" s="401"/>
    </row>
    <row r="799" spans="12:28" ht="19.05" customHeight="1">
      <c r="L799" s="400"/>
      <c r="O799" s="401"/>
      <c r="P799" s="401"/>
      <c r="R799" s="401"/>
      <c r="S799" s="401"/>
      <c r="T799" s="401"/>
      <c r="U799" s="401"/>
      <c r="V799" s="401"/>
      <c r="W799" s="401"/>
      <c r="X799" s="401"/>
      <c r="Y799" s="401"/>
      <c r="Z799" s="401"/>
      <c r="AA799" s="401"/>
      <c r="AB799" s="401"/>
    </row>
    <row r="800" spans="12:28" ht="19.05" customHeight="1">
      <c r="L800" s="400"/>
      <c r="O800" s="401"/>
      <c r="P800" s="401"/>
      <c r="R800" s="401"/>
      <c r="S800" s="401"/>
      <c r="T800" s="401"/>
      <c r="U800" s="401"/>
      <c r="V800" s="401"/>
      <c r="W800" s="401"/>
      <c r="X800" s="401"/>
      <c r="Y800" s="401"/>
      <c r="Z800" s="401"/>
      <c r="AA800" s="401"/>
      <c r="AB800" s="401"/>
    </row>
    <row r="801" spans="12:28" ht="19.05" customHeight="1">
      <c r="L801" s="400"/>
      <c r="O801" s="401"/>
      <c r="P801" s="401"/>
      <c r="R801" s="401"/>
      <c r="S801" s="401"/>
      <c r="T801" s="401"/>
      <c r="U801" s="401"/>
      <c r="V801" s="401"/>
      <c r="W801" s="401"/>
      <c r="X801" s="401"/>
      <c r="Y801" s="401"/>
      <c r="Z801" s="401"/>
      <c r="AA801" s="401"/>
      <c r="AB801" s="401"/>
    </row>
    <row r="802" spans="12:28" ht="19.05" customHeight="1">
      <c r="L802" s="400"/>
      <c r="O802" s="401"/>
      <c r="P802" s="401"/>
      <c r="R802" s="401"/>
      <c r="S802" s="401"/>
      <c r="T802" s="401"/>
      <c r="U802" s="401"/>
      <c r="V802" s="401"/>
      <c r="W802" s="401"/>
      <c r="X802" s="401"/>
      <c r="Y802" s="401"/>
      <c r="Z802" s="401"/>
      <c r="AA802" s="401"/>
      <c r="AB802" s="401"/>
    </row>
    <row r="803" spans="12:28" ht="19.05" customHeight="1">
      <c r="L803" s="400"/>
      <c r="O803" s="401"/>
      <c r="P803" s="401"/>
      <c r="R803" s="401"/>
      <c r="S803" s="401"/>
      <c r="T803" s="401"/>
      <c r="U803" s="401"/>
      <c r="V803" s="401"/>
      <c r="W803" s="401"/>
      <c r="X803" s="401"/>
      <c r="Y803" s="401"/>
      <c r="Z803" s="401"/>
      <c r="AA803" s="401"/>
      <c r="AB803" s="401"/>
    </row>
    <row r="804" spans="12:28" ht="19.05" customHeight="1">
      <c r="L804" s="400"/>
      <c r="O804" s="401"/>
      <c r="P804" s="401"/>
      <c r="R804" s="401"/>
      <c r="S804" s="401"/>
      <c r="T804" s="401"/>
      <c r="U804" s="401"/>
      <c r="V804" s="401"/>
      <c r="W804" s="401"/>
      <c r="X804" s="401"/>
      <c r="Y804" s="401"/>
      <c r="Z804" s="401"/>
      <c r="AA804" s="401"/>
      <c r="AB804" s="401"/>
    </row>
    <row r="805" spans="12:28" ht="19.05" customHeight="1">
      <c r="L805" s="400"/>
      <c r="O805" s="401"/>
      <c r="P805" s="401"/>
      <c r="R805" s="401"/>
      <c r="S805" s="401"/>
      <c r="T805" s="401"/>
      <c r="U805" s="401"/>
      <c r="V805" s="401"/>
      <c r="W805" s="401"/>
      <c r="X805" s="401"/>
      <c r="Y805" s="401"/>
      <c r="Z805" s="401"/>
      <c r="AA805" s="401"/>
      <c r="AB805" s="401"/>
    </row>
    <row r="806" spans="12:28" ht="19.05" customHeight="1">
      <c r="L806" s="400"/>
      <c r="O806" s="401"/>
      <c r="P806" s="401"/>
      <c r="R806" s="401"/>
      <c r="S806" s="401"/>
      <c r="T806" s="401"/>
      <c r="U806" s="401"/>
      <c r="V806" s="401"/>
      <c r="W806" s="401"/>
      <c r="X806" s="401"/>
      <c r="Y806" s="401"/>
      <c r="Z806" s="401"/>
      <c r="AA806" s="401"/>
      <c r="AB806" s="401"/>
    </row>
    <row r="807" spans="12:28" ht="19.05" customHeight="1">
      <c r="L807" s="400"/>
      <c r="O807" s="401"/>
      <c r="P807" s="401"/>
      <c r="R807" s="401"/>
      <c r="S807" s="401"/>
      <c r="T807" s="401"/>
      <c r="U807" s="401"/>
      <c r="V807" s="401"/>
      <c r="W807" s="401"/>
      <c r="X807" s="401"/>
      <c r="Y807" s="401"/>
      <c r="Z807" s="401"/>
      <c r="AA807" s="401"/>
      <c r="AB807" s="401"/>
    </row>
    <row r="808" spans="12:28" ht="19.05" customHeight="1">
      <c r="L808" s="400"/>
      <c r="O808" s="401"/>
      <c r="P808" s="401"/>
      <c r="R808" s="401"/>
      <c r="S808" s="401"/>
      <c r="T808" s="401"/>
      <c r="U808" s="401"/>
      <c r="V808" s="401"/>
      <c r="W808" s="401"/>
      <c r="X808" s="401"/>
      <c r="Y808" s="401"/>
      <c r="Z808" s="401"/>
      <c r="AA808" s="401"/>
      <c r="AB808" s="401"/>
    </row>
    <row r="809" spans="12:28" ht="19.05" customHeight="1">
      <c r="L809" s="400"/>
      <c r="O809" s="401"/>
      <c r="P809" s="401"/>
      <c r="R809" s="401"/>
      <c r="S809" s="401"/>
      <c r="T809" s="401"/>
      <c r="U809" s="401"/>
      <c r="V809" s="401"/>
      <c r="W809" s="401"/>
      <c r="X809" s="401"/>
      <c r="Y809" s="401"/>
      <c r="Z809" s="401"/>
      <c r="AA809" s="401"/>
      <c r="AB809" s="401"/>
    </row>
    <row r="810" spans="12:28" ht="19.05" customHeight="1">
      <c r="L810" s="400"/>
      <c r="O810" s="401"/>
      <c r="P810" s="401"/>
      <c r="R810" s="401"/>
      <c r="S810" s="401"/>
      <c r="T810" s="401"/>
      <c r="U810" s="401"/>
      <c r="V810" s="401"/>
      <c r="W810" s="401"/>
      <c r="X810" s="401"/>
      <c r="Y810" s="401"/>
      <c r="Z810" s="401"/>
      <c r="AA810" s="401"/>
      <c r="AB810" s="401"/>
    </row>
    <row r="811" spans="12:28" ht="19.05" customHeight="1">
      <c r="L811" s="400"/>
      <c r="O811" s="401"/>
      <c r="P811" s="401"/>
      <c r="R811" s="401"/>
      <c r="S811" s="401"/>
      <c r="T811" s="401"/>
      <c r="U811" s="401"/>
      <c r="V811" s="401"/>
      <c r="W811" s="401"/>
      <c r="X811" s="401"/>
      <c r="Y811" s="401"/>
      <c r="Z811" s="401"/>
      <c r="AA811" s="401"/>
      <c r="AB811" s="401"/>
    </row>
    <row r="812" spans="12:28" ht="19.05" customHeight="1">
      <c r="L812" s="400"/>
      <c r="O812" s="401"/>
      <c r="P812" s="401"/>
      <c r="R812" s="401"/>
      <c r="S812" s="401"/>
      <c r="T812" s="401"/>
      <c r="U812" s="401"/>
      <c r="V812" s="401"/>
      <c r="W812" s="401"/>
      <c r="X812" s="401"/>
      <c r="Y812" s="401"/>
      <c r="Z812" s="401"/>
      <c r="AA812" s="401"/>
      <c r="AB812" s="401"/>
    </row>
    <row r="813" spans="12:28" ht="19.05" customHeight="1">
      <c r="L813" s="400"/>
      <c r="O813" s="401"/>
      <c r="P813" s="401"/>
      <c r="R813" s="401"/>
      <c r="S813" s="401"/>
      <c r="T813" s="401"/>
      <c r="U813" s="401"/>
      <c r="V813" s="401"/>
      <c r="W813" s="401"/>
      <c r="X813" s="401"/>
      <c r="Y813" s="401"/>
      <c r="Z813" s="401"/>
      <c r="AA813" s="401"/>
      <c r="AB813" s="401"/>
    </row>
    <row r="814" spans="12:28" ht="19.05" customHeight="1">
      <c r="L814" s="400"/>
      <c r="O814" s="401"/>
      <c r="P814" s="401"/>
      <c r="R814" s="401"/>
      <c r="S814" s="401"/>
      <c r="T814" s="401"/>
      <c r="U814" s="401"/>
      <c r="V814" s="401"/>
      <c r="W814" s="401"/>
      <c r="X814" s="401"/>
      <c r="Y814" s="401"/>
      <c r="Z814" s="401"/>
      <c r="AA814" s="401"/>
      <c r="AB814" s="401"/>
    </row>
    <row r="815" spans="12:28" ht="19.05" customHeight="1">
      <c r="L815" s="400"/>
      <c r="O815" s="401"/>
      <c r="P815" s="401"/>
      <c r="R815" s="401"/>
      <c r="S815" s="401"/>
      <c r="T815" s="401"/>
      <c r="U815" s="401"/>
      <c r="V815" s="401"/>
      <c r="W815" s="401"/>
      <c r="X815" s="401"/>
      <c r="Y815" s="401"/>
      <c r="Z815" s="401"/>
      <c r="AA815" s="401"/>
      <c r="AB815" s="401"/>
    </row>
    <row r="816" spans="12:28" ht="19.05" customHeight="1">
      <c r="L816" s="400"/>
      <c r="O816" s="401"/>
      <c r="P816" s="401"/>
      <c r="R816" s="401"/>
      <c r="S816" s="401"/>
      <c r="T816" s="401"/>
      <c r="U816" s="401"/>
      <c r="V816" s="401"/>
      <c r="W816" s="401"/>
      <c r="X816" s="401"/>
      <c r="Y816" s="401"/>
      <c r="Z816" s="401"/>
      <c r="AA816" s="401"/>
      <c r="AB816" s="401"/>
    </row>
    <row r="817" spans="12:28" ht="19.05" customHeight="1">
      <c r="L817" s="400"/>
      <c r="O817" s="401"/>
      <c r="P817" s="401"/>
      <c r="R817" s="401"/>
      <c r="S817" s="401"/>
      <c r="T817" s="401"/>
      <c r="U817" s="401"/>
      <c r="V817" s="401"/>
      <c r="W817" s="401"/>
      <c r="X817" s="401"/>
      <c r="Y817" s="401"/>
      <c r="Z817" s="401"/>
      <c r="AA817" s="401"/>
      <c r="AB817" s="401"/>
    </row>
    <row r="818" spans="12:28" ht="19.05" customHeight="1">
      <c r="L818" s="400"/>
      <c r="O818" s="401"/>
      <c r="P818" s="401"/>
      <c r="R818" s="401"/>
      <c r="S818" s="401"/>
      <c r="T818" s="401"/>
      <c r="U818" s="401"/>
      <c r="V818" s="401"/>
      <c r="W818" s="401"/>
      <c r="X818" s="401"/>
      <c r="Y818" s="401"/>
      <c r="Z818" s="401"/>
      <c r="AA818" s="401"/>
      <c r="AB818" s="401"/>
    </row>
    <row r="819" spans="12:28" ht="19.05" customHeight="1">
      <c r="L819" s="400"/>
      <c r="O819" s="401"/>
      <c r="P819" s="401"/>
      <c r="R819" s="401"/>
      <c r="S819" s="401"/>
      <c r="T819" s="401"/>
      <c r="U819" s="401"/>
      <c r="V819" s="401"/>
      <c r="W819" s="401"/>
      <c r="X819" s="401"/>
      <c r="Y819" s="401"/>
      <c r="Z819" s="401"/>
      <c r="AA819" s="401"/>
      <c r="AB819" s="401"/>
    </row>
    <row r="820" spans="12:28" ht="19.05" customHeight="1">
      <c r="L820" s="400"/>
      <c r="O820" s="401"/>
      <c r="P820" s="401"/>
      <c r="R820" s="401"/>
      <c r="S820" s="401"/>
      <c r="T820" s="401"/>
      <c r="U820" s="401"/>
      <c r="V820" s="401"/>
      <c r="W820" s="401"/>
      <c r="X820" s="401"/>
      <c r="Y820" s="401"/>
      <c r="Z820" s="401"/>
      <c r="AA820" s="401"/>
      <c r="AB820" s="401"/>
    </row>
    <row r="821" spans="12:28" ht="19.05" customHeight="1">
      <c r="L821" s="400"/>
      <c r="O821" s="401"/>
      <c r="P821" s="401"/>
      <c r="R821" s="401"/>
      <c r="S821" s="401"/>
      <c r="T821" s="401"/>
      <c r="U821" s="401"/>
      <c r="V821" s="401"/>
      <c r="W821" s="401"/>
      <c r="X821" s="401"/>
      <c r="Y821" s="401"/>
      <c r="Z821" s="401"/>
      <c r="AA821" s="401"/>
      <c r="AB821" s="401"/>
    </row>
    <row r="822" spans="12:28" ht="19.05" customHeight="1">
      <c r="L822" s="400"/>
      <c r="O822" s="401"/>
      <c r="P822" s="401"/>
      <c r="R822" s="401"/>
      <c r="S822" s="401"/>
      <c r="T822" s="401"/>
      <c r="U822" s="401"/>
      <c r="V822" s="401"/>
      <c r="W822" s="401"/>
      <c r="X822" s="401"/>
      <c r="Y822" s="401"/>
      <c r="Z822" s="401"/>
      <c r="AA822" s="401"/>
      <c r="AB822" s="401"/>
    </row>
    <row r="823" spans="12:28" ht="19.05" customHeight="1">
      <c r="L823" s="400"/>
      <c r="O823" s="401"/>
      <c r="P823" s="401"/>
      <c r="R823" s="401"/>
      <c r="S823" s="401"/>
      <c r="T823" s="401"/>
      <c r="U823" s="401"/>
      <c r="V823" s="401"/>
      <c r="W823" s="401"/>
      <c r="X823" s="401"/>
      <c r="Y823" s="401"/>
      <c r="Z823" s="401"/>
      <c r="AA823" s="401"/>
      <c r="AB823" s="401"/>
    </row>
    <row r="824" spans="12:28" ht="19.05" customHeight="1">
      <c r="L824" s="400"/>
      <c r="O824" s="401"/>
      <c r="P824" s="401"/>
      <c r="R824" s="401"/>
      <c r="S824" s="401"/>
      <c r="T824" s="401"/>
      <c r="U824" s="401"/>
      <c r="V824" s="401"/>
      <c r="W824" s="401"/>
      <c r="X824" s="401"/>
      <c r="Y824" s="401"/>
      <c r="Z824" s="401"/>
      <c r="AA824" s="401"/>
      <c r="AB824" s="401"/>
    </row>
    <row r="825" spans="12:28" ht="19.05" customHeight="1">
      <c r="L825" s="400"/>
      <c r="O825" s="401"/>
      <c r="P825" s="401"/>
      <c r="R825" s="401"/>
      <c r="S825" s="401"/>
      <c r="T825" s="401"/>
      <c r="U825" s="401"/>
      <c r="V825" s="401"/>
      <c r="W825" s="401"/>
      <c r="X825" s="401"/>
      <c r="Y825" s="401"/>
      <c r="Z825" s="401"/>
      <c r="AA825" s="401"/>
      <c r="AB825" s="401"/>
    </row>
    <row r="826" spans="12:28" ht="19.05" customHeight="1">
      <c r="L826" s="400"/>
      <c r="O826" s="401"/>
      <c r="P826" s="401"/>
      <c r="R826" s="401"/>
      <c r="S826" s="401"/>
      <c r="T826" s="401"/>
      <c r="U826" s="401"/>
      <c r="V826" s="401"/>
      <c r="W826" s="401"/>
      <c r="X826" s="401"/>
      <c r="Y826" s="401"/>
      <c r="Z826" s="401"/>
      <c r="AA826" s="401"/>
      <c r="AB826" s="401"/>
    </row>
    <row r="827" spans="12:28" ht="19.05" customHeight="1">
      <c r="L827" s="400"/>
      <c r="O827" s="401"/>
      <c r="P827" s="401"/>
      <c r="R827" s="401"/>
      <c r="S827" s="401"/>
      <c r="T827" s="401"/>
      <c r="U827" s="401"/>
      <c r="V827" s="401"/>
      <c r="W827" s="401"/>
      <c r="X827" s="401"/>
      <c r="Y827" s="401"/>
      <c r="Z827" s="401"/>
      <c r="AA827" s="401"/>
      <c r="AB827" s="401"/>
    </row>
    <row r="828" spans="12:28" ht="19.05" customHeight="1">
      <c r="L828" s="400"/>
      <c r="O828" s="401"/>
      <c r="P828" s="401"/>
      <c r="R828" s="401"/>
      <c r="S828" s="401"/>
      <c r="T828" s="401"/>
      <c r="U828" s="401"/>
      <c r="V828" s="401"/>
      <c r="W828" s="401"/>
      <c r="X828" s="401"/>
      <c r="Y828" s="401"/>
      <c r="Z828" s="401"/>
      <c r="AA828" s="401"/>
      <c r="AB828" s="401"/>
    </row>
    <row r="829" spans="12:28" ht="19.05" customHeight="1">
      <c r="L829" s="400"/>
      <c r="O829" s="401"/>
      <c r="P829" s="401"/>
      <c r="R829" s="401"/>
      <c r="S829" s="401"/>
      <c r="T829" s="401"/>
      <c r="U829" s="401"/>
      <c r="V829" s="401"/>
      <c r="W829" s="401"/>
      <c r="X829" s="401"/>
      <c r="Y829" s="401"/>
      <c r="Z829" s="401"/>
      <c r="AA829" s="401"/>
      <c r="AB829" s="401"/>
    </row>
    <row r="830" spans="12:28" ht="19.05" customHeight="1">
      <c r="L830" s="400"/>
      <c r="O830" s="401"/>
      <c r="P830" s="401"/>
      <c r="R830" s="401"/>
      <c r="S830" s="401"/>
      <c r="T830" s="401"/>
      <c r="U830" s="401"/>
      <c r="V830" s="401"/>
      <c r="W830" s="401"/>
      <c r="X830" s="401"/>
      <c r="Y830" s="401"/>
      <c r="Z830" s="401"/>
      <c r="AA830" s="401"/>
      <c r="AB830" s="401"/>
    </row>
    <row r="831" spans="12:28" ht="19.05" customHeight="1">
      <c r="L831" s="400"/>
      <c r="O831" s="401"/>
      <c r="P831" s="401"/>
      <c r="R831" s="401"/>
      <c r="S831" s="401"/>
      <c r="T831" s="401"/>
      <c r="U831" s="401"/>
      <c r="V831" s="401"/>
      <c r="W831" s="401"/>
      <c r="X831" s="401"/>
      <c r="Y831" s="401"/>
      <c r="Z831" s="401"/>
      <c r="AA831" s="401"/>
      <c r="AB831" s="401"/>
    </row>
    <row r="832" spans="12:28" ht="19.05" customHeight="1">
      <c r="L832" s="400"/>
      <c r="O832" s="401"/>
      <c r="P832" s="401"/>
      <c r="R832" s="401"/>
      <c r="S832" s="401"/>
      <c r="T832" s="401"/>
      <c r="U832" s="401"/>
      <c r="V832" s="401"/>
      <c r="W832" s="401"/>
      <c r="X832" s="401"/>
      <c r="Y832" s="401"/>
      <c r="Z832" s="401"/>
      <c r="AA832" s="401"/>
      <c r="AB832" s="401"/>
    </row>
    <row r="833" spans="12:28" ht="19.05" customHeight="1">
      <c r="L833" s="400"/>
      <c r="O833" s="401"/>
      <c r="P833" s="401"/>
      <c r="R833" s="401"/>
      <c r="S833" s="401"/>
      <c r="T833" s="401"/>
      <c r="U833" s="401"/>
      <c r="V833" s="401"/>
      <c r="W833" s="401"/>
      <c r="X833" s="401"/>
      <c r="Y833" s="401"/>
      <c r="Z833" s="401"/>
      <c r="AA833" s="401"/>
      <c r="AB833" s="401"/>
    </row>
    <row r="834" spans="12:28" ht="19.05" customHeight="1">
      <c r="L834" s="400"/>
      <c r="O834" s="401"/>
      <c r="P834" s="401"/>
      <c r="R834" s="401"/>
      <c r="S834" s="401"/>
      <c r="T834" s="401"/>
      <c r="U834" s="401"/>
      <c r="V834" s="401"/>
      <c r="W834" s="401"/>
      <c r="X834" s="401"/>
      <c r="Y834" s="401"/>
      <c r="Z834" s="401"/>
      <c r="AA834" s="401"/>
      <c r="AB834" s="401"/>
    </row>
    <row r="835" spans="12:28" ht="19.05" customHeight="1">
      <c r="L835" s="400"/>
      <c r="O835" s="401"/>
      <c r="P835" s="401"/>
      <c r="R835" s="401"/>
      <c r="S835" s="401"/>
      <c r="T835" s="401"/>
      <c r="U835" s="401"/>
      <c r="V835" s="401"/>
      <c r="W835" s="401"/>
      <c r="X835" s="401"/>
      <c r="Y835" s="401"/>
      <c r="Z835" s="401"/>
      <c r="AA835" s="401"/>
      <c r="AB835" s="401"/>
    </row>
    <row r="836" spans="12:28" ht="19.05" customHeight="1">
      <c r="L836" s="400"/>
      <c r="O836" s="401"/>
      <c r="P836" s="401"/>
      <c r="R836" s="401"/>
      <c r="S836" s="401"/>
      <c r="T836" s="401"/>
      <c r="U836" s="401"/>
      <c r="V836" s="401"/>
      <c r="W836" s="401"/>
      <c r="X836" s="401"/>
      <c r="Y836" s="401"/>
      <c r="Z836" s="401"/>
      <c r="AA836" s="401"/>
      <c r="AB836" s="401"/>
    </row>
    <row r="837" spans="12:28" ht="19.05" customHeight="1">
      <c r="L837" s="400"/>
      <c r="O837" s="401"/>
      <c r="P837" s="401"/>
      <c r="R837" s="401"/>
      <c r="S837" s="401"/>
      <c r="T837" s="401"/>
      <c r="U837" s="401"/>
      <c r="V837" s="401"/>
      <c r="W837" s="401"/>
      <c r="X837" s="401"/>
      <c r="Y837" s="401"/>
      <c r="Z837" s="401"/>
      <c r="AA837" s="401"/>
      <c r="AB837" s="401"/>
    </row>
    <row r="838" spans="12:28" ht="19.05" customHeight="1">
      <c r="L838" s="400"/>
      <c r="O838" s="401"/>
      <c r="P838" s="401"/>
      <c r="R838" s="401"/>
      <c r="S838" s="401"/>
      <c r="T838" s="401"/>
      <c r="U838" s="401"/>
      <c r="V838" s="401"/>
      <c r="W838" s="401"/>
      <c r="X838" s="401"/>
      <c r="Y838" s="401"/>
      <c r="Z838" s="401"/>
      <c r="AA838" s="401"/>
      <c r="AB838" s="401"/>
    </row>
    <row r="839" spans="12:28" ht="19.05" customHeight="1">
      <c r="L839" s="400"/>
      <c r="O839" s="401"/>
      <c r="P839" s="401"/>
      <c r="R839" s="401"/>
      <c r="S839" s="401"/>
      <c r="T839" s="401"/>
      <c r="U839" s="401"/>
      <c r="V839" s="401"/>
      <c r="W839" s="401"/>
      <c r="X839" s="401"/>
      <c r="Y839" s="401"/>
      <c r="Z839" s="401"/>
      <c r="AA839" s="401"/>
      <c r="AB839" s="401"/>
    </row>
    <row r="840" spans="12:28" ht="19.05" customHeight="1">
      <c r="L840" s="400"/>
      <c r="O840" s="401"/>
      <c r="P840" s="401"/>
      <c r="R840" s="401"/>
      <c r="S840" s="401"/>
      <c r="T840" s="401"/>
      <c r="U840" s="401"/>
      <c r="V840" s="401"/>
      <c r="W840" s="401"/>
      <c r="X840" s="401"/>
      <c r="Y840" s="401"/>
      <c r="Z840" s="401"/>
      <c r="AA840" s="401"/>
      <c r="AB840" s="401"/>
    </row>
    <row r="841" spans="12:28" ht="19.05" customHeight="1">
      <c r="L841" s="400"/>
      <c r="O841" s="401"/>
      <c r="P841" s="401"/>
      <c r="R841" s="401"/>
      <c r="S841" s="401"/>
      <c r="T841" s="401"/>
      <c r="U841" s="401"/>
      <c r="V841" s="401"/>
      <c r="W841" s="401"/>
      <c r="X841" s="401"/>
      <c r="Y841" s="401"/>
      <c r="Z841" s="401"/>
      <c r="AA841" s="401"/>
      <c r="AB841" s="401"/>
    </row>
    <row r="842" spans="12:28" ht="19.05" customHeight="1">
      <c r="L842" s="400"/>
      <c r="O842" s="401"/>
      <c r="P842" s="401"/>
      <c r="R842" s="401"/>
      <c r="S842" s="401"/>
      <c r="T842" s="401"/>
      <c r="U842" s="401"/>
      <c r="V842" s="401"/>
      <c r="W842" s="401"/>
      <c r="X842" s="401"/>
      <c r="Y842" s="401"/>
      <c r="Z842" s="401"/>
      <c r="AA842" s="401"/>
      <c r="AB842" s="401"/>
    </row>
    <row r="843" spans="12:28" ht="19.05" customHeight="1">
      <c r="L843" s="400"/>
      <c r="O843" s="401"/>
      <c r="P843" s="401"/>
      <c r="R843" s="401"/>
      <c r="S843" s="401"/>
      <c r="T843" s="401"/>
      <c r="U843" s="401"/>
      <c r="V843" s="401"/>
      <c r="W843" s="401"/>
      <c r="X843" s="401"/>
      <c r="Y843" s="401"/>
      <c r="Z843" s="401"/>
      <c r="AA843" s="401"/>
      <c r="AB843" s="401"/>
    </row>
    <row r="844" spans="12:28" ht="19.05" customHeight="1">
      <c r="L844" s="400"/>
      <c r="O844" s="401"/>
      <c r="P844" s="401"/>
      <c r="R844" s="401"/>
      <c r="S844" s="401"/>
      <c r="T844" s="401"/>
      <c r="U844" s="401"/>
      <c r="V844" s="401"/>
      <c r="W844" s="401"/>
      <c r="X844" s="401"/>
      <c r="Y844" s="401"/>
      <c r="Z844" s="401"/>
      <c r="AA844" s="401"/>
      <c r="AB844" s="401"/>
    </row>
    <row r="845" spans="12:28" ht="19.05" customHeight="1">
      <c r="L845" s="400"/>
      <c r="O845" s="401"/>
      <c r="P845" s="401"/>
      <c r="R845" s="401"/>
      <c r="S845" s="401"/>
      <c r="T845" s="401"/>
      <c r="U845" s="401"/>
      <c r="V845" s="401"/>
      <c r="W845" s="401"/>
      <c r="X845" s="401"/>
      <c r="Y845" s="401"/>
      <c r="Z845" s="401"/>
      <c r="AA845" s="401"/>
      <c r="AB845" s="401"/>
    </row>
    <row r="846" spans="12:28" ht="19.05" customHeight="1">
      <c r="L846" s="400"/>
      <c r="O846" s="401"/>
      <c r="P846" s="401"/>
      <c r="R846" s="401"/>
      <c r="S846" s="401"/>
      <c r="T846" s="401"/>
      <c r="U846" s="401"/>
      <c r="V846" s="401"/>
      <c r="W846" s="401"/>
      <c r="X846" s="401"/>
      <c r="Y846" s="401"/>
      <c r="Z846" s="401"/>
      <c r="AA846" s="401"/>
      <c r="AB846" s="401"/>
    </row>
    <row r="847" spans="12:28" ht="19.05" customHeight="1">
      <c r="L847" s="400"/>
      <c r="O847" s="401"/>
      <c r="P847" s="401"/>
      <c r="R847" s="401"/>
      <c r="S847" s="401"/>
      <c r="T847" s="401"/>
      <c r="U847" s="401"/>
      <c r="V847" s="401"/>
      <c r="W847" s="401"/>
      <c r="X847" s="401"/>
      <c r="Y847" s="401"/>
      <c r="Z847" s="401"/>
      <c r="AA847" s="401"/>
      <c r="AB847" s="401"/>
    </row>
    <row r="848" spans="12:28" ht="19.05" customHeight="1">
      <c r="L848" s="400"/>
      <c r="O848" s="401"/>
      <c r="P848" s="401"/>
      <c r="R848" s="401"/>
      <c r="S848" s="401"/>
      <c r="T848" s="401"/>
      <c r="U848" s="401"/>
      <c r="V848" s="401"/>
      <c r="W848" s="401"/>
      <c r="X848" s="401"/>
      <c r="Y848" s="401"/>
      <c r="Z848" s="401"/>
      <c r="AA848" s="401"/>
      <c r="AB848" s="401"/>
    </row>
    <row r="849" spans="12:28" ht="19.05" customHeight="1">
      <c r="L849" s="400"/>
      <c r="O849" s="401"/>
      <c r="P849" s="401"/>
      <c r="R849" s="401"/>
      <c r="S849" s="401"/>
      <c r="T849" s="401"/>
      <c r="U849" s="401"/>
      <c r="V849" s="401"/>
      <c r="W849" s="401"/>
      <c r="X849" s="401"/>
      <c r="Y849" s="401"/>
      <c r="Z849" s="401"/>
      <c r="AA849" s="401"/>
      <c r="AB849" s="401"/>
    </row>
    <row r="850" spans="12:28" ht="19.05" customHeight="1">
      <c r="L850" s="400"/>
      <c r="O850" s="401"/>
      <c r="P850" s="401"/>
      <c r="R850" s="401"/>
      <c r="S850" s="401"/>
      <c r="T850" s="401"/>
      <c r="U850" s="401"/>
      <c r="V850" s="401"/>
      <c r="W850" s="401"/>
      <c r="X850" s="401"/>
      <c r="Y850" s="401"/>
      <c r="Z850" s="401"/>
      <c r="AA850" s="401"/>
      <c r="AB850" s="401"/>
    </row>
    <row r="851" spans="12:28" ht="19.05" customHeight="1">
      <c r="L851" s="400"/>
      <c r="O851" s="401"/>
      <c r="P851" s="401"/>
      <c r="R851" s="401"/>
      <c r="S851" s="401"/>
      <c r="T851" s="401"/>
      <c r="U851" s="401"/>
      <c r="V851" s="401"/>
      <c r="W851" s="401"/>
      <c r="X851" s="401"/>
      <c r="Y851" s="401"/>
      <c r="Z851" s="401"/>
      <c r="AA851" s="401"/>
      <c r="AB851" s="401"/>
    </row>
    <row r="852" spans="12:28" ht="19.05" customHeight="1">
      <c r="L852" s="400"/>
      <c r="O852" s="401"/>
      <c r="P852" s="401"/>
      <c r="R852" s="401"/>
      <c r="S852" s="401"/>
      <c r="T852" s="401"/>
      <c r="U852" s="401"/>
      <c r="V852" s="401"/>
      <c r="W852" s="401"/>
      <c r="X852" s="401"/>
      <c r="Y852" s="401"/>
      <c r="Z852" s="401"/>
      <c r="AA852" s="401"/>
      <c r="AB852" s="401"/>
    </row>
    <row r="853" spans="12:28" ht="19.05" customHeight="1">
      <c r="L853" s="400"/>
      <c r="O853" s="401"/>
      <c r="P853" s="401"/>
      <c r="R853" s="401"/>
      <c r="S853" s="401"/>
      <c r="T853" s="401"/>
      <c r="U853" s="401"/>
      <c r="V853" s="401"/>
      <c r="W853" s="401"/>
      <c r="X853" s="401"/>
      <c r="Y853" s="401"/>
      <c r="Z853" s="401"/>
      <c r="AA853" s="401"/>
      <c r="AB853" s="401"/>
    </row>
    <row r="854" spans="12:28" ht="19.05" customHeight="1">
      <c r="O854" s="401"/>
      <c r="P854" s="401"/>
      <c r="R854" s="401"/>
      <c r="S854" s="401"/>
      <c r="T854" s="401"/>
      <c r="U854" s="401"/>
      <c r="V854" s="401"/>
      <c r="W854" s="401"/>
      <c r="X854" s="401"/>
      <c r="Y854" s="401"/>
      <c r="Z854" s="401"/>
      <c r="AA854" s="401"/>
      <c r="AB854" s="401"/>
    </row>
  </sheetData>
  <mergeCells count="13">
    <mergeCell ref="M37:M38"/>
    <mergeCell ref="J6:J7"/>
    <mergeCell ref="G6:H6"/>
    <mergeCell ref="B121:C121"/>
    <mergeCell ref="B125:C125"/>
    <mergeCell ref="B113:H113"/>
    <mergeCell ref="E6:F6"/>
    <mergeCell ref="B132:C132"/>
    <mergeCell ref="B139:C139"/>
    <mergeCell ref="B154:C154"/>
    <mergeCell ref="A6:A7"/>
    <mergeCell ref="B6:B7"/>
    <mergeCell ref="C6:D6"/>
  </mergeCells>
  <printOptions horizontalCentered="1"/>
  <pageMargins left="0" right="0" top="0.59055118110236227" bottom="0.19685039370078741" header="0.19685039370078741" footer="0.23622047244094491"/>
  <pageSetup paperSize="9" scale="96" orientation="landscape" r:id="rId1"/>
  <headerFooter alignWithMargins="0">
    <oddHeader>&amp;Rแบบ ปร.4 แผ่นที่ &amp;P/&amp;N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D3385-B5CE-4590-9E4D-D28B50BE35CF}">
  <dimension ref="A1:F31"/>
  <sheetViews>
    <sheetView workbookViewId="0">
      <selection activeCell="B12" sqref="B12"/>
    </sheetView>
  </sheetViews>
  <sheetFormatPr defaultRowHeight="21"/>
  <cols>
    <col min="1" max="1" width="15.75" customWidth="1"/>
    <col min="2" max="2" width="15.375" customWidth="1"/>
    <col min="3" max="3" width="15.875" customWidth="1"/>
    <col min="4" max="4" width="18" customWidth="1"/>
    <col min="5" max="5" width="17.875" customWidth="1"/>
    <col min="6" max="6" width="15" customWidth="1"/>
    <col min="257" max="257" width="15.75" customWidth="1"/>
    <col min="258" max="258" width="15.375" customWidth="1"/>
    <col min="259" max="259" width="15.875" customWidth="1"/>
    <col min="260" max="260" width="18" customWidth="1"/>
    <col min="261" max="261" width="17.875" customWidth="1"/>
    <col min="262" max="262" width="15" customWidth="1"/>
    <col min="513" max="513" width="15.75" customWidth="1"/>
    <col min="514" max="514" width="15.375" customWidth="1"/>
    <col min="515" max="515" width="15.875" customWidth="1"/>
    <col min="516" max="516" width="18" customWidth="1"/>
    <col min="517" max="517" width="17.875" customWidth="1"/>
    <col min="518" max="518" width="15" customWidth="1"/>
    <col min="769" max="769" width="15.75" customWidth="1"/>
    <col min="770" max="770" width="15.375" customWidth="1"/>
    <col min="771" max="771" width="15.875" customWidth="1"/>
    <col min="772" max="772" width="18" customWidth="1"/>
    <col min="773" max="773" width="17.875" customWidth="1"/>
    <col min="774" max="774" width="15" customWidth="1"/>
    <col min="1025" max="1025" width="15.75" customWidth="1"/>
    <col min="1026" max="1026" width="15.375" customWidth="1"/>
    <col min="1027" max="1027" width="15.875" customWidth="1"/>
    <col min="1028" max="1028" width="18" customWidth="1"/>
    <col min="1029" max="1029" width="17.875" customWidth="1"/>
    <col min="1030" max="1030" width="15" customWidth="1"/>
    <col min="1281" max="1281" width="15.75" customWidth="1"/>
    <col min="1282" max="1282" width="15.375" customWidth="1"/>
    <col min="1283" max="1283" width="15.875" customWidth="1"/>
    <col min="1284" max="1284" width="18" customWidth="1"/>
    <col min="1285" max="1285" width="17.875" customWidth="1"/>
    <col min="1286" max="1286" width="15" customWidth="1"/>
    <col min="1537" max="1537" width="15.75" customWidth="1"/>
    <col min="1538" max="1538" width="15.375" customWidth="1"/>
    <col min="1539" max="1539" width="15.875" customWidth="1"/>
    <col min="1540" max="1540" width="18" customWidth="1"/>
    <col min="1541" max="1541" width="17.875" customWidth="1"/>
    <col min="1542" max="1542" width="15" customWidth="1"/>
    <col min="1793" max="1793" width="15.75" customWidth="1"/>
    <col min="1794" max="1794" width="15.375" customWidth="1"/>
    <col min="1795" max="1795" width="15.875" customWidth="1"/>
    <col min="1796" max="1796" width="18" customWidth="1"/>
    <col min="1797" max="1797" width="17.875" customWidth="1"/>
    <col min="1798" max="1798" width="15" customWidth="1"/>
    <col min="2049" max="2049" width="15.75" customWidth="1"/>
    <col min="2050" max="2050" width="15.375" customWidth="1"/>
    <col min="2051" max="2051" width="15.875" customWidth="1"/>
    <col min="2052" max="2052" width="18" customWidth="1"/>
    <col min="2053" max="2053" width="17.875" customWidth="1"/>
    <col min="2054" max="2054" width="15" customWidth="1"/>
    <col min="2305" max="2305" width="15.75" customWidth="1"/>
    <col min="2306" max="2306" width="15.375" customWidth="1"/>
    <col min="2307" max="2307" width="15.875" customWidth="1"/>
    <col min="2308" max="2308" width="18" customWidth="1"/>
    <col min="2309" max="2309" width="17.875" customWidth="1"/>
    <col min="2310" max="2310" width="15" customWidth="1"/>
    <col min="2561" max="2561" width="15.75" customWidth="1"/>
    <col min="2562" max="2562" width="15.375" customWidth="1"/>
    <col min="2563" max="2563" width="15.875" customWidth="1"/>
    <col min="2564" max="2564" width="18" customWidth="1"/>
    <col min="2565" max="2565" width="17.875" customWidth="1"/>
    <col min="2566" max="2566" width="15" customWidth="1"/>
    <col min="2817" max="2817" width="15.75" customWidth="1"/>
    <col min="2818" max="2818" width="15.375" customWidth="1"/>
    <col min="2819" max="2819" width="15.875" customWidth="1"/>
    <col min="2820" max="2820" width="18" customWidth="1"/>
    <col min="2821" max="2821" width="17.875" customWidth="1"/>
    <col min="2822" max="2822" width="15" customWidth="1"/>
    <col min="3073" max="3073" width="15.75" customWidth="1"/>
    <col min="3074" max="3074" width="15.375" customWidth="1"/>
    <col min="3075" max="3075" width="15.875" customWidth="1"/>
    <col min="3076" max="3076" width="18" customWidth="1"/>
    <col min="3077" max="3077" width="17.875" customWidth="1"/>
    <col min="3078" max="3078" width="15" customWidth="1"/>
    <col min="3329" max="3329" width="15.75" customWidth="1"/>
    <col min="3330" max="3330" width="15.375" customWidth="1"/>
    <col min="3331" max="3331" width="15.875" customWidth="1"/>
    <col min="3332" max="3332" width="18" customWidth="1"/>
    <col min="3333" max="3333" width="17.875" customWidth="1"/>
    <col min="3334" max="3334" width="15" customWidth="1"/>
    <col min="3585" max="3585" width="15.75" customWidth="1"/>
    <col min="3586" max="3586" width="15.375" customWidth="1"/>
    <col min="3587" max="3587" width="15.875" customWidth="1"/>
    <col min="3588" max="3588" width="18" customWidth="1"/>
    <col min="3589" max="3589" width="17.875" customWidth="1"/>
    <col min="3590" max="3590" width="15" customWidth="1"/>
    <col min="3841" max="3841" width="15.75" customWidth="1"/>
    <col min="3842" max="3842" width="15.375" customWidth="1"/>
    <col min="3843" max="3843" width="15.875" customWidth="1"/>
    <col min="3844" max="3844" width="18" customWidth="1"/>
    <col min="3845" max="3845" width="17.875" customWidth="1"/>
    <col min="3846" max="3846" width="15" customWidth="1"/>
    <col min="4097" max="4097" width="15.75" customWidth="1"/>
    <col min="4098" max="4098" width="15.375" customWidth="1"/>
    <col min="4099" max="4099" width="15.875" customWidth="1"/>
    <col min="4100" max="4100" width="18" customWidth="1"/>
    <col min="4101" max="4101" width="17.875" customWidth="1"/>
    <col min="4102" max="4102" width="15" customWidth="1"/>
    <col min="4353" max="4353" width="15.75" customWidth="1"/>
    <col min="4354" max="4354" width="15.375" customWidth="1"/>
    <col min="4355" max="4355" width="15.875" customWidth="1"/>
    <col min="4356" max="4356" width="18" customWidth="1"/>
    <col min="4357" max="4357" width="17.875" customWidth="1"/>
    <col min="4358" max="4358" width="15" customWidth="1"/>
    <col min="4609" max="4609" width="15.75" customWidth="1"/>
    <col min="4610" max="4610" width="15.375" customWidth="1"/>
    <col min="4611" max="4611" width="15.875" customWidth="1"/>
    <col min="4612" max="4612" width="18" customWidth="1"/>
    <col min="4613" max="4613" width="17.875" customWidth="1"/>
    <col min="4614" max="4614" width="15" customWidth="1"/>
    <col min="4865" max="4865" width="15.75" customWidth="1"/>
    <col min="4866" max="4866" width="15.375" customWidth="1"/>
    <col min="4867" max="4867" width="15.875" customWidth="1"/>
    <col min="4868" max="4868" width="18" customWidth="1"/>
    <col min="4869" max="4869" width="17.875" customWidth="1"/>
    <col min="4870" max="4870" width="15" customWidth="1"/>
    <col min="5121" max="5121" width="15.75" customWidth="1"/>
    <col min="5122" max="5122" width="15.375" customWidth="1"/>
    <col min="5123" max="5123" width="15.875" customWidth="1"/>
    <col min="5124" max="5124" width="18" customWidth="1"/>
    <col min="5125" max="5125" width="17.875" customWidth="1"/>
    <col min="5126" max="5126" width="15" customWidth="1"/>
    <col min="5377" max="5377" width="15.75" customWidth="1"/>
    <col min="5378" max="5378" width="15.375" customWidth="1"/>
    <col min="5379" max="5379" width="15.875" customWidth="1"/>
    <col min="5380" max="5380" width="18" customWidth="1"/>
    <col min="5381" max="5381" width="17.875" customWidth="1"/>
    <col min="5382" max="5382" width="15" customWidth="1"/>
    <col min="5633" max="5633" width="15.75" customWidth="1"/>
    <col min="5634" max="5634" width="15.375" customWidth="1"/>
    <col min="5635" max="5635" width="15.875" customWidth="1"/>
    <col min="5636" max="5636" width="18" customWidth="1"/>
    <col min="5637" max="5637" width="17.875" customWidth="1"/>
    <col min="5638" max="5638" width="15" customWidth="1"/>
    <col min="5889" max="5889" width="15.75" customWidth="1"/>
    <col min="5890" max="5890" width="15.375" customWidth="1"/>
    <col min="5891" max="5891" width="15.875" customWidth="1"/>
    <col min="5892" max="5892" width="18" customWidth="1"/>
    <col min="5893" max="5893" width="17.875" customWidth="1"/>
    <col min="5894" max="5894" width="15" customWidth="1"/>
    <col min="6145" max="6145" width="15.75" customWidth="1"/>
    <col min="6146" max="6146" width="15.375" customWidth="1"/>
    <col min="6147" max="6147" width="15.875" customWidth="1"/>
    <col min="6148" max="6148" width="18" customWidth="1"/>
    <col min="6149" max="6149" width="17.875" customWidth="1"/>
    <col min="6150" max="6150" width="15" customWidth="1"/>
    <col min="6401" max="6401" width="15.75" customWidth="1"/>
    <col min="6402" max="6402" width="15.375" customWidth="1"/>
    <col min="6403" max="6403" width="15.875" customWidth="1"/>
    <col min="6404" max="6404" width="18" customWidth="1"/>
    <col min="6405" max="6405" width="17.875" customWidth="1"/>
    <col min="6406" max="6406" width="15" customWidth="1"/>
    <col min="6657" max="6657" width="15.75" customWidth="1"/>
    <col min="6658" max="6658" width="15.375" customWidth="1"/>
    <col min="6659" max="6659" width="15.875" customWidth="1"/>
    <col min="6660" max="6660" width="18" customWidth="1"/>
    <col min="6661" max="6661" width="17.875" customWidth="1"/>
    <col min="6662" max="6662" width="15" customWidth="1"/>
    <col min="6913" max="6913" width="15.75" customWidth="1"/>
    <col min="6914" max="6914" width="15.375" customWidth="1"/>
    <col min="6915" max="6915" width="15.875" customWidth="1"/>
    <col min="6916" max="6916" width="18" customWidth="1"/>
    <col min="6917" max="6917" width="17.875" customWidth="1"/>
    <col min="6918" max="6918" width="15" customWidth="1"/>
    <col min="7169" max="7169" width="15.75" customWidth="1"/>
    <col min="7170" max="7170" width="15.375" customWidth="1"/>
    <col min="7171" max="7171" width="15.875" customWidth="1"/>
    <col min="7172" max="7172" width="18" customWidth="1"/>
    <col min="7173" max="7173" width="17.875" customWidth="1"/>
    <col min="7174" max="7174" width="15" customWidth="1"/>
    <col min="7425" max="7425" width="15.75" customWidth="1"/>
    <col min="7426" max="7426" width="15.375" customWidth="1"/>
    <col min="7427" max="7427" width="15.875" customWidth="1"/>
    <col min="7428" max="7428" width="18" customWidth="1"/>
    <col min="7429" max="7429" width="17.875" customWidth="1"/>
    <col min="7430" max="7430" width="15" customWidth="1"/>
    <col min="7681" max="7681" width="15.75" customWidth="1"/>
    <col min="7682" max="7682" width="15.375" customWidth="1"/>
    <col min="7683" max="7683" width="15.875" customWidth="1"/>
    <col min="7684" max="7684" width="18" customWidth="1"/>
    <col min="7685" max="7685" width="17.875" customWidth="1"/>
    <col min="7686" max="7686" width="15" customWidth="1"/>
    <col min="7937" max="7937" width="15.75" customWidth="1"/>
    <col min="7938" max="7938" width="15.375" customWidth="1"/>
    <col min="7939" max="7939" width="15.875" customWidth="1"/>
    <col min="7940" max="7940" width="18" customWidth="1"/>
    <col min="7941" max="7941" width="17.875" customWidth="1"/>
    <col min="7942" max="7942" width="15" customWidth="1"/>
    <col min="8193" max="8193" width="15.75" customWidth="1"/>
    <col min="8194" max="8194" width="15.375" customWidth="1"/>
    <col min="8195" max="8195" width="15.875" customWidth="1"/>
    <col min="8196" max="8196" width="18" customWidth="1"/>
    <col min="8197" max="8197" width="17.875" customWidth="1"/>
    <col min="8198" max="8198" width="15" customWidth="1"/>
    <col min="8449" max="8449" width="15.75" customWidth="1"/>
    <col min="8450" max="8450" width="15.375" customWidth="1"/>
    <col min="8451" max="8451" width="15.875" customWidth="1"/>
    <col min="8452" max="8452" width="18" customWidth="1"/>
    <col min="8453" max="8453" width="17.875" customWidth="1"/>
    <col min="8454" max="8454" width="15" customWidth="1"/>
    <col min="8705" max="8705" width="15.75" customWidth="1"/>
    <col min="8706" max="8706" width="15.375" customWidth="1"/>
    <col min="8707" max="8707" width="15.875" customWidth="1"/>
    <col min="8708" max="8708" width="18" customWidth="1"/>
    <col min="8709" max="8709" width="17.875" customWidth="1"/>
    <col min="8710" max="8710" width="15" customWidth="1"/>
    <col min="8961" max="8961" width="15.75" customWidth="1"/>
    <col min="8962" max="8962" width="15.375" customWidth="1"/>
    <col min="8963" max="8963" width="15.875" customWidth="1"/>
    <col min="8964" max="8964" width="18" customWidth="1"/>
    <col min="8965" max="8965" width="17.875" customWidth="1"/>
    <col min="8966" max="8966" width="15" customWidth="1"/>
    <col min="9217" max="9217" width="15.75" customWidth="1"/>
    <col min="9218" max="9218" width="15.375" customWidth="1"/>
    <col min="9219" max="9219" width="15.875" customWidth="1"/>
    <col min="9220" max="9220" width="18" customWidth="1"/>
    <col min="9221" max="9221" width="17.875" customWidth="1"/>
    <col min="9222" max="9222" width="15" customWidth="1"/>
    <col min="9473" max="9473" width="15.75" customWidth="1"/>
    <col min="9474" max="9474" width="15.375" customWidth="1"/>
    <col min="9475" max="9475" width="15.875" customWidth="1"/>
    <col min="9476" max="9476" width="18" customWidth="1"/>
    <col min="9477" max="9477" width="17.875" customWidth="1"/>
    <col min="9478" max="9478" width="15" customWidth="1"/>
    <col min="9729" max="9729" width="15.75" customWidth="1"/>
    <col min="9730" max="9730" width="15.375" customWidth="1"/>
    <col min="9731" max="9731" width="15.875" customWidth="1"/>
    <col min="9732" max="9732" width="18" customWidth="1"/>
    <col min="9733" max="9733" width="17.875" customWidth="1"/>
    <col min="9734" max="9734" width="15" customWidth="1"/>
    <col min="9985" max="9985" width="15.75" customWidth="1"/>
    <col min="9986" max="9986" width="15.375" customWidth="1"/>
    <col min="9987" max="9987" width="15.875" customWidth="1"/>
    <col min="9988" max="9988" width="18" customWidth="1"/>
    <col min="9989" max="9989" width="17.875" customWidth="1"/>
    <col min="9990" max="9990" width="15" customWidth="1"/>
    <col min="10241" max="10241" width="15.75" customWidth="1"/>
    <col min="10242" max="10242" width="15.375" customWidth="1"/>
    <col min="10243" max="10243" width="15.875" customWidth="1"/>
    <col min="10244" max="10244" width="18" customWidth="1"/>
    <col min="10245" max="10245" width="17.875" customWidth="1"/>
    <col min="10246" max="10246" width="15" customWidth="1"/>
    <col min="10497" max="10497" width="15.75" customWidth="1"/>
    <col min="10498" max="10498" width="15.375" customWidth="1"/>
    <col min="10499" max="10499" width="15.875" customWidth="1"/>
    <col min="10500" max="10500" width="18" customWidth="1"/>
    <col min="10501" max="10501" width="17.875" customWidth="1"/>
    <col min="10502" max="10502" width="15" customWidth="1"/>
    <col min="10753" max="10753" width="15.75" customWidth="1"/>
    <col min="10754" max="10754" width="15.375" customWidth="1"/>
    <col min="10755" max="10755" width="15.875" customWidth="1"/>
    <col min="10756" max="10756" width="18" customWidth="1"/>
    <col min="10757" max="10757" width="17.875" customWidth="1"/>
    <col min="10758" max="10758" width="15" customWidth="1"/>
    <col min="11009" max="11009" width="15.75" customWidth="1"/>
    <col min="11010" max="11010" width="15.375" customWidth="1"/>
    <col min="11011" max="11011" width="15.875" customWidth="1"/>
    <col min="11012" max="11012" width="18" customWidth="1"/>
    <col min="11013" max="11013" width="17.875" customWidth="1"/>
    <col min="11014" max="11014" width="15" customWidth="1"/>
    <col min="11265" max="11265" width="15.75" customWidth="1"/>
    <col min="11266" max="11266" width="15.375" customWidth="1"/>
    <col min="11267" max="11267" width="15.875" customWidth="1"/>
    <col min="11268" max="11268" width="18" customWidth="1"/>
    <col min="11269" max="11269" width="17.875" customWidth="1"/>
    <col min="11270" max="11270" width="15" customWidth="1"/>
    <col min="11521" max="11521" width="15.75" customWidth="1"/>
    <col min="11522" max="11522" width="15.375" customWidth="1"/>
    <col min="11523" max="11523" width="15.875" customWidth="1"/>
    <col min="11524" max="11524" width="18" customWidth="1"/>
    <col min="11525" max="11525" width="17.875" customWidth="1"/>
    <col min="11526" max="11526" width="15" customWidth="1"/>
    <col min="11777" max="11777" width="15.75" customWidth="1"/>
    <col min="11778" max="11778" width="15.375" customWidth="1"/>
    <col min="11779" max="11779" width="15.875" customWidth="1"/>
    <col min="11780" max="11780" width="18" customWidth="1"/>
    <col min="11781" max="11781" width="17.875" customWidth="1"/>
    <col min="11782" max="11782" width="15" customWidth="1"/>
    <col min="12033" max="12033" width="15.75" customWidth="1"/>
    <col min="12034" max="12034" width="15.375" customWidth="1"/>
    <col min="12035" max="12035" width="15.875" customWidth="1"/>
    <col min="12036" max="12036" width="18" customWidth="1"/>
    <col min="12037" max="12037" width="17.875" customWidth="1"/>
    <col min="12038" max="12038" width="15" customWidth="1"/>
    <col min="12289" max="12289" width="15.75" customWidth="1"/>
    <col min="12290" max="12290" width="15.375" customWidth="1"/>
    <col min="12291" max="12291" width="15.875" customWidth="1"/>
    <col min="12292" max="12292" width="18" customWidth="1"/>
    <col min="12293" max="12293" width="17.875" customWidth="1"/>
    <col min="12294" max="12294" width="15" customWidth="1"/>
    <col min="12545" max="12545" width="15.75" customWidth="1"/>
    <col min="12546" max="12546" width="15.375" customWidth="1"/>
    <col min="12547" max="12547" width="15.875" customWidth="1"/>
    <col min="12548" max="12548" width="18" customWidth="1"/>
    <col min="12549" max="12549" width="17.875" customWidth="1"/>
    <col min="12550" max="12550" width="15" customWidth="1"/>
    <col min="12801" max="12801" width="15.75" customWidth="1"/>
    <col min="12802" max="12802" width="15.375" customWidth="1"/>
    <col min="12803" max="12803" width="15.875" customWidth="1"/>
    <col min="12804" max="12804" width="18" customWidth="1"/>
    <col min="12805" max="12805" width="17.875" customWidth="1"/>
    <col min="12806" max="12806" width="15" customWidth="1"/>
    <col min="13057" max="13057" width="15.75" customWidth="1"/>
    <col min="13058" max="13058" width="15.375" customWidth="1"/>
    <col min="13059" max="13059" width="15.875" customWidth="1"/>
    <col min="13060" max="13060" width="18" customWidth="1"/>
    <col min="13061" max="13061" width="17.875" customWidth="1"/>
    <col min="13062" max="13062" width="15" customWidth="1"/>
    <col min="13313" max="13313" width="15.75" customWidth="1"/>
    <col min="13314" max="13314" width="15.375" customWidth="1"/>
    <col min="13315" max="13315" width="15.875" customWidth="1"/>
    <col min="13316" max="13316" width="18" customWidth="1"/>
    <col min="13317" max="13317" width="17.875" customWidth="1"/>
    <col min="13318" max="13318" width="15" customWidth="1"/>
    <col min="13569" max="13569" width="15.75" customWidth="1"/>
    <col min="13570" max="13570" width="15.375" customWidth="1"/>
    <col min="13571" max="13571" width="15.875" customWidth="1"/>
    <col min="13572" max="13572" width="18" customWidth="1"/>
    <col min="13573" max="13573" width="17.875" customWidth="1"/>
    <col min="13574" max="13574" width="15" customWidth="1"/>
    <col min="13825" max="13825" width="15.75" customWidth="1"/>
    <col min="13826" max="13826" width="15.375" customWidth="1"/>
    <col min="13827" max="13827" width="15.875" customWidth="1"/>
    <col min="13828" max="13828" width="18" customWidth="1"/>
    <col min="13829" max="13829" width="17.875" customWidth="1"/>
    <col min="13830" max="13830" width="15" customWidth="1"/>
    <col min="14081" max="14081" width="15.75" customWidth="1"/>
    <col min="14082" max="14082" width="15.375" customWidth="1"/>
    <col min="14083" max="14083" width="15.875" customWidth="1"/>
    <col min="14084" max="14084" width="18" customWidth="1"/>
    <col min="14085" max="14085" width="17.875" customWidth="1"/>
    <col min="14086" max="14086" width="15" customWidth="1"/>
    <col min="14337" max="14337" width="15.75" customWidth="1"/>
    <col min="14338" max="14338" width="15.375" customWidth="1"/>
    <col min="14339" max="14339" width="15.875" customWidth="1"/>
    <col min="14340" max="14340" width="18" customWidth="1"/>
    <col min="14341" max="14341" width="17.875" customWidth="1"/>
    <col min="14342" max="14342" width="15" customWidth="1"/>
    <col min="14593" max="14593" width="15.75" customWidth="1"/>
    <col min="14594" max="14594" width="15.375" customWidth="1"/>
    <col min="14595" max="14595" width="15.875" customWidth="1"/>
    <col min="14596" max="14596" width="18" customWidth="1"/>
    <col min="14597" max="14597" width="17.875" customWidth="1"/>
    <col min="14598" max="14598" width="15" customWidth="1"/>
    <col min="14849" max="14849" width="15.75" customWidth="1"/>
    <col min="14850" max="14850" width="15.375" customWidth="1"/>
    <col min="14851" max="14851" width="15.875" customWidth="1"/>
    <col min="14852" max="14852" width="18" customWidth="1"/>
    <col min="14853" max="14853" width="17.875" customWidth="1"/>
    <col min="14854" max="14854" width="15" customWidth="1"/>
    <col min="15105" max="15105" width="15.75" customWidth="1"/>
    <col min="15106" max="15106" width="15.375" customWidth="1"/>
    <col min="15107" max="15107" width="15.875" customWidth="1"/>
    <col min="15108" max="15108" width="18" customWidth="1"/>
    <col min="15109" max="15109" width="17.875" customWidth="1"/>
    <col min="15110" max="15110" width="15" customWidth="1"/>
    <col min="15361" max="15361" width="15.75" customWidth="1"/>
    <col min="15362" max="15362" width="15.375" customWidth="1"/>
    <col min="15363" max="15363" width="15.875" customWidth="1"/>
    <col min="15364" max="15364" width="18" customWidth="1"/>
    <col min="15365" max="15365" width="17.875" customWidth="1"/>
    <col min="15366" max="15366" width="15" customWidth="1"/>
    <col min="15617" max="15617" width="15.75" customWidth="1"/>
    <col min="15618" max="15618" width="15.375" customWidth="1"/>
    <col min="15619" max="15619" width="15.875" customWidth="1"/>
    <col min="15620" max="15620" width="18" customWidth="1"/>
    <col min="15621" max="15621" width="17.875" customWidth="1"/>
    <col min="15622" max="15622" width="15" customWidth="1"/>
    <col min="15873" max="15873" width="15.75" customWidth="1"/>
    <col min="15874" max="15874" width="15.375" customWidth="1"/>
    <col min="15875" max="15875" width="15.875" customWidth="1"/>
    <col min="15876" max="15876" width="18" customWidth="1"/>
    <col min="15877" max="15877" width="17.875" customWidth="1"/>
    <col min="15878" max="15878" width="15" customWidth="1"/>
    <col min="16129" max="16129" width="15.75" customWidth="1"/>
    <col min="16130" max="16130" width="15.375" customWidth="1"/>
    <col min="16131" max="16131" width="15.875" customWidth="1"/>
    <col min="16132" max="16132" width="18" customWidth="1"/>
    <col min="16133" max="16133" width="17.875" customWidth="1"/>
    <col min="16134" max="16134" width="15" customWidth="1"/>
  </cols>
  <sheetData>
    <row r="1" spans="1:6" ht="23.4">
      <c r="A1" s="778" t="s">
        <v>632</v>
      </c>
      <c r="B1" s="778"/>
      <c r="C1" s="778"/>
      <c r="D1" s="778"/>
      <c r="E1" s="778"/>
      <c r="F1" s="778"/>
    </row>
    <row r="2" spans="1:6">
      <c r="A2" s="779" t="s">
        <v>633</v>
      </c>
      <c r="B2" s="780"/>
      <c r="C2" s="780"/>
      <c r="D2" s="781"/>
      <c r="E2" s="782" t="s">
        <v>634</v>
      </c>
      <c r="F2" s="783"/>
    </row>
    <row r="3" spans="1:6">
      <c r="A3" s="631" t="s">
        <v>635</v>
      </c>
      <c r="B3" s="632"/>
      <c r="C3" s="632"/>
      <c r="D3" s="633"/>
      <c r="E3" s="634" t="s">
        <v>464</v>
      </c>
      <c r="F3" s="635">
        <v>0</v>
      </c>
    </row>
    <row r="4" spans="1:6">
      <c r="A4" s="784" t="s">
        <v>636</v>
      </c>
      <c r="B4" s="785"/>
      <c r="C4" s="785"/>
      <c r="D4" s="636"/>
      <c r="E4" s="637" t="s">
        <v>465</v>
      </c>
      <c r="F4" s="638">
        <v>0</v>
      </c>
    </row>
    <row r="5" spans="1:6">
      <c r="A5" s="639" t="s">
        <v>637</v>
      </c>
      <c r="B5" s="640"/>
      <c r="C5" s="641">
        <f>SUM(ปร.5!C8)</f>
        <v>999455</v>
      </c>
      <c r="D5" s="642" t="s">
        <v>29</v>
      </c>
      <c r="E5" s="637" t="s">
        <v>42</v>
      </c>
      <c r="F5" s="638">
        <v>7.0000000000000007E-2</v>
      </c>
    </row>
    <row r="6" spans="1:6">
      <c r="A6" s="643" t="s">
        <v>638</v>
      </c>
      <c r="B6" s="786" t="s">
        <v>639</v>
      </c>
      <c r="C6" s="786"/>
      <c r="D6" s="633"/>
      <c r="E6" s="644" t="s">
        <v>640</v>
      </c>
      <c r="F6" s="645">
        <v>7.0000000000000007E-2</v>
      </c>
    </row>
    <row r="7" spans="1:6">
      <c r="A7" s="646" t="s">
        <v>462</v>
      </c>
      <c r="B7" s="647">
        <v>500000</v>
      </c>
      <c r="C7" s="648" t="s">
        <v>641</v>
      </c>
      <c r="D7" s="649"/>
      <c r="E7" s="650" t="s">
        <v>28</v>
      </c>
      <c r="F7" s="787" t="s">
        <v>50</v>
      </c>
    </row>
    <row r="8" spans="1:6">
      <c r="A8" s="646" t="s">
        <v>459</v>
      </c>
      <c r="B8" s="651">
        <f>C5</f>
        <v>999455</v>
      </c>
      <c r="C8" s="648" t="s">
        <v>642</v>
      </c>
      <c r="D8" s="649"/>
      <c r="E8" s="652" t="s">
        <v>113</v>
      </c>
      <c r="F8" s="788"/>
    </row>
    <row r="9" spans="1:6">
      <c r="A9" s="646" t="s">
        <v>463</v>
      </c>
      <c r="B9" s="653">
        <f>SUM(E10)</f>
        <v>1000000</v>
      </c>
      <c r="C9" s="648" t="s">
        <v>643</v>
      </c>
      <c r="D9" s="649"/>
      <c r="E9" s="722" t="s">
        <v>644</v>
      </c>
      <c r="F9" s="723">
        <v>1.3090999999999999</v>
      </c>
    </row>
    <row r="10" spans="1:6">
      <c r="A10" s="646" t="s">
        <v>460</v>
      </c>
      <c r="B10" s="654">
        <v>1.3090999999999999</v>
      </c>
      <c r="C10" s="648" t="s">
        <v>645</v>
      </c>
      <c r="D10" s="649"/>
      <c r="E10" s="655">
        <v>1000000</v>
      </c>
      <c r="F10" s="656">
        <v>1.3067</v>
      </c>
    </row>
    <row r="11" spans="1:6">
      <c r="A11" s="657" t="s">
        <v>461</v>
      </c>
      <c r="B11" s="658">
        <v>1.3067</v>
      </c>
      <c r="C11" s="659" t="s">
        <v>646</v>
      </c>
      <c r="D11" s="636"/>
      <c r="E11" s="660">
        <v>2000000</v>
      </c>
      <c r="F11" s="661">
        <v>1.3050999999999999</v>
      </c>
    </row>
    <row r="12" spans="1:6">
      <c r="A12" s="662" t="s">
        <v>638</v>
      </c>
      <c r="B12" s="663">
        <f>B10-(B10-B11)*(B8-B7)/(B9-B7)</f>
        <v>1.3067026159999999</v>
      </c>
      <c r="C12" s="776" t="s">
        <v>647</v>
      </c>
      <c r="D12" s="777"/>
      <c r="E12" s="660">
        <v>5000000</v>
      </c>
      <c r="F12" s="661">
        <v>1.302</v>
      </c>
    </row>
    <row r="13" spans="1:6">
      <c r="A13" s="664"/>
      <c r="B13" s="665"/>
      <c r="C13" s="666"/>
      <c r="D13" s="667"/>
      <c r="E13" s="668">
        <v>10000000</v>
      </c>
      <c r="F13" s="669">
        <v>1.296</v>
      </c>
    </row>
    <row r="14" spans="1:6">
      <c r="A14" s="670" t="s">
        <v>114</v>
      </c>
      <c r="B14" s="671"/>
      <c r="C14" s="671"/>
      <c r="D14" s="672"/>
      <c r="E14" s="660">
        <v>15000000</v>
      </c>
      <c r="F14" s="661">
        <v>1.2611000000000001</v>
      </c>
    </row>
    <row r="15" spans="1:6">
      <c r="A15" s="673"/>
      <c r="B15" s="648"/>
      <c r="C15" s="648"/>
      <c r="D15" s="649"/>
      <c r="E15" s="660">
        <v>20000000</v>
      </c>
      <c r="F15" s="674"/>
    </row>
    <row r="16" spans="1:6">
      <c r="A16" s="673"/>
      <c r="B16" s="648"/>
      <c r="C16" s="648"/>
      <c r="D16" s="649"/>
      <c r="E16" s="660">
        <v>25000000</v>
      </c>
      <c r="F16" s="674"/>
    </row>
    <row r="17" spans="1:6">
      <c r="A17" s="673"/>
      <c r="B17" s="648" t="s">
        <v>114</v>
      </c>
      <c r="C17" s="648"/>
      <c r="D17" s="649"/>
      <c r="E17" s="660">
        <v>30000000</v>
      </c>
      <c r="F17" s="674"/>
    </row>
    <row r="18" spans="1:6">
      <c r="A18" s="673"/>
      <c r="B18" s="648" t="s">
        <v>114</v>
      </c>
      <c r="C18" s="648"/>
      <c r="D18" s="649"/>
      <c r="E18" s="660">
        <v>40000000</v>
      </c>
      <c r="F18" s="674"/>
    </row>
    <row r="19" spans="1:6">
      <c r="A19" s="673"/>
      <c r="B19" s="648" t="s">
        <v>114</v>
      </c>
      <c r="C19" s="648"/>
      <c r="D19" s="649"/>
      <c r="E19" s="660">
        <v>50000000</v>
      </c>
      <c r="F19" s="674"/>
    </row>
    <row r="20" spans="1:6">
      <c r="A20" s="646"/>
      <c r="B20" s="653" t="s">
        <v>114</v>
      </c>
      <c r="C20" s="675"/>
      <c r="D20" s="649"/>
      <c r="E20" s="660">
        <v>60000000</v>
      </c>
      <c r="F20" s="674"/>
    </row>
    <row r="21" spans="1:6">
      <c r="A21" s="673"/>
      <c r="B21" s="648" t="s">
        <v>114</v>
      </c>
      <c r="C21" s="648"/>
      <c r="D21" s="649"/>
      <c r="E21" s="660">
        <v>70000000</v>
      </c>
      <c r="F21" s="674"/>
    </row>
    <row r="22" spans="1:6">
      <c r="A22" s="673"/>
      <c r="B22" s="648"/>
      <c r="C22" s="648"/>
      <c r="D22" s="676"/>
      <c r="E22" s="660">
        <v>80000000</v>
      </c>
      <c r="F22" s="674"/>
    </row>
    <row r="23" spans="1:6">
      <c r="A23" s="673"/>
      <c r="B23" s="648"/>
      <c r="C23" s="648"/>
      <c r="D23" s="649"/>
      <c r="E23" s="660">
        <v>90000000</v>
      </c>
      <c r="F23" s="674"/>
    </row>
    <row r="24" spans="1:6">
      <c r="A24" s="673"/>
      <c r="B24" s="648"/>
      <c r="C24" s="648"/>
      <c r="D24" s="677" t="s">
        <v>114</v>
      </c>
      <c r="E24" s="660">
        <v>100000000</v>
      </c>
      <c r="F24" s="674"/>
    </row>
    <row r="25" spans="1:6">
      <c r="A25" s="673"/>
      <c r="B25" s="648"/>
      <c r="C25" s="648"/>
      <c r="D25" s="649"/>
      <c r="E25" s="660">
        <v>150000000</v>
      </c>
      <c r="F25" s="674"/>
    </row>
    <row r="26" spans="1:6">
      <c r="A26" s="673"/>
      <c r="B26" s="648"/>
      <c r="C26" s="648"/>
      <c r="D26" s="676"/>
      <c r="E26" s="660">
        <v>200000000</v>
      </c>
      <c r="F26" s="674"/>
    </row>
    <row r="27" spans="1:6">
      <c r="A27" s="673"/>
      <c r="B27" s="648"/>
      <c r="C27" s="648"/>
      <c r="D27" s="649"/>
      <c r="E27" s="660">
        <v>250000000</v>
      </c>
      <c r="F27" s="674"/>
    </row>
    <row r="28" spans="1:6">
      <c r="A28" s="673"/>
      <c r="B28" s="648"/>
      <c r="C28" s="648"/>
      <c r="D28" s="676"/>
      <c r="E28" s="660">
        <v>300000000</v>
      </c>
      <c r="F28" s="674"/>
    </row>
    <row r="29" spans="1:6">
      <c r="A29" s="673"/>
      <c r="B29" s="648"/>
      <c r="C29" s="648"/>
      <c r="D29" s="649"/>
      <c r="E29" s="660">
        <v>350000000</v>
      </c>
      <c r="F29" s="674"/>
    </row>
    <row r="30" spans="1:6">
      <c r="A30" s="673"/>
      <c r="B30" s="648"/>
      <c r="C30" s="648"/>
      <c r="D30" s="676"/>
      <c r="E30" s="660">
        <v>400000000</v>
      </c>
      <c r="F30" s="674"/>
    </row>
    <row r="31" spans="1:6">
      <c r="A31" s="678"/>
      <c r="B31" s="679"/>
      <c r="C31" s="679"/>
      <c r="D31" s="680"/>
      <c r="E31" s="681" t="s">
        <v>648</v>
      </c>
      <c r="F31" s="682"/>
    </row>
  </sheetData>
  <mergeCells count="7">
    <mergeCell ref="C12:D12"/>
    <mergeCell ref="A1:F1"/>
    <mergeCell ref="A2:D2"/>
    <mergeCell ref="E2:F2"/>
    <mergeCell ref="A4:C4"/>
    <mergeCell ref="B6:C6"/>
    <mergeCell ref="F7:F8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BD9B4-B541-4D0D-85F4-EF665571A8B6}">
  <sheetPr>
    <tabColor theme="1"/>
  </sheetPr>
  <dimension ref="A1:X730"/>
  <sheetViews>
    <sheetView tabSelected="1" view="pageBreakPreview" topLeftCell="A127" zoomScale="115" zoomScaleNormal="70" zoomScaleSheetLayoutView="115" workbookViewId="0">
      <selection activeCell="F136" sqref="F136"/>
    </sheetView>
  </sheetViews>
  <sheetFormatPr defaultRowHeight="19.05" customHeight="1"/>
  <cols>
    <col min="1" max="1" width="7.25" style="404" customWidth="1"/>
    <col min="2" max="2" width="48.125" style="401" customWidth="1"/>
    <col min="3" max="3" width="9" style="405" customWidth="1"/>
    <col min="4" max="4" width="7.25" style="404" customWidth="1"/>
    <col min="5" max="6" width="12.75" style="406" customWidth="1"/>
    <col min="7" max="8" width="12.75" style="401" customWidth="1"/>
    <col min="9" max="9" width="15.625" style="401" customWidth="1"/>
    <col min="10" max="12" width="12.875" style="400" customWidth="1"/>
    <col min="13" max="13" width="12.875" style="401" customWidth="1"/>
    <col min="14" max="14" width="12.25" style="402" customWidth="1"/>
    <col min="15" max="15" width="21" style="403" customWidth="1"/>
    <col min="16" max="16" width="9.875" style="403" customWidth="1"/>
    <col min="17" max="17" width="8.125" style="403" bestFit="1" customWidth="1"/>
    <col min="18" max="18" width="10.75" style="403" customWidth="1"/>
    <col min="19" max="19" width="13.25" style="403" customWidth="1"/>
    <col min="20" max="20" width="12.125" style="403" customWidth="1"/>
    <col min="21" max="21" width="11.625" style="403" customWidth="1"/>
    <col min="22" max="22" width="15" style="403" customWidth="1"/>
    <col min="23" max="23" width="17.875" style="403" customWidth="1"/>
    <col min="24" max="24" width="9" style="403"/>
    <col min="25" max="249" width="9" style="401"/>
    <col min="250" max="250" width="7.875" style="401" customWidth="1"/>
    <col min="251" max="251" width="57.125" style="401" bestFit="1" customWidth="1"/>
    <col min="252" max="252" width="9.25" style="401" customWidth="1"/>
    <col min="253" max="253" width="7.375" style="401" customWidth="1"/>
    <col min="254" max="255" width="12.375" style="401" customWidth="1"/>
    <col min="256" max="256" width="11.75" style="401" customWidth="1"/>
    <col min="257" max="257" width="12.125" style="401" customWidth="1"/>
    <col min="258" max="258" width="13.75" style="401" customWidth="1"/>
    <col min="259" max="259" width="12.25" style="401" customWidth="1"/>
    <col min="260" max="260" width="8.125" style="401" bestFit="1" customWidth="1"/>
    <col min="261" max="261" width="10" style="401" customWidth="1"/>
    <col min="262" max="262" width="8.125" style="401" bestFit="1" customWidth="1"/>
    <col min="263" max="263" width="13.375" style="401" customWidth="1"/>
    <col min="264" max="264" width="12.75" style="401" customWidth="1"/>
    <col min="265" max="267" width="9" style="401"/>
    <col min="268" max="269" width="8.125" style="401" bestFit="1" customWidth="1"/>
    <col min="270" max="270" width="9" style="401"/>
    <col min="271" max="271" width="21" style="401" customWidth="1"/>
    <col min="272" max="272" width="9.875" style="401" customWidth="1"/>
    <col min="273" max="273" width="8.125" style="401" bestFit="1" customWidth="1"/>
    <col min="274" max="274" width="10.75" style="401" customWidth="1"/>
    <col min="275" max="275" width="13.25" style="401" customWidth="1"/>
    <col min="276" max="276" width="12.125" style="401" customWidth="1"/>
    <col min="277" max="277" width="11.625" style="401" customWidth="1"/>
    <col min="278" max="278" width="15" style="401" customWidth="1"/>
    <col min="279" max="279" width="17.875" style="401" customWidth="1"/>
    <col min="280" max="505" width="9" style="401"/>
    <col min="506" max="506" width="7.875" style="401" customWidth="1"/>
    <col min="507" max="507" width="57.125" style="401" bestFit="1" customWidth="1"/>
    <col min="508" max="508" width="9.25" style="401" customWidth="1"/>
    <col min="509" max="509" width="7.375" style="401" customWidth="1"/>
    <col min="510" max="511" width="12.375" style="401" customWidth="1"/>
    <col min="512" max="512" width="11.75" style="401" customWidth="1"/>
    <col min="513" max="513" width="12.125" style="401" customWidth="1"/>
    <col min="514" max="514" width="13.75" style="401" customWidth="1"/>
    <col min="515" max="515" width="12.25" style="401" customWidth="1"/>
    <col min="516" max="516" width="8.125" style="401" bestFit="1" customWidth="1"/>
    <col min="517" max="517" width="10" style="401" customWidth="1"/>
    <col min="518" max="518" width="8.125" style="401" bestFit="1" customWidth="1"/>
    <col min="519" max="519" width="13.375" style="401" customWidth="1"/>
    <col min="520" max="520" width="12.75" style="401" customWidth="1"/>
    <col min="521" max="523" width="9" style="401"/>
    <col min="524" max="525" width="8.125" style="401" bestFit="1" customWidth="1"/>
    <col min="526" max="526" width="9" style="401"/>
    <col min="527" max="527" width="21" style="401" customWidth="1"/>
    <col min="528" max="528" width="9.875" style="401" customWidth="1"/>
    <col min="529" max="529" width="8.125" style="401" bestFit="1" customWidth="1"/>
    <col min="530" max="530" width="10.75" style="401" customWidth="1"/>
    <col min="531" max="531" width="13.25" style="401" customWidth="1"/>
    <col min="532" max="532" width="12.125" style="401" customWidth="1"/>
    <col min="533" max="533" width="11.625" style="401" customWidth="1"/>
    <col min="534" max="534" width="15" style="401" customWidth="1"/>
    <col min="535" max="535" width="17.875" style="401" customWidth="1"/>
    <col min="536" max="761" width="9" style="401"/>
    <col min="762" max="762" width="7.875" style="401" customWidth="1"/>
    <col min="763" max="763" width="57.125" style="401" bestFit="1" customWidth="1"/>
    <col min="764" max="764" width="9.25" style="401" customWidth="1"/>
    <col min="765" max="765" width="7.375" style="401" customWidth="1"/>
    <col min="766" max="767" width="12.375" style="401" customWidth="1"/>
    <col min="768" max="768" width="11.75" style="401" customWidth="1"/>
    <col min="769" max="769" width="12.125" style="401" customWidth="1"/>
    <col min="770" max="770" width="13.75" style="401" customWidth="1"/>
    <col min="771" max="771" width="12.25" style="401" customWidth="1"/>
    <col min="772" max="772" width="8.125" style="401" bestFit="1" customWidth="1"/>
    <col min="773" max="773" width="10" style="401" customWidth="1"/>
    <col min="774" max="774" width="8.125" style="401" bestFit="1" customWidth="1"/>
    <col min="775" max="775" width="13.375" style="401" customWidth="1"/>
    <col min="776" max="776" width="12.75" style="401" customWidth="1"/>
    <col min="777" max="779" width="9" style="401"/>
    <col min="780" max="781" width="8.125" style="401" bestFit="1" customWidth="1"/>
    <col min="782" max="782" width="9" style="401"/>
    <col min="783" max="783" width="21" style="401" customWidth="1"/>
    <col min="784" max="784" width="9.875" style="401" customWidth="1"/>
    <col min="785" max="785" width="8.125" style="401" bestFit="1" customWidth="1"/>
    <col min="786" max="786" width="10.75" style="401" customWidth="1"/>
    <col min="787" max="787" width="13.25" style="401" customWidth="1"/>
    <col min="788" max="788" width="12.125" style="401" customWidth="1"/>
    <col min="789" max="789" width="11.625" style="401" customWidth="1"/>
    <col min="790" max="790" width="15" style="401" customWidth="1"/>
    <col min="791" max="791" width="17.875" style="401" customWidth="1"/>
    <col min="792" max="1017" width="9" style="401"/>
    <col min="1018" max="1018" width="7.875" style="401" customWidth="1"/>
    <col min="1019" max="1019" width="57.125" style="401" bestFit="1" customWidth="1"/>
    <col min="1020" max="1020" width="9.25" style="401" customWidth="1"/>
    <col min="1021" max="1021" width="7.375" style="401" customWidth="1"/>
    <col min="1022" max="1023" width="12.375" style="401" customWidth="1"/>
    <col min="1024" max="1024" width="11.75" style="401" customWidth="1"/>
    <col min="1025" max="1025" width="12.125" style="401" customWidth="1"/>
    <col min="1026" max="1026" width="13.75" style="401" customWidth="1"/>
    <col min="1027" max="1027" width="12.25" style="401" customWidth="1"/>
    <col min="1028" max="1028" width="8.125" style="401" bestFit="1" customWidth="1"/>
    <col min="1029" max="1029" width="10" style="401" customWidth="1"/>
    <col min="1030" max="1030" width="8.125" style="401" bestFit="1" customWidth="1"/>
    <col min="1031" max="1031" width="13.375" style="401" customWidth="1"/>
    <col min="1032" max="1032" width="12.75" style="401" customWidth="1"/>
    <col min="1033" max="1035" width="9" style="401"/>
    <col min="1036" max="1037" width="8.125" style="401" bestFit="1" customWidth="1"/>
    <col min="1038" max="1038" width="9" style="401"/>
    <col min="1039" max="1039" width="21" style="401" customWidth="1"/>
    <col min="1040" max="1040" width="9.875" style="401" customWidth="1"/>
    <col min="1041" max="1041" width="8.125" style="401" bestFit="1" customWidth="1"/>
    <col min="1042" max="1042" width="10.75" style="401" customWidth="1"/>
    <col min="1043" max="1043" width="13.25" style="401" customWidth="1"/>
    <col min="1044" max="1044" width="12.125" style="401" customWidth="1"/>
    <col min="1045" max="1045" width="11.625" style="401" customWidth="1"/>
    <col min="1046" max="1046" width="15" style="401" customWidth="1"/>
    <col min="1047" max="1047" width="17.875" style="401" customWidth="1"/>
    <col min="1048" max="1273" width="9" style="401"/>
    <col min="1274" max="1274" width="7.875" style="401" customWidth="1"/>
    <col min="1275" max="1275" width="57.125" style="401" bestFit="1" customWidth="1"/>
    <col min="1276" max="1276" width="9.25" style="401" customWidth="1"/>
    <col min="1277" max="1277" width="7.375" style="401" customWidth="1"/>
    <col min="1278" max="1279" width="12.375" style="401" customWidth="1"/>
    <col min="1280" max="1280" width="11.75" style="401" customWidth="1"/>
    <col min="1281" max="1281" width="12.125" style="401" customWidth="1"/>
    <col min="1282" max="1282" width="13.75" style="401" customWidth="1"/>
    <col min="1283" max="1283" width="12.25" style="401" customWidth="1"/>
    <col min="1284" max="1284" width="8.125" style="401" bestFit="1" customWidth="1"/>
    <col min="1285" max="1285" width="10" style="401" customWidth="1"/>
    <col min="1286" max="1286" width="8.125" style="401" bestFit="1" customWidth="1"/>
    <col min="1287" max="1287" width="13.375" style="401" customWidth="1"/>
    <col min="1288" max="1288" width="12.75" style="401" customWidth="1"/>
    <col min="1289" max="1291" width="9" style="401"/>
    <col min="1292" max="1293" width="8.125" style="401" bestFit="1" customWidth="1"/>
    <col min="1294" max="1294" width="9" style="401"/>
    <col min="1295" max="1295" width="21" style="401" customWidth="1"/>
    <col min="1296" max="1296" width="9.875" style="401" customWidth="1"/>
    <col min="1297" max="1297" width="8.125" style="401" bestFit="1" customWidth="1"/>
    <col min="1298" max="1298" width="10.75" style="401" customWidth="1"/>
    <col min="1299" max="1299" width="13.25" style="401" customWidth="1"/>
    <col min="1300" max="1300" width="12.125" style="401" customWidth="1"/>
    <col min="1301" max="1301" width="11.625" style="401" customWidth="1"/>
    <col min="1302" max="1302" width="15" style="401" customWidth="1"/>
    <col min="1303" max="1303" width="17.875" style="401" customWidth="1"/>
    <col min="1304" max="1529" width="9" style="401"/>
    <col min="1530" max="1530" width="7.875" style="401" customWidth="1"/>
    <col min="1531" max="1531" width="57.125" style="401" bestFit="1" customWidth="1"/>
    <col min="1532" max="1532" width="9.25" style="401" customWidth="1"/>
    <col min="1533" max="1533" width="7.375" style="401" customWidth="1"/>
    <col min="1534" max="1535" width="12.375" style="401" customWidth="1"/>
    <col min="1536" max="1536" width="11.75" style="401" customWidth="1"/>
    <col min="1537" max="1537" width="12.125" style="401" customWidth="1"/>
    <col min="1538" max="1538" width="13.75" style="401" customWidth="1"/>
    <col min="1539" max="1539" width="12.25" style="401" customWidth="1"/>
    <col min="1540" max="1540" width="8.125" style="401" bestFit="1" customWidth="1"/>
    <col min="1541" max="1541" width="10" style="401" customWidth="1"/>
    <col min="1542" max="1542" width="8.125" style="401" bestFit="1" customWidth="1"/>
    <col min="1543" max="1543" width="13.375" style="401" customWidth="1"/>
    <col min="1544" max="1544" width="12.75" style="401" customWidth="1"/>
    <col min="1545" max="1547" width="9" style="401"/>
    <col min="1548" max="1549" width="8.125" style="401" bestFit="1" customWidth="1"/>
    <col min="1550" max="1550" width="9" style="401"/>
    <col min="1551" max="1551" width="21" style="401" customWidth="1"/>
    <col min="1552" max="1552" width="9.875" style="401" customWidth="1"/>
    <col min="1553" max="1553" width="8.125" style="401" bestFit="1" customWidth="1"/>
    <col min="1554" max="1554" width="10.75" style="401" customWidth="1"/>
    <col min="1555" max="1555" width="13.25" style="401" customWidth="1"/>
    <col min="1556" max="1556" width="12.125" style="401" customWidth="1"/>
    <col min="1557" max="1557" width="11.625" style="401" customWidth="1"/>
    <col min="1558" max="1558" width="15" style="401" customWidth="1"/>
    <col min="1559" max="1559" width="17.875" style="401" customWidth="1"/>
    <col min="1560" max="1785" width="9" style="401"/>
    <col min="1786" max="1786" width="7.875" style="401" customWidth="1"/>
    <col min="1787" max="1787" width="57.125" style="401" bestFit="1" customWidth="1"/>
    <col min="1788" max="1788" width="9.25" style="401" customWidth="1"/>
    <col min="1789" max="1789" width="7.375" style="401" customWidth="1"/>
    <col min="1790" max="1791" width="12.375" style="401" customWidth="1"/>
    <col min="1792" max="1792" width="11.75" style="401" customWidth="1"/>
    <col min="1793" max="1793" width="12.125" style="401" customWidth="1"/>
    <col min="1794" max="1794" width="13.75" style="401" customWidth="1"/>
    <col min="1795" max="1795" width="12.25" style="401" customWidth="1"/>
    <col min="1796" max="1796" width="8.125" style="401" bestFit="1" customWidth="1"/>
    <col min="1797" max="1797" width="10" style="401" customWidth="1"/>
    <col min="1798" max="1798" width="8.125" style="401" bestFit="1" customWidth="1"/>
    <col min="1799" max="1799" width="13.375" style="401" customWidth="1"/>
    <col min="1800" max="1800" width="12.75" style="401" customWidth="1"/>
    <col min="1801" max="1803" width="9" style="401"/>
    <col min="1804" max="1805" width="8.125" style="401" bestFit="1" customWidth="1"/>
    <col min="1806" max="1806" width="9" style="401"/>
    <col min="1807" max="1807" width="21" style="401" customWidth="1"/>
    <col min="1808" max="1808" width="9.875" style="401" customWidth="1"/>
    <col min="1809" max="1809" width="8.125" style="401" bestFit="1" customWidth="1"/>
    <col min="1810" max="1810" width="10.75" style="401" customWidth="1"/>
    <col min="1811" max="1811" width="13.25" style="401" customWidth="1"/>
    <col min="1812" max="1812" width="12.125" style="401" customWidth="1"/>
    <col min="1813" max="1813" width="11.625" style="401" customWidth="1"/>
    <col min="1814" max="1814" width="15" style="401" customWidth="1"/>
    <col min="1815" max="1815" width="17.875" style="401" customWidth="1"/>
    <col min="1816" max="2041" width="9" style="401"/>
    <col min="2042" max="2042" width="7.875" style="401" customWidth="1"/>
    <col min="2043" max="2043" width="57.125" style="401" bestFit="1" customWidth="1"/>
    <col min="2044" max="2044" width="9.25" style="401" customWidth="1"/>
    <col min="2045" max="2045" width="7.375" style="401" customWidth="1"/>
    <col min="2046" max="2047" width="12.375" style="401" customWidth="1"/>
    <col min="2048" max="2048" width="11.75" style="401" customWidth="1"/>
    <col min="2049" max="2049" width="12.125" style="401" customWidth="1"/>
    <col min="2050" max="2050" width="13.75" style="401" customWidth="1"/>
    <col min="2051" max="2051" width="12.25" style="401" customWidth="1"/>
    <col min="2052" max="2052" width="8.125" style="401" bestFit="1" customWidth="1"/>
    <col min="2053" max="2053" width="10" style="401" customWidth="1"/>
    <col min="2054" max="2054" width="8.125" style="401" bestFit="1" customWidth="1"/>
    <col min="2055" max="2055" width="13.375" style="401" customWidth="1"/>
    <col min="2056" max="2056" width="12.75" style="401" customWidth="1"/>
    <col min="2057" max="2059" width="9" style="401"/>
    <col min="2060" max="2061" width="8.125" style="401" bestFit="1" customWidth="1"/>
    <col min="2062" max="2062" width="9" style="401"/>
    <col min="2063" max="2063" width="21" style="401" customWidth="1"/>
    <col min="2064" max="2064" width="9.875" style="401" customWidth="1"/>
    <col min="2065" max="2065" width="8.125" style="401" bestFit="1" customWidth="1"/>
    <col min="2066" max="2066" width="10.75" style="401" customWidth="1"/>
    <col min="2067" max="2067" width="13.25" style="401" customWidth="1"/>
    <col min="2068" max="2068" width="12.125" style="401" customWidth="1"/>
    <col min="2069" max="2069" width="11.625" style="401" customWidth="1"/>
    <col min="2070" max="2070" width="15" style="401" customWidth="1"/>
    <col min="2071" max="2071" width="17.875" style="401" customWidth="1"/>
    <col min="2072" max="2297" width="9" style="401"/>
    <col min="2298" max="2298" width="7.875" style="401" customWidth="1"/>
    <col min="2299" max="2299" width="57.125" style="401" bestFit="1" customWidth="1"/>
    <col min="2300" max="2300" width="9.25" style="401" customWidth="1"/>
    <col min="2301" max="2301" width="7.375" style="401" customWidth="1"/>
    <col min="2302" max="2303" width="12.375" style="401" customWidth="1"/>
    <col min="2304" max="2304" width="11.75" style="401" customWidth="1"/>
    <col min="2305" max="2305" width="12.125" style="401" customWidth="1"/>
    <col min="2306" max="2306" width="13.75" style="401" customWidth="1"/>
    <col min="2307" max="2307" width="12.25" style="401" customWidth="1"/>
    <col min="2308" max="2308" width="8.125" style="401" bestFit="1" customWidth="1"/>
    <col min="2309" max="2309" width="10" style="401" customWidth="1"/>
    <col min="2310" max="2310" width="8.125" style="401" bestFit="1" customWidth="1"/>
    <col min="2311" max="2311" width="13.375" style="401" customWidth="1"/>
    <col min="2312" max="2312" width="12.75" style="401" customWidth="1"/>
    <col min="2313" max="2315" width="9" style="401"/>
    <col min="2316" max="2317" width="8.125" style="401" bestFit="1" customWidth="1"/>
    <col min="2318" max="2318" width="9" style="401"/>
    <col min="2319" max="2319" width="21" style="401" customWidth="1"/>
    <col min="2320" max="2320" width="9.875" style="401" customWidth="1"/>
    <col min="2321" max="2321" width="8.125" style="401" bestFit="1" customWidth="1"/>
    <col min="2322" max="2322" width="10.75" style="401" customWidth="1"/>
    <col min="2323" max="2323" width="13.25" style="401" customWidth="1"/>
    <col min="2324" max="2324" width="12.125" style="401" customWidth="1"/>
    <col min="2325" max="2325" width="11.625" style="401" customWidth="1"/>
    <col min="2326" max="2326" width="15" style="401" customWidth="1"/>
    <col min="2327" max="2327" width="17.875" style="401" customWidth="1"/>
    <col min="2328" max="2553" width="9" style="401"/>
    <col min="2554" max="2554" width="7.875" style="401" customWidth="1"/>
    <col min="2555" max="2555" width="57.125" style="401" bestFit="1" customWidth="1"/>
    <col min="2556" max="2556" width="9.25" style="401" customWidth="1"/>
    <col min="2557" max="2557" width="7.375" style="401" customWidth="1"/>
    <col min="2558" max="2559" width="12.375" style="401" customWidth="1"/>
    <col min="2560" max="2560" width="11.75" style="401" customWidth="1"/>
    <col min="2561" max="2561" width="12.125" style="401" customWidth="1"/>
    <col min="2562" max="2562" width="13.75" style="401" customWidth="1"/>
    <col min="2563" max="2563" width="12.25" style="401" customWidth="1"/>
    <col min="2564" max="2564" width="8.125" style="401" bestFit="1" customWidth="1"/>
    <col min="2565" max="2565" width="10" style="401" customWidth="1"/>
    <col min="2566" max="2566" width="8.125" style="401" bestFit="1" customWidth="1"/>
    <col min="2567" max="2567" width="13.375" style="401" customWidth="1"/>
    <col min="2568" max="2568" width="12.75" style="401" customWidth="1"/>
    <col min="2569" max="2571" width="9" style="401"/>
    <col min="2572" max="2573" width="8.125" style="401" bestFit="1" customWidth="1"/>
    <col min="2574" max="2574" width="9" style="401"/>
    <col min="2575" max="2575" width="21" style="401" customWidth="1"/>
    <col min="2576" max="2576" width="9.875" style="401" customWidth="1"/>
    <col min="2577" max="2577" width="8.125" style="401" bestFit="1" customWidth="1"/>
    <col min="2578" max="2578" width="10.75" style="401" customWidth="1"/>
    <col min="2579" max="2579" width="13.25" style="401" customWidth="1"/>
    <col min="2580" max="2580" width="12.125" style="401" customWidth="1"/>
    <col min="2581" max="2581" width="11.625" style="401" customWidth="1"/>
    <col min="2582" max="2582" width="15" style="401" customWidth="1"/>
    <col min="2583" max="2583" width="17.875" style="401" customWidth="1"/>
    <col min="2584" max="2809" width="9" style="401"/>
    <col min="2810" max="2810" width="7.875" style="401" customWidth="1"/>
    <col min="2811" max="2811" width="57.125" style="401" bestFit="1" customWidth="1"/>
    <col min="2812" max="2812" width="9.25" style="401" customWidth="1"/>
    <col min="2813" max="2813" width="7.375" style="401" customWidth="1"/>
    <col min="2814" max="2815" width="12.375" style="401" customWidth="1"/>
    <col min="2816" max="2816" width="11.75" style="401" customWidth="1"/>
    <col min="2817" max="2817" width="12.125" style="401" customWidth="1"/>
    <col min="2818" max="2818" width="13.75" style="401" customWidth="1"/>
    <col min="2819" max="2819" width="12.25" style="401" customWidth="1"/>
    <col min="2820" max="2820" width="8.125" style="401" bestFit="1" customWidth="1"/>
    <col min="2821" max="2821" width="10" style="401" customWidth="1"/>
    <col min="2822" max="2822" width="8.125" style="401" bestFit="1" customWidth="1"/>
    <col min="2823" max="2823" width="13.375" style="401" customWidth="1"/>
    <col min="2824" max="2824" width="12.75" style="401" customWidth="1"/>
    <col min="2825" max="2827" width="9" style="401"/>
    <col min="2828" max="2829" width="8.125" style="401" bestFit="1" customWidth="1"/>
    <col min="2830" max="2830" width="9" style="401"/>
    <col min="2831" max="2831" width="21" style="401" customWidth="1"/>
    <col min="2832" max="2832" width="9.875" style="401" customWidth="1"/>
    <col min="2833" max="2833" width="8.125" style="401" bestFit="1" customWidth="1"/>
    <col min="2834" max="2834" width="10.75" style="401" customWidth="1"/>
    <col min="2835" max="2835" width="13.25" style="401" customWidth="1"/>
    <col min="2836" max="2836" width="12.125" style="401" customWidth="1"/>
    <col min="2837" max="2837" width="11.625" style="401" customWidth="1"/>
    <col min="2838" max="2838" width="15" style="401" customWidth="1"/>
    <col min="2839" max="2839" width="17.875" style="401" customWidth="1"/>
    <col min="2840" max="3065" width="9" style="401"/>
    <col min="3066" max="3066" width="7.875" style="401" customWidth="1"/>
    <col min="3067" max="3067" width="57.125" style="401" bestFit="1" customWidth="1"/>
    <col min="3068" max="3068" width="9.25" style="401" customWidth="1"/>
    <col min="3069" max="3069" width="7.375" style="401" customWidth="1"/>
    <col min="3070" max="3071" width="12.375" style="401" customWidth="1"/>
    <col min="3072" max="3072" width="11.75" style="401" customWidth="1"/>
    <col min="3073" max="3073" width="12.125" style="401" customWidth="1"/>
    <col min="3074" max="3074" width="13.75" style="401" customWidth="1"/>
    <col min="3075" max="3075" width="12.25" style="401" customWidth="1"/>
    <col min="3076" max="3076" width="8.125" style="401" bestFit="1" customWidth="1"/>
    <col min="3077" max="3077" width="10" style="401" customWidth="1"/>
    <col min="3078" max="3078" width="8.125" style="401" bestFit="1" customWidth="1"/>
    <col min="3079" max="3079" width="13.375" style="401" customWidth="1"/>
    <col min="3080" max="3080" width="12.75" style="401" customWidth="1"/>
    <col min="3081" max="3083" width="9" style="401"/>
    <col min="3084" max="3085" width="8.125" style="401" bestFit="1" customWidth="1"/>
    <col min="3086" max="3086" width="9" style="401"/>
    <col min="3087" max="3087" width="21" style="401" customWidth="1"/>
    <col min="3088" max="3088" width="9.875" style="401" customWidth="1"/>
    <col min="3089" max="3089" width="8.125" style="401" bestFit="1" customWidth="1"/>
    <col min="3090" max="3090" width="10.75" style="401" customWidth="1"/>
    <col min="3091" max="3091" width="13.25" style="401" customWidth="1"/>
    <col min="3092" max="3092" width="12.125" style="401" customWidth="1"/>
    <col min="3093" max="3093" width="11.625" style="401" customWidth="1"/>
    <col min="3094" max="3094" width="15" style="401" customWidth="1"/>
    <col min="3095" max="3095" width="17.875" style="401" customWidth="1"/>
    <col min="3096" max="3321" width="9" style="401"/>
    <col min="3322" max="3322" width="7.875" style="401" customWidth="1"/>
    <col min="3323" max="3323" width="57.125" style="401" bestFit="1" customWidth="1"/>
    <col min="3324" max="3324" width="9.25" style="401" customWidth="1"/>
    <col min="3325" max="3325" width="7.375" style="401" customWidth="1"/>
    <col min="3326" max="3327" width="12.375" style="401" customWidth="1"/>
    <col min="3328" max="3328" width="11.75" style="401" customWidth="1"/>
    <col min="3329" max="3329" width="12.125" style="401" customWidth="1"/>
    <col min="3330" max="3330" width="13.75" style="401" customWidth="1"/>
    <col min="3331" max="3331" width="12.25" style="401" customWidth="1"/>
    <col min="3332" max="3332" width="8.125" style="401" bestFit="1" customWidth="1"/>
    <col min="3333" max="3333" width="10" style="401" customWidth="1"/>
    <col min="3334" max="3334" width="8.125" style="401" bestFit="1" customWidth="1"/>
    <col min="3335" max="3335" width="13.375" style="401" customWidth="1"/>
    <col min="3336" max="3336" width="12.75" style="401" customWidth="1"/>
    <col min="3337" max="3339" width="9" style="401"/>
    <col min="3340" max="3341" width="8.125" style="401" bestFit="1" customWidth="1"/>
    <col min="3342" max="3342" width="9" style="401"/>
    <col min="3343" max="3343" width="21" style="401" customWidth="1"/>
    <col min="3344" max="3344" width="9.875" style="401" customWidth="1"/>
    <col min="3345" max="3345" width="8.125" style="401" bestFit="1" customWidth="1"/>
    <col min="3346" max="3346" width="10.75" style="401" customWidth="1"/>
    <col min="3347" max="3347" width="13.25" style="401" customWidth="1"/>
    <col min="3348" max="3348" width="12.125" style="401" customWidth="1"/>
    <col min="3349" max="3349" width="11.625" style="401" customWidth="1"/>
    <col min="3350" max="3350" width="15" style="401" customWidth="1"/>
    <col min="3351" max="3351" width="17.875" style="401" customWidth="1"/>
    <col min="3352" max="3577" width="9" style="401"/>
    <col min="3578" max="3578" width="7.875" style="401" customWidth="1"/>
    <col min="3579" max="3579" width="57.125" style="401" bestFit="1" customWidth="1"/>
    <col min="3580" max="3580" width="9.25" style="401" customWidth="1"/>
    <col min="3581" max="3581" width="7.375" style="401" customWidth="1"/>
    <col min="3582" max="3583" width="12.375" style="401" customWidth="1"/>
    <col min="3584" max="3584" width="11.75" style="401" customWidth="1"/>
    <col min="3585" max="3585" width="12.125" style="401" customWidth="1"/>
    <col min="3586" max="3586" width="13.75" style="401" customWidth="1"/>
    <col min="3587" max="3587" width="12.25" style="401" customWidth="1"/>
    <col min="3588" max="3588" width="8.125" style="401" bestFit="1" customWidth="1"/>
    <col min="3589" max="3589" width="10" style="401" customWidth="1"/>
    <col min="3590" max="3590" width="8.125" style="401" bestFit="1" customWidth="1"/>
    <col min="3591" max="3591" width="13.375" style="401" customWidth="1"/>
    <col min="3592" max="3592" width="12.75" style="401" customWidth="1"/>
    <col min="3593" max="3595" width="9" style="401"/>
    <col min="3596" max="3597" width="8.125" style="401" bestFit="1" customWidth="1"/>
    <col min="3598" max="3598" width="9" style="401"/>
    <col min="3599" max="3599" width="21" style="401" customWidth="1"/>
    <col min="3600" max="3600" width="9.875" style="401" customWidth="1"/>
    <col min="3601" max="3601" width="8.125" style="401" bestFit="1" customWidth="1"/>
    <col min="3602" max="3602" width="10.75" style="401" customWidth="1"/>
    <col min="3603" max="3603" width="13.25" style="401" customWidth="1"/>
    <col min="3604" max="3604" width="12.125" style="401" customWidth="1"/>
    <col min="3605" max="3605" width="11.625" style="401" customWidth="1"/>
    <col min="3606" max="3606" width="15" style="401" customWidth="1"/>
    <col min="3607" max="3607" width="17.875" style="401" customWidth="1"/>
    <col min="3608" max="3833" width="9" style="401"/>
    <col min="3834" max="3834" width="7.875" style="401" customWidth="1"/>
    <col min="3835" max="3835" width="57.125" style="401" bestFit="1" customWidth="1"/>
    <col min="3836" max="3836" width="9.25" style="401" customWidth="1"/>
    <col min="3837" max="3837" width="7.375" style="401" customWidth="1"/>
    <col min="3838" max="3839" width="12.375" style="401" customWidth="1"/>
    <col min="3840" max="3840" width="11.75" style="401" customWidth="1"/>
    <col min="3841" max="3841" width="12.125" style="401" customWidth="1"/>
    <col min="3842" max="3842" width="13.75" style="401" customWidth="1"/>
    <col min="3843" max="3843" width="12.25" style="401" customWidth="1"/>
    <col min="3844" max="3844" width="8.125" style="401" bestFit="1" customWidth="1"/>
    <col min="3845" max="3845" width="10" style="401" customWidth="1"/>
    <col min="3846" max="3846" width="8.125" style="401" bestFit="1" customWidth="1"/>
    <col min="3847" max="3847" width="13.375" style="401" customWidth="1"/>
    <col min="3848" max="3848" width="12.75" style="401" customWidth="1"/>
    <col min="3849" max="3851" width="9" style="401"/>
    <col min="3852" max="3853" width="8.125" style="401" bestFit="1" customWidth="1"/>
    <col min="3854" max="3854" width="9" style="401"/>
    <col min="3855" max="3855" width="21" style="401" customWidth="1"/>
    <col min="3856" max="3856" width="9.875" style="401" customWidth="1"/>
    <col min="3857" max="3857" width="8.125" style="401" bestFit="1" customWidth="1"/>
    <col min="3858" max="3858" width="10.75" style="401" customWidth="1"/>
    <col min="3859" max="3859" width="13.25" style="401" customWidth="1"/>
    <col min="3860" max="3860" width="12.125" style="401" customWidth="1"/>
    <col min="3861" max="3861" width="11.625" style="401" customWidth="1"/>
    <col min="3862" max="3862" width="15" style="401" customWidth="1"/>
    <col min="3863" max="3863" width="17.875" style="401" customWidth="1"/>
    <col min="3864" max="4089" width="9" style="401"/>
    <col min="4090" max="4090" width="7.875" style="401" customWidth="1"/>
    <col min="4091" max="4091" width="57.125" style="401" bestFit="1" customWidth="1"/>
    <col min="4092" max="4092" width="9.25" style="401" customWidth="1"/>
    <col min="4093" max="4093" width="7.375" style="401" customWidth="1"/>
    <col min="4094" max="4095" width="12.375" style="401" customWidth="1"/>
    <col min="4096" max="4096" width="11.75" style="401" customWidth="1"/>
    <col min="4097" max="4097" width="12.125" style="401" customWidth="1"/>
    <col min="4098" max="4098" width="13.75" style="401" customWidth="1"/>
    <col min="4099" max="4099" width="12.25" style="401" customWidth="1"/>
    <col min="4100" max="4100" width="8.125" style="401" bestFit="1" customWidth="1"/>
    <col min="4101" max="4101" width="10" style="401" customWidth="1"/>
    <col min="4102" max="4102" width="8.125" style="401" bestFit="1" customWidth="1"/>
    <col min="4103" max="4103" width="13.375" style="401" customWidth="1"/>
    <col min="4104" max="4104" width="12.75" style="401" customWidth="1"/>
    <col min="4105" max="4107" width="9" style="401"/>
    <col min="4108" max="4109" width="8.125" style="401" bestFit="1" customWidth="1"/>
    <col min="4110" max="4110" width="9" style="401"/>
    <col min="4111" max="4111" width="21" style="401" customWidth="1"/>
    <col min="4112" max="4112" width="9.875" style="401" customWidth="1"/>
    <col min="4113" max="4113" width="8.125" style="401" bestFit="1" customWidth="1"/>
    <col min="4114" max="4114" width="10.75" style="401" customWidth="1"/>
    <col min="4115" max="4115" width="13.25" style="401" customWidth="1"/>
    <col min="4116" max="4116" width="12.125" style="401" customWidth="1"/>
    <col min="4117" max="4117" width="11.625" style="401" customWidth="1"/>
    <col min="4118" max="4118" width="15" style="401" customWidth="1"/>
    <col min="4119" max="4119" width="17.875" style="401" customWidth="1"/>
    <col min="4120" max="4345" width="9" style="401"/>
    <col min="4346" max="4346" width="7.875" style="401" customWidth="1"/>
    <col min="4347" max="4347" width="57.125" style="401" bestFit="1" customWidth="1"/>
    <col min="4348" max="4348" width="9.25" style="401" customWidth="1"/>
    <col min="4349" max="4349" width="7.375" style="401" customWidth="1"/>
    <col min="4350" max="4351" width="12.375" style="401" customWidth="1"/>
    <col min="4352" max="4352" width="11.75" style="401" customWidth="1"/>
    <col min="4353" max="4353" width="12.125" style="401" customWidth="1"/>
    <col min="4354" max="4354" width="13.75" style="401" customWidth="1"/>
    <col min="4355" max="4355" width="12.25" style="401" customWidth="1"/>
    <col min="4356" max="4356" width="8.125" style="401" bestFit="1" customWidth="1"/>
    <col min="4357" max="4357" width="10" style="401" customWidth="1"/>
    <col min="4358" max="4358" width="8.125" style="401" bestFit="1" customWidth="1"/>
    <col min="4359" max="4359" width="13.375" style="401" customWidth="1"/>
    <col min="4360" max="4360" width="12.75" style="401" customWidth="1"/>
    <col min="4361" max="4363" width="9" style="401"/>
    <col min="4364" max="4365" width="8.125" style="401" bestFit="1" customWidth="1"/>
    <col min="4366" max="4366" width="9" style="401"/>
    <col min="4367" max="4367" width="21" style="401" customWidth="1"/>
    <col min="4368" max="4368" width="9.875" style="401" customWidth="1"/>
    <col min="4369" max="4369" width="8.125" style="401" bestFit="1" customWidth="1"/>
    <col min="4370" max="4370" width="10.75" style="401" customWidth="1"/>
    <col min="4371" max="4371" width="13.25" style="401" customWidth="1"/>
    <col min="4372" max="4372" width="12.125" style="401" customWidth="1"/>
    <col min="4373" max="4373" width="11.625" style="401" customWidth="1"/>
    <col min="4374" max="4374" width="15" style="401" customWidth="1"/>
    <col min="4375" max="4375" width="17.875" style="401" customWidth="1"/>
    <col min="4376" max="4601" width="9" style="401"/>
    <col min="4602" max="4602" width="7.875" style="401" customWidth="1"/>
    <col min="4603" max="4603" width="57.125" style="401" bestFit="1" customWidth="1"/>
    <col min="4604" max="4604" width="9.25" style="401" customWidth="1"/>
    <col min="4605" max="4605" width="7.375" style="401" customWidth="1"/>
    <col min="4606" max="4607" width="12.375" style="401" customWidth="1"/>
    <col min="4608" max="4608" width="11.75" style="401" customWidth="1"/>
    <col min="4609" max="4609" width="12.125" style="401" customWidth="1"/>
    <col min="4610" max="4610" width="13.75" style="401" customWidth="1"/>
    <col min="4611" max="4611" width="12.25" style="401" customWidth="1"/>
    <col min="4612" max="4612" width="8.125" style="401" bestFit="1" customWidth="1"/>
    <col min="4613" max="4613" width="10" style="401" customWidth="1"/>
    <col min="4614" max="4614" width="8.125" style="401" bestFit="1" customWidth="1"/>
    <col min="4615" max="4615" width="13.375" style="401" customWidth="1"/>
    <col min="4616" max="4616" width="12.75" style="401" customWidth="1"/>
    <col min="4617" max="4619" width="9" style="401"/>
    <col min="4620" max="4621" width="8.125" style="401" bestFit="1" customWidth="1"/>
    <col min="4622" max="4622" width="9" style="401"/>
    <col min="4623" max="4623" width="21" style="401" customWidth="1"/>
    <col min="4624" max="4624" width="9.875" style="401" customWidth="1"/>
    <col min="4625" max="4625" width="8.125" style="401" bestFit="1" customWidth="1"/>
    <col min="4626" max="4626" width="10.75" style="401" customWidth="1"/>
    <col min="4627" max="4627" width="13.25" style="401" customWidth="1"/>
    <col min="4628" max="4628" width="12.125" style="401" customWidth="1"/>
    <col min="4629" max="4629" width="11.625" style="401" customWidth="1"/>
    <col min="4630" max="4630" width="15" style="401" customWidth="1"/>
    <col min="4631" max="4631" width="17.875" style="401" customWidth="1"/>
    <col min="4632" max="4857" width="9" style="401"/>
    <col min="4858" max="4858" width="7.875" style="401" customWidth="1"/>
    <col min="4859" max="4859" width="57.125" style="401" bestFit="1" customWidth="1"/>
    <col min="4860" max="4860" width="9.25" style="401" customWidth="1"/>
    <col min="4861" max="4861" width="7.375" style="401" customWidth="1"/>
    <col min="4862" max="4863" width="12.375" style="401" customWidth="1"/>
    <col min="4864" max="4864" width="11.75" style="401" customWidth="1"/>
    <col min="4865" max="4865" width="12.125" style="401" customWidth="1"/>
    <col min="4866" max="4866" width="13.75" style="401" customWidth="1"/>
    <col min="4867" max="4867" width="12.25" style="401" customWidth="1"/>
    <col min="4868" max="4868" width="8.125" style="401" bestFit="1" customWidth="1"/>
    <col min="4869" max="4869" width="10" style="401" customWidth="1"/>
    <col min="4870" max="4870" width="8.125" style="401" bestFit="1" customWidth="1"/>
    <col min="4871" max="4871" width="13.375" style="401" customWidth="1"/>
    <col min="4872" max="4872" width="12.75" style="401" customWidth="1"/>
    <col min="4873" max="4875" width="9" style="401"/>
    <col min="4876" max="4877" width="8.125" style="401" bestFit="1" customWidth="1"/>
    <col min="4878" max="4878" width="9" style="401"/>
    <col min="4879" max="4879" width="21" style="401" customWidth="1"/>
    <col min="4880" max="4880" width="9.875" style="401" customWidth="1"/>
    <col min="4881" max="4881" width="8.125" style="401" bestFit="1" customWidth="1"/>
    <col min="4882" max="4882" width="10.75" style="401" customWidth="1"/>
    <col min="4883" max="4883" width="13.25" style="401" customWidth="1"/>
    <col min="4884" max="4884" width="12.125" style="401" customWidth="1"/>
    <col min="4885" max="4885" width="11.625" style="401" customWidth="1"/>
    <col min="4886" max="4886" width="15" style="401" customWidth="1"/>
    <col min="4887" max="4887" width="17.875" style="401" customWidth="1"/>
    <col min="4888" max="5113" width="9" style="401"/>
    <col min="5114" max="5114" width="7.875" style="401" customWidth="1"/>
    <col min="5115" max="5115" width="57.125" style="401" bestFit="1" customWidth="1"/>
    <col min="5116" max="5116" width="9.25" style="401" customWidth="1"/>
    <col min="5117" max="5117" width="7.375" style="401" customWidth="1"/>
    <col min="5118" max="5119" width="12.375" style="401" customWidth="1"/>
    <col min="5120" max="5120" width="11.75" style="401" customWidth="1"/>
    <col min="5121" max="5121" width="12.125" style="401" customWidth="1"/>
    <col min="5122" max="5122" width="13.75" style="401" customWidth="1"/>
    <col min="5123" max="5123" width="12.25" style="401" customWidth="1"/>
    <col min="5124" max="5124" width="8.125" style="401" bestFit="1" customWidth="1"/>
    <col min="5125" max="5125" width="10" style="401" customWidth="1"/>
    <col min="5126" max="5126" width="8.125" style="401" bestFit="1" customWidth="1"/>
    <col min="5127" max="5127" width="13.375" style="401" customWidth="1"/>
    <col min="5128" max="5128" width="12.75" style="401" customWidth="1"/>
    <col min="5129" max="5131" width="9" style="401"/>
    <col min="5132" max="5133" width="8.125" style="401" bestFit="1" customWidth="1"/>
    <col min="5134" max="5134" width="9" style="401"/>
    <col min="5135" max="5135" width="21" style="401" customWidth="1"/>
    <col min="5136" max="5136" width="9.875" style="401" customWidth="1"/>
    <col min="5137" max="5137" width="8.125" style="401" bestFit="1" customWidth="1"/>
    <col min="5138" max="5138" width="10.75" style="401" customWidth="1"/>
    <col min="5139" max="5139" width="13.25" style="401" customWidth="1"/>
    <col min="5140" max="5140" width="12.125" style="401" customWidth="1"/>
    <col min="5141" max="5141" width="11.625" style="401" customWidth="1"/>
    <col min="5142" max="5142" width="15" style="401" customWidth="1"/>
    <col min="5143" max="5143" width="17.875" style="401" customWidth="1"/>
    <col min="5144" max="5369" width="9" style="401"/>
    <col min="5370" max="5370" width="7.875" style="401" customWidth="1"/>
    <col min="5371" max="5371" width="57.125" style="401" bestFit="1" customWidth="1"/>
    <col min="5372" max="5372" width="9.25" style="401" customWidth="1"/>
    <col min="5373" max="5373" width="7.375" style="401" customWidth="1"/>
    <col min="5374" max="5375" width="12.375" style="401" customWidth="1"/>
    <col min="5376" max="5376" width="11.75" style="401" customWidth="1"/>
    <col min="5377" max="5377" width="12.125" style="401" customWidth="1"/>
    <col min="5378" max="5378" width="13.75" style="401" customWidth="1"/>
    <col min="5379" max="5379" width="12.25" style="401" customWidth="1"/>
    <col min="5380" max="5380" width="8.125" style="401" bestFit="1" customWidth="1"/>
    <col min="5381" max="5381" width="10" style="401" customWidth="1"/>
    <col min="5382" max="5382" width="8.125" style="401" bestFit="1" customWidth="1"/>
    <col min="5383" max="5383" width="13.375" style="401" customWidth="1"/>
    <col min="5384" max="5384" width="12.75" style="401" customWidth="1"/>
    <col min="5385" max="5387" width="9" style="401"/>
    <col min="5388" max="5389" width="8.125" style="401" bestFit="1" customWidth="1"/>
    <col min="5390" max="5390" width="9" style="401"/>
    <col min="5391" max="5391" width="21" style="401" customWidth="1"/>
    <col min="5392" max="5392" width="9.875" style="401" customWidth="1"/>
    <col min="5393" max="5393" width="8.125" style="401" bestFit="1" customWidth="1"/>
    <col min="5394" max="5394" width="10.75" style="401" customWidth="1"/>
    <col min="5395" max="5395" width="13.25" style="401" customWidth="1"/>
    <col min="5396" max="5396" width="12.125" style="401" customWidth="1"/>
    <col min="5397" max="5397" width="11.625" style="401" customWidth="1"/>
    <col min="5398" max="5398" width="15" style="401" customWidth="1"/>
    <col min="5399" max="5399" width="17.875" style="401" customWidth="1"/>
    <col min="5400" max="5625" width="9" style="401"/>
    <col min="5626" max="5626" width="7.875" style="401" customWidth="1"/>
    <col min="5627" max="5627" width="57.125" style="401" bestFit="1" customWidth="1"/>
    <col min="5628" max="5628" width="9.25" style="401" customWidth="1"/>
    <col min="5629" max="5629" width="7.375" style="401" customWidth="1"/>
    <col min="5630" max="5631" width="12.375" style="401" customWidth="1"/>
    <col min="5632" max="5632" width="11.75" style="401" customWidth="1"/>
    <col min="5633" max="5633" width="12.125" style="401" customWidth="1"/>
    <col min="5634" max="5634" width="13.75" style="401" customWidth="1"/>
    <col min="5635" max="5635" width="12.25" style="401" customWidth="1"/>
    <col min="5636" max="5636" width="8.125" style="401" bestFit="1" customWidth="1"/>
    <col min="5637" max="5637" width="10" style="401" customWidth="1"/>
    <col min="5638" max="5638" width="8.125" style="401" bestFit="1" customWidth="1"/>
    <col min="5639" max="5639" width="13.375" style="401" customWidth="1"/>
    <col min="5640" max="5640" width="12.75" style="401" customWidth="1"/>
    <col min="5641" max="5643" width="9" style="401"/>
    <col min="5644" max="5645" width="8.125" style="401" bestFit="1" customWidth="1"/>
    <col min="5646" max="5646" width="9" style="401"/>
    <col min="5647" max="5647" width="21" style="401" customWidth="1"/>
    <col min="5648" max="5648" width="9.875" style="401" customWidth="1"/>
    <col min="5649" max="5649" width="8.125" style="401" bestFit="1" customWidth="1"/>
    <col min="5650" max="5650" width="10.75" style="401" customWidth="1"/>
    <col min="5651" max="5651" width="13.25" style="401" customWidth="1"/>
    <col min="5652" max="5652" width="12.125" style="401" customWidth="1"/>
    <col min="5653" max="5653" width="11.625" style="401" customWidth="1"/>
    <col min="5654" max="5654" width="15" style="401" customWidth="1"/>
    <col min="5655" max="5655" width="17.875" style="401" customWidth="1"/>
    <col min="5656" max="5881" width="9" style="401"/>
    <col min="5882" max="5882" width="7.875" style="401" customWidth="1"/>
    <col min="5883" max="5883" width="57.125" style="401" bestFit="1" customWidth="1"/>
    <col min="5884" max="5884" width="9.25" style="401" customWidth="1"/>
    <col min="5885" max="5885" width="7.375" style="401" customWidth="1"/>
    <col min="5886" max="5887" width="12.375" style="401" customWidth="1"/>
    <col min="5888" max="5888" width="11.75" style="401" customWidth="1"/>
    <col min="5889" max="5889" width="12.125" style="401" customWidth="1"/>
    <col min="5890" max="5890" width="13.75" style="401" customWidth="1"/>
    <col min="5891" max="5891" width="12.25" style="401" customWidth="1"/>
    <col min="5892" max="5892" width="8.125" style="401" bestFit="1" customWidth="1"/>
    <col min="5893" max="5893" width="10" style="401" customWidth="1"/>
    <col min="5894" max="5894" width="8.125" style="401" bestFit="1" customWidth="1"/>
    <col min="5895" max="5895" width="13.375" style="401" customWidth="1"/>
    <col min="5896" max="5896" width="12.75" style="401" customWidth="1"/>
    <col min="5897" max="5899" width="9" style="401"/>
    <col min="5900" max="5901" width="8.125" style="401" bestFit="1" customWidth="1"/>
    <col min="5902" max="5902" width="9" style="401"/>
    <col min="5903" max="5903" width="21" style="401" customWidth="1"/>
    <col min="5904" max="5904" width="9.875" style="401" customWidth="1"/>
    <col min="5905" max="5905" width="8.125" style="401" bestFit="1" customWidth="1"/>
    <col min="5906" max="5906" width="10.75" style="401" customWidth="1"/>
    <col min="5907" max="5907" width="13.25" style="401" customWidth="1"/>
    <col min="5908" max="5908" width="12.125" style="401" customWidth="1"/>
    <col min="5909" max="5909" width="11.625" style="401" customWidth="1"/>
    <col min="5910" max="5910" width="15" style="401" customWidth="1"/>
    <col min="5911" max="5911" width="17.875" style="401" customWidth="1"/>
    <col min="5912" max="6137" width="9" style="401"/>
    <col min="6138" max="6138" width="7.875" style="401" customWidth="1"/>
    <col min="6139" max="6139" width="57.125" style="401" bestFit="1" customWidth="1"/>
    <col min="6140" max="6140" width="9.25" style="401" customWidth="1"/>
    <col min="6141" max="6141" width="7.375" style="401" customWidth="1"/>
    <col min="6142" max="6143" width="12.375" style="401" customWidth="1"/>
    <col min="6144" max="6144" width="11.75" style="401" customWidth="1"/>
    <col min="6145" max="6145" width="12.125" style="401" customWidth="1"/>
    <col min="6146" max="6146" width="13.75" style="401" customWidth="1"/>
    <col min="6147" max="6147" width="12.25" style="401" customWidth="1"/>
    <col min="6148" max="6148" width="8.125" style="401" bestFit="1" customWidth="1"/>
    <col min="6149" max="6149" width="10" style="401" customWidth="1"/>
    <col min="6150" max="6150" width="8.125" style="401" bestFit="1" customWidth="1"/>
    <col min="6151" max="6151" width="13.375" style="401" customWidth="1"/>
    <col min="6152" max="6152" width="12.75" style="401" customWidth="1"/>
    <col min="6153" max="6155" width="9" style="401"/>
    <col min="6156" max="6157" width="8.125" style="401" bestFit="1" customWidth="1"/>
    <col min="6158" max="6158" width="9" style="401"/>
    <col min="6159" max="6159" width="21" style="401" customWidth="1"/>
    <col min="6160" max="6160" width="9.875" style="401" customWidth="1"/>
    <col min="6161" max="6161" width="8.125" style="401" bestFit="1" customWidth="1"/>
    <col min="6162" max="6162" width="10.75" style="401" customWidth="1"/>
    <col min="6163" max="6163" width="13.25" style="401" customWidth="1"/>
    <col min="6164" max="6164" width="12.125" style="401" customWidth="1"/>
    <col min="6165" max="6165" width="11.625" style="401" customWidth="1"/>
    <col min="6166" max="6166" width="15" style="401" customWidth="1"/>
    <col min="6167" max="6167" width="17.875" style="401" customWidth="1"/>
    <col min="6168" max="6393" width="9" style="401"/>
    <col min="6394" max="6394" width="7.875" style="401" customWidth="1"/>
    <col min="6395" max="6395" width="57.125" style="401" bestFit="1" customWidth="1"/>
    <col min="6396" max="6396" width="9.25" style="401" customWidth="1"/>
    <col min="6397" max="6397" width="7.375" style="401" customWidth="1"/>
    <col min="6398" max="6399" width="12.375" style="401" customWidth="1"/>
    <col min="6400" max="6400" width="11.75" style="401" customWidth="1"/>
    <col min="6401" max="6401" width="12.125" style="401" customWidth="1"/>
    <col min="6402" max="6402" width="13.75" style="401" customWidth="1"/>
    <col min="6403" max="6403" width="12.25" style="401" customWidth="1"/>
    <col min="6404" max="6404" width="8.125" style="401" bestFit="1" customWidth="1"/>
    <col min="6405" max="6405" width="10" style="401" customWidth="1"/>
    <col min="6406" max="6406" width="8.125" style="401" bestFit="1" customWidth="1"/>
    <col min="6407" max="6407" width="13.375" style="401" customWidth="1"/>
    <col min="6408" max="6408" width="12.75" style="401" customWidth="1"/>
    <col min="6409" max="6411" width="9" style="401"/>
    <col min="6412" max="6413" width="8.125" style="401" bestFit="1" customWidth="1"/>
    <col min="6414" max="6414" width="9" style="401"/>
    <col min="6415" max="6415" width="21" style="401" customWidth="1"/>
    <col min="6416" max="6416" width="9.875" style="401" customWidth="1"/>
    <col min="6417" max="6417" width="8.125" style="401" bestFit="1" customWidth="1"/>
    <col min="6418" max="6418" width="10.75" style="401" customWidth="1"/>
    <col min="6419" max="6419" width="13.25" style="401" customWidth="1"/>
    <col min="6420" max="6420" width="12.125" style="401" customWidth="1"/>
    <col min="6421" max="6421" width="11.625" style="401" customWidth="1"/>
    <col min="6422" max="6422" width="15" style="401" customWidth="1"/>
    <col min="6423" max="6423" width="17.875" style="401" customWidth="1"/>
    <col min="6424" max="6649" width="9" style="401"/>
    <col min="6650" max="6650" width="7.875" style="401" customWidth="1"/>
    <col min="6651" max="6651" width="57.125" style="401" bestFit="1" customWidth="1"/>
    <col min="6652" max="6652" width="9.25" style="401" customWidth="1"/>
    <col min="6653" max="6653" width="7.375" style="401" customWidth="1"/>
    <col min="6654" max="6655" width="12.375" style="401" customWidth="1"/>
    <col min="6656" max="6656" width="11.75" style="401" customWidth="1"/>
    <col min="6657" max="6657" width="12.125" style="401" customWidth="1"/>
    <col min="6658" max="6658" width="13.75" style="401" customWidth="1"/>
    <col min="6659" max="6659" width="12.25" style="401" customWidth="1"/>
    <col min="6660" max="6660" width="8.125" style="401" bestFit="1" customWidth="1"/>
    <col min="6661" max="6661" width="10" style="401" customWidth="1"/>
    <col min="6662" max="6662" width="8.125" style="401" bestFit="1" customWidth="1"/>
    <col min="6663" max="6663" width="13.375" style="401" customWidth="1"/>
    <col min="6664" max="6664" width="12.75" style="401" customWidth="1"/>
    <col min="6665" max="6667" width="9" style="401"/>
    <col min="6668" max="6669" width="8.125" style="401" bestFit="1" customWidth="1"/>
    <col min="6670" max="6670" width="9" style="401"/>
    <col min="6671" max="6671" width="21" style="401" customWidth="1"/>
    <col min="6672" max="6672" width="9.875" style="401" customWidth="1"/>
    <col min="6673" max="6673" width="8.125" style="401" bestFit="1" customWidth="1"/>
    <col min="6674" max="6674" width="10.75" style="401" customWidth="1"/>
    <col min="6675" max="6675" width="13.25" style="401" customWidth="1"/>
    <col min="6676" max="6676" width="12.125" style="401" customWidth="1"/>
    <col min="6677" max="6677" width="11.625" style="401" customWidth="1"/>
    <col min="6678" max="6678" width="15" style="401" customWidth="1"/>
    <col min="6679" max="6679" width="17.875" style="401" customWidth="1"/>
    <col min="6680" max="6905" width="9" style="401"/>
    <col min="6906" max="6906" width="7.875" style="401" customWidth="1"/>
    <col min="6907" max="6907" width="57.125" style="401" bestFit="1" customWidth="1"/>
    <col min="6908" max="6908" width="9.25" style="401" customWidth="1"/>
    <col min="6909" max="6909" width="7.375" style="401" customWidth="1"/>
    <col min="6910" max="6911" width="12.375" style="401" customWidth="1"/>
    <col min="6912" max="6912" width="11.75" style="401" customWidth="1"/>
    <col min="6913" max="6913" width="12.125" style="401" customWidth="1"/>
    <col min="6914" max="6914" width="13.75" style="401" customWidth="1"/>
    <col min="6915" max="6915" width="12.25" style="401" customWidth="1"/>
    <col min="6916" max="6916" width="8.125" style="401" bestFit="1" customWidth="1"/>
    <col min="6917" max="6917" width="10" style="401" customWidth="1"/>
    <col min="6918" max="6918" width="8.125" style="401" bestFit="1" customWidth="1"/>
    <col min="6919" max="6919" width="13.375" style="401" customWidth="1"/>
    <col min="6920" max="6920" width="12.75" style="401" customWidth="1"/>
    <col min="6921" max="6923" width="9" style="401"/>
    <col min="6924" max="6925" width="8.125" style="401" bestFit="1" customWidth="1"/>
    <col min="6926" max="6926" width="9" style="401"/>
    <col min="6927" max="6927" width="21" style="401" customWidth="1"/>
    <col min="6928" max="6928" width="9.875" style="401" customWidth="1"/>
    <col min="6929" max="6929" width="8.125" style="401" bestFit="1" customWidth="1"/>
    <col min="6930" max="6930" width="10.75" style="401" customWidth="1"/>
    <col min="6931" max="6931" width="13.25" style="401" customWidth="1"/>
    <col min="6932" max="6932" width="12.125" style="401" customWidth="1"/>
    <col min="6933" max="6933" width="11.625" style="401" customWidth="1"/>
    <col min="6934" max="6934" width="15" style="401" customWidth="1"/>
    <col min="6935" max="6935" width="17.875" style="401" customWidth="1"/>
    <col min="6936" max="7161" width="9" style="401"/>
    <col min="7162" max="7162" width="7.875" style="401" customWidth="1"/>
    <col min="7163" max="7163" width="57.125" style="401" bestFit="1" customWidth="1"/>
    <col min="7164" max="7164" width="9.25" style="401" customWidth="1"/>
    <col min="7165" max="7165" width="7.375" style="401" customWidth="1"/>
    <col min="7166" max="7167" width="12.375" style="401" customWidth="1"/>
    <col min="7168" max="7168" width="11.75" style="401" customWidth="1"/>
    <col min="7169" max="7169" width="12.125" style="401" customWidth="1"/>
    <col min="7170" max="7170" width="13.75" style="401" customWidth="1"/>
    <col min="7171" max="7171" width="12.25" style="401" customWidth="1"/>
    <col min="7172" max="7172" width="8.125" style="401" bestFit="1" customWidth="1"/>
    <col min="7173" max="7173" width="10" style="401" customWidth="1"/>
    <col min="7174" max="7174" width="8.125" style="401" bestFit="1" customWidth="1"/>
    <col min="7175" max="7175" width="13.375" style="401" customWidth="1"/>
    <col min="7176" max="7176" width="12.75" style="401" customWidth="1"/>
    <col min="7177" max="7179" width="9" style="401"/>
    <col min="7180" max="7181" width="8.125" style="401" bestFit="1" customWidth="1"/>
    <col min="7182" max="7182" width="9" style="401"/>
    <col min="7183" max="7183" width="21" style="401" customWidth="1"/>
    <col min="7184" max="7184" width="9.875" style="401" customWidth="1"/>
    <col min="7185" max="7185" width="8.125" style="401" bestFit="1" customWidth="1"/>
    <col min="7186" max="7186" width="10.75" style="401" customWidth="1"/>
    <col min="7187" max="7187" width="13.25" style="401" customWidth="1"/>
    <col min="7188" max="7188" width="12.125" style="401" customWidth="1"/>
    <col min="7189" max="7189" width="11.625" style="401" customWidth="1"/>
    <col min="7190" max="7190" width="15" style="401" customWidth="1"/>
    <col min="7191" max="7191" width="17.875" style="401" customWidth="1"/>
    <col min="7192" max="7417" width="9" style="401"/>
    <col min="7418" max="7418" width="7.875" style="401" customWidth="1"/>
    <col min="7419" max="7419" width="57.125" style="401" bestFit="1" customWidth="1"/>
    <col min="7420" max="7420" width="9.25" style="401" customWidth="1"/>
    <col min="7421" max="7421" width="7.375" style="401" customWidth="1"/>
    <col min="7422" max="7423" width="12.375" style="401" customWidth="1"/>
    <col min="7424" max="7424" width="11.75" style="401" customWidth="1"/>
    <col min="7425" max="7425" width="12.125" style="401" customWidth="1"/>
    <col min="7426" max="7426" width="13.75" style="401" customWidth="1"/>
    <col min="7427" max="7427" width="12.25" style="401" customWidth="1"/>
    <col min="7428" max="7428" width="8.125" style="401" bestFit="1" customWidth="1"/>
    <col min="7429" max="7429" width="10" style="401" customWidth="1"/>
    <col min="7430" max="7430" width="8.125" style="401" bestFit="1" customWidth="1"/>
    <col min="7431" max="7431" width="13.375" style="401" customWidth="1"/>
    <col min="7432" max="7432" width="12.75" style="401" customWidth="1"/>
    <col min="7433" max="7435" width="9" style="401"/>
    <col min="7436" max="7437" width="8.125" style="401" bestFit="1" customWidth="1"/>
    <col min="7438" max="7438" width="9" style="401"/>
    <col min="7439" max="7439" width="21" style="401" customWidth="1"/>
    <col min="7440" max="7440" width="9.875" style="401" customWidth="1"/>
    <col min="7441" max="7441" width="8.125" style="401" bestFit="1" customWidth="1"/>
    <col min="7442" max="7442" width="10.75" style="401" customWidth="1"/>
    <col min="7443" max="7443" width="13.25" style="401" customWidth="1"/>
    <col min="7444" max="7444" width="12.125" style="401" customWidth="1"/>
    <col min="7445" max="7445" width="11.625" style="401" customWidth="1"/>
    <col min="7446" max="7446" width="15" style="401" customWidth="1"/>
    <col min="7447" max="7447" width="17.875" style="401" customWidth="1"/>
    <col min="7448" max="7673" width="9" style="401"/>
    <col min="7674" max="7674" width="7.875" style="401" customWidth="1"/>
    <col min="7675" max="7675" width="57.125" style="401" bestFit="1" customWidth="1"/>
    <col min="7676" max="7676" width="9.25" style="401" customWidth="1"/>
    <col min="7677" max="7677" width="7.375" style="401" customWidth="1"/>
    <col min="7678" max="7679" width="12.375" style="401" customWidth="1"/>
    <col min="7680" max="7680" width="11.75" style="401" customWidth="1"/>
    <col min="7681" max="7681" width="12.125" style="401" customWidth="1"/>
    <col min="7682" max="7682" width="13.75" style="401" customWidth="1"/>
    <col min="7683" max="7683" width="12.25" style="401" customWidth="1"/>
    <col min="7684" max="7684" width="8.125" style="401" bestFit="1" customWidth="1"/>
    <col min="7685" max="7685" width="10" style="401" customWidth="1"/>
    <col min="7686" max="7686" width="8.125" style="401" bestFit="1" customWidth="1"/>
    <col min="7687" max="7687" width="13.375" style="401" customWidth="1"/>
    <col min="7688" max="7688" width="12.75" style="401" customWidth="1"/>
    <col min="7689" max="7691" width="9" style="401"/>
    <col min="7692" max="7693" width="8.125" style="401" bestFit="1" customWidth="1"/>
    <col min="7694" max="7694" width="9" style="401"/>
    <col min="7695" max="7695" width="21" style="401" customWidth="1"/>
    <col min="7696" max="7696" width="9.875" style="401" customWidth="1"/>
    <col min="7697" max="7697" width="8.125" style="401" bestFit="1" customWidth="1"/>
    <col min="7698" max="7698" width="10.75" style="401" customWidth="1"/>
    <col min="7699" max="7699" width="13.25" style="401" customWidth="1"/>
    <col min="7700" max="7700" width="12.125" style="401" customWidth="1"/>
    <col min="7701" max="7701" width="11.625" style="401" customWidth="1"/>
    <col min="7702" max="7702" width="15" style="401" customWidth="1"/>
    <col min="7703" max="7703" width="17.875" style="401" customWidth="1"/>
    <col min="7704" max="7929" width="9" style="401"/>
    <col min="7930" max="7930" width="7.875" style="401" customWidth="1"/>
    <col min="7931" max="7931" width="57.125" style="401" bestFit="1" customWidth="1"/>
    <col min="7932" max="7932" width="9.25" style="401" customWidth="1"/>
    <col min="7933" max="7933" width="7.375" style="401" customWidth="1"/>
    <col min="7934" max="7935" width="12.375" style="401" customWidth="1"/>
    <col min="7936" max="7936" width="11.75" style="401" customWidth="1"/>
    <col min="7937" max="7937" width="12.125" style="401" customWidth="1"/>
    <col min="7938" max="7938" width="13.75" style="401" customWidth="1"/>
    <col min="7939" max="7939" width="12.25" style="401" customWidth="1"/>
    <col min="7940" max="7940" width="8.125" style="401" bestFit="1" customWidth="1"/>
    <col min="7941" max="7941" width="10" style="401" customWidth="1"/>
    <col min="7942" max="7942" width="8.125" style="401" bestFit="1" customWidth="1"/>
    <col min="7943" max="7943" width="13.375" style="401" customWidth="1"/>
    <col min="7944" max="7944" width="12.75" style="401" customWidth="1"/>
    <col min="7945" max="7947" width="9" style="401"/>
    <col min="7948" max="7949" width="8.125" style="401" bestFit="1" customWidth="1"/>
    <col min="7950" max="7950" width="9" style="401"/>
    <col min="7951" max="7951" width="21" style="401" customWidth="1"/>
    <col min="7952" max="7952" width="9.875" style="401" customWidth="1"/>
    <col min="7953" max="7953" width="8.125" style="401" bestFit="1" customWidth="1"/>
    <col min="7954" max="7954" width="10.75" style="401" customWidth="1"/>
    <col min="7955" max="7955" width="13.25" style="401" customWidth="1"/>
    <col min="7956" max="7956" width="12.125" style="401" customWidth="1"/>
    <col min="7957" max="7957" width="11.625" style="401" customWidth="1"/>
    <col min="7958" max="7958" width="15" style="401" customWidth="1"/>
    <col min="7959" max="7959" width="17.875" style="401" customWidth="1"/>
    <col min="7960" max="8185" width="9" style="401"/>
    <col min="8186" max="8186" width="7.875" style="401" customWidth="1"/>
    <col min="8187" max="8187" width="57.125" style="401" bestFit="1" customWidth="1"/>
    <col min="8188" max="8188" width="9.25" style="401" customWidth="1"/>
    <col min="8189" max="8189" width="7.375" style="401" customWidth="1"/>
    <col min="8190" max="8191" width="12.375" style="401" customWidth="1"/>
    <col min="8192" max="8192" width="11.75" style="401" customWidth="1"/>
    <col min="8193" max="8193" width="12.125" style="401" customWidth="1"/>
    <col min="8194" max="8194" width="13.75" style="401" customWidth="1"/>
    <col min="8195" max="8195" width="12.25" style="401" customWidth="1"/>
    <col min="8196" max="8196" width="8.125" style="401" bestFit="1" customWidth="1"/>
    <col min="8197" max="8197" width="10" style="401" customWidth="1"/>
    <col min="8198" max="8198" width="8.125" style="401" bestFit="1" customWidth="1"/>
    <col min="8199" max="8199" width="13.375" style="401" customWidth="1"/>
    <col min="8200" max="8200" width="12.75" style="401" customWidth="1"/>
    <col min="8201" max="8203" width="9" style="401"/>
    <col min="8204" max="8205" width="8.125" style="401" bestFit="1" customWidth="1"/>
    <col min="8206" max="8206" width="9" style="401"/>
    <col min="8207" max="8207" width="21" style="401" customWidth="1"/>
    <col min="8208" max="8208" width="9.875" style="401" customWidth="1"/>
    <col min="8209" max="8209" width="8.125" style="401" bestFit="1" customWidth="1"/>
    <col min="8210" max="8210" width="10.75" style="401" customWidth="1"/>
    <col min="8211" max="8211" width="13.25" style="401" customWidth="1"/>
    <col min="8212" max="8212" width="12.125" style="401" customWidth="1"/>
    <col min="8213" max="8213" width="11.625" style="401" customWidth="1"/>
    <col min="8214" max="8214" width="15" style="401" customWidth="1"/>
    <col min="8215" max="8215" width="17.875" style="401" customWidth="1"/>
    <col min="8216" max="8441" width="9" style="401"/>
    <col min="8442" max="8442" width="7.875" style="401" customWidth="1"/>
    <col min="8443" max="8443" width="57.125" style="401" bestFit="1" customWidth="1"/>
    <col min="8444" max="8444" width="9.25" style="401" customWidth="1"/>
    <col min="8445" max="8445" width="7.375" style="401" customWidth="1"/>
    <col min="8446" max="8447" width="12.375" style="401" customWidth="1"/>
    <col min="8448" max="8448" width="11.75" style="401" customWidth="1"/>
    <col min="8449" max="8449" width="12.125" style="401" customWidth="1"/>
    <col min="8450" max="8450" width="13.75" style="401" customWidth="1"/>
    <col min="8451" max="8451" width="12.25" style="401" customWidth="1"/>
    <col min="8452" max="8452" width="8.125" style="401" bestFit="1" customWidth="1"/>
    <col min="8453" max="8453" width="10" style="401" customWidth="1"/>
    <col min="8454" max="8454" width="8.125" style="401" bestFit="1" customWidth="1"/>
    <col min="8455" max="8455" width="13.375" style="401" customWidth="1"/>
    <col min="8456" max="8456" width="12.75" style="401" customWidth="1"/>
    <col min="8457" max="8459" width="9" style="401"/>
    <col min="8460" max="8461" width="8.125" style="401" bestFit="1" customWidth="1"/>
    <col min="8462" max="8462" width="9" style="401"/>
    <col min="8463" max="8463" width="21" style="401" customWidth="1"/>
    <col min="8464" max="8464" width="9.875" style="401" customWidth="1"/>
    <col min="8465" max="8465" width="8.125" style="401" bestFit="1" customWidth="1"/>
    <col min="8466" max="8466" width="10.75" style="401" customWidth="1"/>
    <col min="8467" max="8467" width="13.25" style="401" customWidth="1"/>
    <col min="8468" max="8468" width="12.125" style="401" customWidth="1"/>
    <col min="8469" max="8469" width="11.625" style="401" customWidth="1"/>
    <col min="8470" max="8470" width="15" style="401" customWidth="1"/>
    <col min="8471" max="8471" width="17.875" style="401" customWidth="1"/>
    <col min="8472" max="8697" width="9" style="401"/>
    <col min="8698" max="8698" width="7.875" style="401" customWidth="1"/>
    <col min="8699" max="8699" width="57.125" style="401" bestFit="1" customWidth="1"/>
    <col min="8700" max="8700" width="9.25" style="401" customWidth="1"/>
    <col min="8701" max="8701" width="7.375" style="401" customWidth="1"/>
    <col min="8702" max="8703" width="12.375" style="401" customWidth="1"/>
    <col min="8704" max="8704" width="11.75" style="401" customWidth="1"/>
    <col min="8705" max="8705" width="12.125" style="401" customWidth="1"/>
    <col min="8706" max="8706" width="13.75" style="401" customWidth="1"/>
    <col min="8707" max="8707" width="12.25" style="401" customWidth="1"/>
    <col min="8708" max="8708" width="8.125" style="401" bestFit="1" customWidth="1"/>
    <col min="8709" max="8709" width="10" style="401" customWidth="1"/>
    <col min="8710" max="8710" width="8.125" style="401" bestFit="1" customWidth="1"/>
    <col min="8711" max="8711" width="13.375" style="401" customWidth="1"/>
    <col min="8712" max="8712" width="12.75" style="401" customWidth="1"/>
    <col min="8713" max="8715" width="9" style="401"/>
    <col min="8716" max="8717" width="8.125" style="401" bestFit="1" customWidth="1"/>
    <col min="8718" max="8718" width="9" style="401"/>
    <col min="8719" max="8719" width="21" style="401" customWidth="1"/>
    <col min="8720" max="8720" width="9.875" style="401" customWidth="1"/>
    <col min="8721" max="8721" width="8.125" style="401" bestFit="1" customWidth="1"/>
    <col min="8722" max="8722" width="10.75" style="401" customWidth="1"/>
    <col min="8723" max="8723" width="13.25" style="401" customWidth="1"/>
    <col min="8724" max="8724" width="12.125" style="401" customWidth="1"/>
    <col min="8725" max="8725" width="11.625" style="401" customWidth="1"/>
    <col min="8726" max="8726" width="15" style="401" customWidth="1"/>
    <col min="8727" max="8727" width="17.875" style="401" customWidth="1"/>
    <col min="8728" max="8953" width="9" style="401"/>
    <col min="8954" max="8954" width="7.875" style="401" customWidth="1"/>
    <col min="8955" max="8955" width="57.125" style="401" bestFit="1" customWidth="1"/>
    <col min="8956" max="8956" width="9.25" style="401" customWidth="1"/>
    <col min="8957" max="8957" width="7.375" style="401" customWidth="1"/>
    <col min="8958" max="8959" width="12.375" style="401" customWidth="1"/>
    <col min="8960" max="8960" width="11.75" style="401" customWidth="1"/>
    <col min="8961" max="8961" width="12.125" style="401" customWidth="1"/>
    <col min="8962" max="8962" width="13.75" style="401" customWidth="1"/>
    <col min="8963" max="8963" width="12.25" style="401" customWidth="1"/>
    <col min="8964" max="8964" width="8.125" style="401" bestFit="1" customWidth="1"/>
    <col min="8965" max="8965" width="10" style="401" customWidth="1"/>
    <col min="8966" max="8966" width="8.125" style="401" bestFit="1" customWidth="1"/>
    <col min="8967" max="8967" width="13.375" style="401" customWidth="1"/>
    <col min="8968" max="8968" width="12.75" style="401" customWidth="1"/>
    <col min="8969" max="8971" width="9" style="401"/>
    <col min="8972" max="8973" width="8.125" style="401" bestFit="1" customWidth="1"/>
    <col min="8974" max="8974" width="9" style="401"/>
    <col min="8975" max="8975" width="21" style="401" customWidth="1"/>
    <col min="8976" max="8976" width="9.875" style="401" customWidth="1"/>
    <col min="8977" max="8977" width="8.125" style="401" bestFit="1" customWidth="1"/>
    <col min="8978" max="8978" width="10.75" style="401" customWidth="1"/>
    <col min="8979" max="8979" width="13.25" style="401" customWidth="1"/>
    <col min="8980" max="8980" width="12.125" style="401" customWidth="1"/>
    <col min="8981" max="8981" width="11.625" style="401" customWidth="1"/>
    <col min="8982" max="8982" width="15" style="401" customWidth="1"/>
    <col min="8983" max="8983" width="17.875" style="401" customWidth="1"/>
    <col min="8984" max="9209" width="9" style="401"/>
    <col min="9210" max="9210" width="7.875" style="401" customWidth="1"/>
    <col min="9211" max="9211" width="57.125" style="401" bestFit="1" customWidth="1"/>
    <col min="9212" max="9212" width="9.25" style="401" customWidth="1"/>
    <col min="9213" max="9213" width="7.375" style="401" customWidth="1"/>
    <col min="9214" max="9215" width="12.375" style="401" customWidth="1"/>
    <col min="9216" max="9216" width="11.75" style="401" customWidth="1"/>
    <col min="9217" max="9217" width="12.125" style="401" customWidth="1"/>
    <col min="9218" max="9218" width="13.75" style="401" customWidth="1"/>
    <col min="9219" max="9219" width="12.25" style="401" customWidth="1"/>
    <col min="9220" max="9220" width="8.125" style="401" bestFit="1" customWidth="1"/>
    <col min="9221" max="9221" width="10" style="401" customWidth="1"/>
    <col min="9222" max="9222" width="8.125" style="401" bestFit="1" customWidth="1"/>
    <col min="9223" max="9223" width="13.375" style="401" customWidth="1"/>
    <col min="9224" max="9224" width="12.75" style="401" customWidth="1"/>
    <col min="9225" max="9227" width="9" style="401"/>
    <col min="9228" max="9229" width="8.125" style="401" bestFit="1" customWidth="1"/>
    <col min="9230" max="9230" width="9" style="401"/>
    <col min="9231" max="9231" width="21" style="401" customWidth="1"/>
    <col min="9232" max="9232" width="9.875" style="401" customWidth="1"/>
    <col min="9233" max="9233" width="8.125" style="401" bestFit="1" customWidth="1"/>
    <col min="9234" max="9234" width="10.75" style="401" customWidth="1"/>
    <col min="9235" max="9235" width="13.25" style="401" customWidth="1"/>
    <col min="9236" max="9236" width="12.125" style="401" customWidth="1"/>
    <col min="9237" max="9237" width="11.625" style="401" customWidth="1"/>
    <col min="9238" max="9238" width="15" style="401" customWidth="1"/>
    <col min="9239" max="9239" width="17.875" style="401" customWidth="1"/>
    <col min="9240" max="9465" width="9" style="401"/>
    <col min="9466" max="9466" width="7.875" style="401" customWidth="1"/>
    <col min="9467" max="9467" width="57.125" style="401" bestFit="1" customWidth="1"/>
    <col min="9468" max="9468" width="9.25" style="401" customWidth="1"/>
    <col min="9469" max="9469" width="7.375" style="401" customWidth="1"/>
    <col min="9470" max="9471" width="12.375" style="401" customWidth="1"/>
    <col min="9472" max="9472" width="11.75" style="401" customWidth="1"/>
    <col min="9473" max="9473" width="12.125" style="401" customWidth="1"/>
    <col min="9474" max="9474" width="13.75" style="401" customWidth="1"/>
    <col min="9475" max="9475" width="12.25" style="401" customWidth="1"/>
    <col min="9476" max="9476" width="8.125" style="401" bestFit="1" customWidth="1"/>
    <col min="9477" max="9477" width="10" style="401" customWidth="1"/>
    <col min="9478" max="9478" width="8.125" style="401" bestFit="1" customWidth="1"/>
    <col min="9479" max="9479" width="13.375" style="401" customWidth="1"/>
    <col min="9480" max="9480" width="12.75" style="401" customWidth="1"/>
    <col min="9481" max="9483" width="9" style="401"/>
    <col min="9484" max="9485" width="8.125" style="401" bestFit="1" customWidth="1"/>
    <col min="9486" max="9486" width="9" style="401"/>
    <col min="9487" max="9487" width="21" style="401" customWidth="1"/>
    <col min="9488" max="9488" width="9.875" style="401" customWidth="1"/>
    <col min="9489" max="9489" width="8.125" style="401" bestFit="1" customWidth="1"/>
    <col min="9490" max="9490" width="10.75" style="401" customWidth="1"/>
    <col min="9491" max="9491" width="13.25" style="401" customWidth="1"/>
    <col min="9492" max="9492" width="12.125" style="401" customWidth="1"/>
    <col min="9493" max="9493" width="11.625" style="401" customWidth="1"/>
    <col min="9494" max="9494" width="15" style="401" customWidth="1"/>
    <col min="9495" max="9495" width="17.875" style="401" customWidth="1"/>
    <col min="9496" max="9721" width="9" style="401"/>
    <col min="9722" max="9722" width="7.875" style="401" customWidth="1"/>
    <col min="9723" max="9723" width="57.125" style="401" bestFit="1" customWidth="1"/>
    <col min="9724" max="9724" width="9.25" style="401" customWidth="1"/>
    <col min="9725" max="9725" width="7.375" style="401" customWidth="1"/>
    <col min="9726" max="9727" width="12.375" style="401" customWidth="1"/>
    <col min="9728" max="9728" width="11.75" style="401" customWidth="1"/>
    <col min="9729" max="9729" width="12.125" style="401" customWidth="1"/>
    <col min="9730" max="9730" width="13.75" style="401" customWidth="1"/>
    <col min="9731" max="9731" width="12.25" style="401" customWidth="1"/>
    <col min="9732" max="9732" width="8.125" style="401" bestFit="1" customWidth="1"/>
    <col min="9733" max="9733" width="10" style="401" customWidth="1"/>
    <col min="9734" max="9734" width="8.125" style="401" bestFit="1" customWidth="1"/>
    <col min="9735" max="9735" width="13.375" style="401" customWidth="1"/>
    <col min="9736" max="9736" width="12.75" style="401" customWidth="1"/>
    <col min="9737" max="9739" width="9" style="401"/>
    <col min="9740" max="9741" width="8.125" style="401" bestFit="1" customWidth="1"/>
    <col min="9742" max="9742" width="9" style="401"/>
    <col min="9743" max="9743" width="21" style="401" customWidth="1"/>
    <col min="9744" max="9744" width="9.875" style="401" customWidth="1"/>
    <col min="9745" max="9745" width="8.125" style="401" bestFit="1" customWidth="1"/>
    <col min="9746" max="9746" width="10.75" style="401" customWidth="1"/>
    <col min="9747" max="9747" width="13.25" style="401" customWidth="1"/>
    <col min="9748" max="9748" width="12.125" style="401" customWidth="1"/>
    <col min="9749" max="9749" width="11.625" style="401" customWidth="1"/>
    <col min="9750" max="9750" width="15" style="401" customWidth="1"/>
    <col min="9751" max="9751" width="17.875" style="401" customWidth="1"/>
    <col min="9752" max="9977" width="9" style="401"/>
    <col min="9978" max="9978" width="7.875" style="401" customWidth="1"/>
    <col min="9979" max="9979" width="57.125" style="401" bestFit="1" customWidth="1"/>
    <col min="9980" max="9980" width="9.25" style="401" customWidth="1"/>
    <col min="9981" max="9981" width="7.375" style="401" customWidth="1"/>
    <col min="9982" max="9983" width="12.375" style="401" customWidth="1"/>
    <col min="9984" max="9984" width="11.75" style="401" customWidth="1"/>
    <col min="9985" max="9985" width="12.125" style="401" customWidth="1"/>
    <col min="9986" max="9986" width="13.75" style="401" customWidth="1"/>
    <col min="9987" max="9987" width="12.25" style="401" customWidth="1"/>
    <col min="9988" max="9988" width="8.125" style="401" bestFit="1" customWidth="1"/>
    <col min="9989" max="9989" width="10" style="401" customWidth="1"/>
    <col min="9990" max="9990" width="8.125" style="401" bestFit="1" customWidth="1"/>
    <col min="9991" max="9991" width="13.375" style="401" customWidth="1"/>
    <col min="9992" max="9992" width="12.75" style="401" customWidth="1"/>
    <col min="9993" max="9995" width="9" style="401"/>
    <col min="9996" max="9997" width="8.125" style="401" bestFit="1" customWidth="1"/>
    <col min="9998" max="9998" width="9" style="401"/>
    <col min="9999" max="9999" width="21" style="401" customWidth="1"/>
    <col min="10000" max="10000" width="9.875" style="401" customWidth="1"/>
    <col min="10001" max="10001" width="8.125" style="401" bestFit="1" customWidth="1"/>
    <col min="10002" max="10002" width="10.75" style="401" customWidth="1"/>
    <col min="10003" max="10003" width="13.25" style="401" customWidth="1"/>
    <col min="10004" max="10004" width="12.125" style="401" customWidth="1"/>
    <col min="10005" max="10005" width="11.625" style="401" customWidth="1"/>
    <col min="10006" max="10006" width="15" style="401" customWidth="1"/>
    <col min="10007" max="10007" width="17.875" style="401" customWidth="1"/>
    <col min="10008" max="10233" width="9" style="401"/>
    <col min="10234" max="10234" width="7.875" style="401" customWidth="1"/>
    <col min="10235" max="10235" width="57.125" style="401" bestFit="1" customWidth="1"/>
    <col min="10236" max="10236" width="9.25" style="401" customWidth="1"/>
    <col min="10237" max="10237" width="7.375" style="401" customWidth="1"/>
    <col min="10238" max="10239" width="12.375" style="401" customWidth="1"/>
    <col min="10240" max="10240" width="11.75" style="401" customWidth="1"/>
    <col min="10241" max="10241" width="12.125" style="401" customWidth="1"/>
    <col min="10242" max="10242" width="13.75" style="401" customWidth="1"/>
    <col min="10243" max="10243" width="12.25" style="401" customWidth="1"/>
    <col min="10244" max="10244" width="8.125" style="401" bestFit="1" customWidth="1"/>
    <col min="10245" max="10245" width="10" style="401" customWidth="1"/>
    <col min="10246" max="10246" width="8.125" style="401" bestFit="1" customWidth="1"/>
    <col min="10247" max="10247" width="13.375" style="401" customWidth="1"/>
    <col min="10248" max="10248" width="12.75" style="401" customWidth="1"/>
    <col min="10249" max="10251" width="9" style="401"/>
    <col min="10252" max="10253" width="8.125" style="401" bestFit="1" customWidth="1"/>
    <col min="10254" max="10254" width="9" style="401"/>
    <col min="10255" max="10255" width="21" style="401" customWidth="1"/>
    <col min="10256" max="10256" width="9.875" style="401" customWidth="1"/>
    <col min="10257" max="10257" width="8.125" style="401" bestFit="1" customWidth="1"/>
    <col min="10258" max="10258" width="10.75" style="401" customWidth="1"/>
    <col min="10259" max="10259" width="13.25" style="401" customWidth="1"/>
    <col min="10260" max="10260" width="12.125" style="401" customWidth="1"/>
    <col min="10261" max="10261" width="11.625" style="401" customWidth="1"/>
    <col min="10262" max="10262" width="15" style="401" customWidth="1"/>
    <col min="10263" max="10263" width="17.875" style="401" customWidth="1"/>
    <col min="10264" max="10489" width="9" style="401"/>
    <col min="10490" max="10490" width="7.875" style="401" customWidth="1"/>
    <col min="10491" max="10491" width="57.125" style="401" bestFit="1" customWidth="1"/>
    <col min="10492" max="10492" width="9.25" style="401" customWidth="1"/>
    <col min="10493" max="10493" width="7.375" style="401" customWidth="1"/>
    <col min="10494" max="10495" width="12.375" style="401" customWidth="1"/>
    <col min="10496" max="10496" width="11.75" style="401" customWidth="1"/>
    <col min="10497" max="10497" width="12.125" style="401" customWidth="1"/>
    <col min="10498" max="10498" width="13.75" style="401" customWidth="1"/>
    <col min="10499" max="10499" width="12.25" style="401" customWidth="1"/>
    <col min="10500" max="10500" width="8.125" style="401" bestFit="1" customWidth="1"/>
    <col min="10501" max="10501" width="10" style="401" customWidth="1"/>
    <col min="10502" max="10502" width="8.125" style="401" bestFit="1" customWidth="1"/>
    <col min="10503" max="10503" width="13.375" style="401" customWidth="1"/>
    <col min="10504" max="10504" width="12.75" style="401" customWidth="1"/>
    <col min="10505" max="10507" width="9" style="401"/>
    <col min="10508" max="10509" width="8.125" style="401" bestFit="1" customWidth="1"/>
    <col min="10510" max="10510" width="9" style="401"/>
    <col min="10511" max="10511" width="21" style="401" customWidth="1"/>
    <col min="10512" max="10512" width="9.875" style="401" customWidth="1"/>
    <col min="10513" max="10513" width="8.125" style="401" bestFit="1" customWidth="1"/>
    <col min="10514" max="10514" width="10.75" style="401" customWidth="1"/>
    <col min="10515" max="10515" width="13.25" style="401" customWidth="1"/>
    <col min="10516" max="10516" width="12.125" style="401" customWidth="1"/>
    <col min="10517" max="10517" width="11.625" style="401" customWidth="1"/>
    <col min="10518" max="10518" width="15" style="401" customWidth="1"/>
    <col min="10519" max="10519" width="17.875" style="401" customWidth="1"/>
    <col min="10520" max="10745" width="9" style="401"/>
    <col min="10746" max="10746" width="7.875" style="401" customWidth="1"/>
    <col min="10747" max="10747" width="57.125" style="401" bestFit="1" customWidth="1"/>
    <col min="10748" max="10748" width="9.25" style="401" customWidth="1"/>
    <col min="10749" max="10749" width="7.375" style="401" customWidth="1"/>
    <col min="10750" max="10751" width="12.375" style="401" customWidth="1"/>
    <col min="10752" max="10752" width="11.75" style="401" customWidth="1"/>
    <col min="10753" max="10753" width="12.125" style="401" customWidth="1"/>
    <col min="10754" max="10754" width="13.75" style="401" customWidth="1"/>
    <col min="10755" max="10755" width="12.25" style="401" customWidth="1"/>
    <col min="10756" max="10756" width="8.125" style="401" bestFit="1" customWidth="1"/>
    <col min="10757" max="10757" width="10" style="401" customWidth="1"/>
    <col min="10758" max="10758" width="8.125" style="401" bestFit="1" customWidth="1"/>
    <col min="10759" max="10759" width="13.375" style="401" customWidth="1"/>
    <col min="10760" max="10760" width="12.75" style="401" customWidth="1"/>
    <col min="10761" max="10763" width="9" style="401"/>
    <col min="10764" max="10765" width="8.125" style="401" bestFit="1" customWidth="1"/>
    <col min="10766" max="10766" width="9" style="401"/>
    <col min="10767" max="10767" width="21" style="401" customWidth="1"/>
    <col min="10768" max="10768" width="9.875" style="401" customWidth="1"/>
    <col min="10769" max="10769" width="8.125" style="401" bestFit="1" customWidth="1"/>
    <col min="10770" max="10770" width="10.75" style="401" customWidth="1"/>
    <col min="10771" max="10771" width="13.25" style="401" customWidth="1"/>
    <col min="10772" max="10772" width="12.125" style="401" customWidth="1"/>
    <col min="10773" max="10773" width="11.625" style="401" customWidth="1"/>
    <col min="10774" max="10774" width="15" style="401" customWidth="1"/>
    <col min="10775" max="10775" width="17.875" style="401" customWidth="1"/>
    <col min="10776" max="11001" width="9" style="401"/>
    <col min="11002" max="11002" width="7.875" style="401" customWidth="1"/>
    <col min="11003" max="11003" width="57.125" style="401" bestFit="1" customWidth="1"/>
    <col min="11004" max="11004" width="9.25" style="401" customWidth="1"/>
    <col min="11005" max="11005" width="7.375" style="401" customWidth="1"/>
    <col min="11006" max="11007" width="12.375" style="401" customWidth="1"/>
    <col min="11008" max="11008" width="11.75" style="401" customWidth="1"/>
    <col min="11009" max="11009" width="12.125" style="401" customWidth="1"/>
    <col min="11010" max="11010" width="13.75" style="401" customWidth="1"/>
    <col min="11011" max="11011" width="12.25" style="401" customWidth="1"/>
    <col min="11012" max="11012" width="8.125" style="401" bestFit="1" customWidth="1"/>
    <col min="11013" max="11013" width="10" style="401" customWidth="1"/>
    <col min="11014" max="11014" width="8.125" style="401" bestFit="1" customWidth="1"/>
    <col min="11015" max="11015" width="13.375" style="401" customWidth="1"/>
    <col min="11016" max="11016" width="12.75" style="401" customWidth="1"/>
    <col min="11017" max="11019" width="9" style="401"/>
    <col min="11020" max="11021" width="8.125" style="401" bestFit="1" customWidth="1"/>
    <col min="11022" max="11022" width="9" style="401"/>
    <col min="11023" max="11023" width="21" style="401" customWidth="1"/>
    <col min="11024" max="11024" width="9.875" style="401" customWidth="1"/>
    <col min="11025" max="11025" width="8.125" style="401" bestFit="1" customWidth="1"/>
    <col min="11026" max="11026" width="10.75" style="401" customWidth="1"/>
    <col min="11027" max="11027" width="13.25" style="401" customWidth="1"/>
    <col min="11028" max="11028" width="12.125" style="401" customWidth="1"/>
    <col min="11029" max="11029" width="11.625" style="401" customWidth="1"/>
    <col min="11030" max="11030" width="15" style="401" customWidth="1"/>
    <col min="11031" max="11031" width="17.875" style="401" customWidth="1"/>
    <col min="11032" max="11257" width="9" style="401"/>
    <col min="11258" max="11258" width="7.875" style="401" customWidth="1"/>
    <col min="11259" max="11259" width="57.125" style="401" bestFit="1" customWidth="1"/>
    <col min="11260" max="11260" width="9.25" style="401" customWidth="1"/>
    <col min="11261" max="11261" width="7.375" style="401" customWidth="1"/>
    <col min="11262" max="11263" width="12.375" style="401" customWidth="1"/>
    <col min="11264" max="11264" width="11.75" style="401" customWidth="1"/>
    <col min="11265" max="11265" width="12.125" style="401" customWidth="1"/>
    <col min="11266" max="11266" width="13.75" style="401" customWidth="1"/>
    <col min="11267" max="11267" width="12.25" style="401" customWidth="1"/>
    <col min="11268" max="11268" width="8.125" style="401" bestFit="1" customWidth="1"/>
    <col min="11269" max="11269" width="10" style="401" customWidth="1"/>
    <col min="11270" max="11270" width="8.125" style="401" bestFit="1" customWidth="1"/>
    <col min="11271" max="11271" width="13.375" style="401" customWidth="1"/>
    <col min="11272" max="11272" width="12.75" style="401" customWidth="1"/>
    <col min="11273" max="11275" width="9" style="401"/>
    <col min="11276" max="11277" width="8.125" style="401" bestFit="1" customWidth="1"/>
    <col min="11278" max="11278" width="9" style="401"/>
    <col min="11279" max="11279" width="21" style="401" customWidth="1"/>
    <col min="11280" max="11280" width="9.875" style="401" customWidth="1"/>
    <col min="11281" max="11281" width="8.125" style="401" bestFit="1" customWidth="1"/>
    <col min="11282" max="11282" width="10.75" style="401" customWidth="1"/>
    <col min="11283" max="11283" width="13.25" style="401" customWidth="1"/>
    <col min="11284" max="11284" width="12.125" style="401" customWidth="1"/>
    <col min="11285" max="11285" width="11.625" style="401" customWidth="1"/>
    <col min="11286" max="11286" width="15" style="401" customWidth="1"/>
    <col min="11287" max="11287" width="17.875" style="401" customWidth="1"/>
    <col min="11288" max="11513" width="9" style="401"/>
    <col min="11514" max="11514" width="7.875" style="401" customWidth="1"/>
    <col min="11515" max="11515" width="57.125" style="401" bestFit="1" customWidth="1"/>
    <col min="11516" max="11516" width="9.25" style="401" customWidth="1"/>
    <col min="11517" max="11517" width="7.375" style="401" customWidth="1"/>
    <col min="11518" max="11519" width="12.375" style="401" customWidth="1"/>
    <col min="11520" max="11520" width="11.75" style="401" customWidth="1"/>
    <col min="11521" max="11521" width="12.125" style="401" customWidth="1"/>
    <col min="11522" max="11522" width="13.75" style="401" customWidth="1"/>
    <col min="11523" max="11523" width="12.25" style="401" customWidth="1"/>
    <col min="11524" max="11524" width="8.125" style="401" bestFit="1" customWidth="1"/>
    <col min="11525" max="11525" width="10" style="401" customWidth="1"/>
    <col min="11526" max="11526" width="8.125" style="401" bestFit="1" customWidth="1"/>
    <col min="11527" max="11527" width="13.375" style="401" customWidth="1"/>
    <col min="11528" max="11528" width="12.75" style="401" customWidth="1"/>
    <col min="11529" max="11531" width="9" style="401"/>
    <col min="11532" max="11533" width="8.125" style="401" bestFit="1" customWidth="1"/>
    <col min="11534" max="11534" width="9" style="401"/>
    <col min="11535" max="11535" width="21" style="401" customWidth="1"/>
    <col min="11536" max="11536" width="9.875" style="401" customWidth="1"/>
    <col min="11537" max="11537" width="8.125" style="401" bestFit="1" customWidth="1"/>
    <col min="11538" max="11538" width="10.75" style="401" customWidth="1"/>
    <col min="11539" max="11539" width="13.25" style="401" customWidth="1"/>
    <col min="11540" max="11540" width="12.125" style="401" customWidth="1"/>
    <col min="11541" max="11541" width="11.625" style="401" customWidth="1"/>
    <col min="11542" max="11542" width="15" style="401" customWidth="1"/>
    <col min="11543" max="11543" width="17.875" style="401" customWidth="1"/>
    <col min="11544" max="11769" width="9" style="401"/>
    <col min="11770" max="11770" width="7.875" style="401" customWidth="1"/>
    <col min="11771" max="11771" width="57.125" style="401" bestFit="1" customWidth="1"/>
    <col min="11772" max="11772" width="9.25" style="401" customWidth="1"/>
    <col min="11773" max="11773" width="7.375" style="401" customWidth="1"/>
    <col min="11774" max="11775" width="12.375" style="401" customWidth="1"/>
    <col min="11776" max="11776" width="11.75" style="401" customWidth="1"/>
    <col min="11777" max="11777" width="12.125" style="401" customWidth="1"/>
    <col min="11778" max="11778" width="13.75" style="401" customWidth="1"/>
    <col min="11779" max="11779" width="12.25" style="401" customWidth="1"/>
    <col min="11780" max="11780" width="8.125" style="401" bestFit="1" customWidth="1"/>
    <col min="11781" max="11781" width="10" style="401" customWidth="1"/>
    <col min="11782" max="11782" width="8.125" style="401" bestFit="1" customWidth="1"/>
    <col min="11783" max="11783" width="13.375" style="401" customWidth="1"/>
    <col min="11784" max="11784" width="12.75" style="401" customWidth="1"/>
    <col min="11785" max="11787" width="9" style="401"/>
    <col min="11788" max="11789" width="8.125" style="401" bestFit="1" customWidth="1"/>
    <col min="11790" max="11790" width="9" style="401"/>
    <col min="11791" max="11791" width="21" style="401" customWidth="1"/>
    <col min="11792" max="11792" width="9.875" style="401" customWidth="1"/>
    <col min="11793" max="11793" width="8.125" style="401" bestFit="1" customWidth="1"/>
    <col min="11794" max="11794" width="10.75" style="401" customWidth="1"/>
    <col min="11795" max="11795" width="13.25" style="401" customWidth="1"/>
    <col min="11796" max="11796" width="12.125" style="401" customWidth="1"/>
    <col min="11797" max="11797" width="11.625" style="401" customWidth="1"/>
    <col min="11798" max="11798" width="15" style="401" customWidth="1"/>
    <col min="11799" max="11799" width="17.875" style="401" customWidth="1"/>
    <col min="11800" max="12025" width="9" style="401"/>
    <col min="12026" max="12026" width="7.875" style="401" customWidth="1"/>
    <col min="12027" max="12027" width="57.125" style="401" bestFit="1" customWidth="1"/>
    <col min="12028" max="12028" width="9.25" style="401" customWidth="1"/>
    <col min="12029" max="12029" width="7.375" style="401" customWidth="1"/>
    <col min="12030" max="12031" width="12.375" style="401" customWidth="1"/>
    <col min="12032" max="12032" width="11.75" style="401" customWidth="1"/>
    <col min="12033" max="12033" width="12.125" style="401" customWidth="1"/>
    <col min="12034" max="12034" width="13.75" style="401" customWidth="1"/>
    <col min="12035" max="12035" width="12.25" style="401" customWidth="1"/>
    <col min="12036" max="12036" width="8.125" style="401" bestFit="1" customWidth="1"/>
    <col min="12037" max="12037" width="10" style="401" customWidth="1"/>
    <col min="12038" max="12038" width="8.125" style="401" bestFit="1" customWidth="1"/>
    <col min="12039" max="12039" width="13.375" style="401" customWidth="1"/>
    <col min="12040" max="12040" width="12.75" style="401" customWidth="1"/>
    <col min="12041" max="12043" width="9" style="401"/>
    <col min="12044" max="12045" width="8.125" style="401" bestFit="1" customWidth="1"/>
    <col min="12046" max="12046" width="9" style="401"/>
    <col min="12047" max="12047" width="21" style="401" customWidth="1"/>
    <col min="12048" max="12048" width="9.875" style="401" customWidth="1"/>
    <col min="12049" max="12049" width="8.125" style="401" bestFit="1" customWidth="1"/>
    <col min="12050" max="12050" width="10.75" style="401" customWidth="1"/>
    <col min="12051" max="12051" width="13.25" style="401" customWidth="1"/>
    <col min="12052" max="12052" width="12.125" style="401" customWidth="1"/>
    <col min="12053" max="12053" width="11.625" style="401" customWidth="1"/>
    <col min="12054" max="12054" width="15" style="401" customWidth="1"/>
    <col min="12055" max="12055" width="17.875" style="401" customWidth="1"/>
    <col min="12056" max="12281" width="9" style="401"/>
    <col min="12282" max="12282" width="7.875" style="401" customWidth="1"/>
    <col min="12283" max="12283" width="57.125" style="401" bestFit="1" customWidth="1"/>
    <col min="12284" max="12284" width="9.25" style="401" customWidth="1"/>
    <col min="12285" max="12285" width="7.375" style="401" customWidth="1"/>
    <col min="12286" max="12287" width="12.375" style="401" customWidth="1"/>
    <col min="12288" max="12288" width="11.75" style="401" customWidth="1"/>
    <col min="12289" max="12289" width="12.125" style="401" customWidth="1"/>
    <col min="12290" max="12290" width="13.75" style="401" customWidth="1"/>
    <col min="12291" max="12291" width="12.25" style="401" customWidth="1"/>
    <col min="12292" max="12292" width="8.125" style="401" bestFit="1" customWidth="1"/>
    <col min="12293" max="12293" width="10" style="401" customWidth="1"/>
    <col min="12294" max="12294" width="8.125" style="401" bestFit="1" customWidth="1"/>
    <col min="12295" max="12295" width="13.375" style="401" customWidth="1"/>
    <col min="12296" max="12296" width="12.75" style="401" customWidth="1"/>
    <col min="12297" max="12299" width="9" style="401"/>
    <col min="12300" max="12301" width="8.125" style="401" bestFit="1" customWidth="1"/>
    <col min="12302" max="12302" width="9" style="401"/>
    <col min="12303" max="12303" width="21" style="401" customWidth="1"/>
    <col min="12304" max="12304" width="9.875" style="401" customWidth="1"/>
    <col min="12305" max="12305" width="8.125" style="401" bestFit="1" customWidth="1"/>
    <col min="12306" max="12306" width="10.75" style="401" customWidth="1"/>
    <col min="12307" max="12307" width="13.25" style="401" customWidth="1"/>
    <col min="12308" max="12308" width="12.125" style="401" customWidth="1"/>
    <col min="12309" max="12309" width="11.625" style="401" customWidth="1"/>
    <col min="12310" max="12310" width="15" style="401" customWidth="1"/>
    <col min="12311" max="12311" width="17.875" style="401" customWidth="1"/>
    <col min="12312" max="12537" width="9" style="401"/>
    <col min="12538" max="12538" width="7.875" style="401" customWidth="1"/>
    <col min="12539" max="12539" width="57.125" style="401" bestFit="1" customWidth="1"/>
    <col min="12540" max="12540" width="9.25" style="401" customWidth="1"/>
    <col min="12541" max="12541" width="7.375" style="401" customWidth="1"/>
    <col min="12542" max="12543" width="12.375" style="401" customWidth="1"/>
    <col min="12544" max="12544" width="11.75" style="401" customWidth="1"/>
    <col min="12545" max="12545" width="12.125" style="401" customWidth="1"/>
    <col min="12546" max="12546" width="13.75" style="401" customWidth="1"/>
    <col min="12547" max="12547" width="12.25" style="401" customWidth="1"/>
    <col min="12548" max="12548" width="8.125" style="401" bestFit="1" customWidth="1"/>
    <col min="12549" max="12549" width="10" style="401" customWidth="1"/>
    <col min="12550" max="12550" width="8.125" style="401" bestFit="1" customWidth="1"/>
    <col min="12551" max="12551" width="13.375" style="401" customWidth="1"/>
    <col min="12552" max="12552" width="12.75" style="401" customWidth="1"/>
    <col min="12553" max="12555" width="9" style="401"/>
    <col min="12556" max="12557" width="8.125" style="401" bestFit="1" customWidth="1"/>
    <col min="12558" max="12558" width="9" style="401"/>
    <col min="12559" max="12559" width="21" style="401" customWidth="1"/>
    <col min="12560" max="12560" width="9.875" style="401" customWidth="1"/>
    <col min="12561" max="12561" width="8.125" style="401" bestFit="1" customWidth="1"/>
    <col min="12562" max="12562" width="10.75" style="401" customWidth="1"/>
    <col min="12563" max="12563" width="13.25" style="401" customWidth="1"/>
    <col min="12564" max="12564" width="12.125" style="401" customWidth="1"/>
    <col min="12565" max="12565" width="11.625" style="401" customWidth="1"/>
    <col min="12566" max="12566" width="15" style="401" customWidth="1"/>
    <col min="12567" max="12567" width="17.875" style="401" customWidth="1"/>
    <col min="12568" max="12793" width="9" style="401"/>
    <col min="12794" max="12794" width="7.875" style="401" customWidth="1"/>
    <col min="12795" max="12795" width="57.125" style="401" bestFit="1" customWidth="1"/>
    <col min="12796" max="12796" width="9.25" style="401" customWidth="1"/>
    <col min="12797" max="12797" width="7.375" style="401" customWidth="1"/>
    <col min="12798" max="12799" width="12.375" style="401" customWidth="1"/>
    <col min="12800" max="12800" width="11.75" style="401" customWidth="1"/>
    <col min="12801" max="12801" width="12.125" style="401" customWidth="1"/>
    <col min="12802" max="12802" width="13.75" style="401" customWidth="1"/>
    <col min="12803" max="12803" width="12.25" style="401" customWidth="1"/>
    <col min="12804" max="12804" width="8.125" style="401" bestFit="1" customWidth="1"/>
    <col min="12805" max="12805" width="10" style="401" customWidth="1"/>
    <col min="12806" max="12806" width="8.125" style="401" bestFit="1" customWidth="1"/>
    <col min="12807" max="12807" width="13.375" style="401" customWidth="1"/>
    <col min="12808" max="12808" width="12.75" style="401" customWidth="1"/>
    <col min="12809" max="12811" width="9" style="401"/>
    <col min="12812" max="12813" width="8.125" style="401" bestFit="1" customWidth="1"/>
    <col min="12814" max="12814" width="9" style="401"/>
    <col min="12815" max="12815" width="21" style="401" customWidth="1"/>
    <col min="12816" max="12816" width="9.875" style="401" customWidth="1"/>
    <col min="12817" max="12817" width="8.125" style="401" bestFit="1" customWidth="1"/>
    <col min="12818" max="12818" width="10.75" style="401" customWidth="1"/>
    <col min="12819" max="12819" width="13.25" style="401" customWidth="1"/>
    <col min="12820" max="12820" width="12.125" style="401" customWidth="1"/>
    <col min="12821" max="12821" width="11.625" style="401" customWidth="1"/>
    <col min="12822" max="12822" width="15" style="401" customWidth="1"/>
    <col min="12823" max="12823" width="17.875" style="401" customWidth="1"/>
    <col min="12824" max="13049" width="9" style="401"/>
    <col min="13050" max="13050" width="7.875" style="401" customWidth="1"/>
    <col min="13051" max="13051" width="57.125" style="401" bestFit="1" customWidth="1"/>
    <col min="13052" max="13052" width="9.25" style="401" customWidth="1"/>
    <col min="13053" max="13053" width="7.375" style="401" customWidth="1"/>
    <col min="13054" max="13055" width="12.375" style="401" customWidth="1"/>
    <col min="13056" max="13056" width="11.75" style="401" customWidth="1"/>
    <col min="13057" max="13057" width="12.125" style="401" customWidth="1"/>
    <col min="13058" max="13058" width="13.75" style="401" customWidth="1"/>
    <col min="13059" max="13059" width="12.25" style="401" customWidth="1"/>
    <col min="13060" max="13060" width="8.125" style="401" bestFit="1" customWidth="1"/>
    <col min="13061" max="13061" width="10" style="401" customWidth="1"/>
    <col min="13062" max="13062" width="8.125" style="401" bestFit="1" customWidth="1"/>
    <col min="13063" max="13063" width="13.375" style="401" customWidth="1"/>
    <col min="13064" max="13064" width="12.75" style="401" customWidth="1"/>
    <col min="13065" max="13067" width="9" style="401"/>
    <col min="13068" max="13069" width="8.125" style="401" bestFit="1" customWidth="1"/>
    <col min="13070" max="13070" width="9" style="401"/>
    <col min="13071" max="13071" width="21" style="401" customWidth="1"/>
    <col min="13072" max="13072" width="9.875" style="401" customWidth="1"/>
    <col min="13073" max="13073" width="8.125" style="401" bestFit="1" customWidth="1"/>
    <col min="13074" max="13074" width="10.75" style="401" customWidth="1"/>
    <col min="13075" max="13075" width="13.25" style="401" customWidth="1"/>
    <col min="13076" max="13076" width="12.125" style="401" customWidth="1"/>
    <col min="13077" max="13077" width="11.625" style="401" customWidth="1"/>
    <col min="13078" max="13078" width="15" style="401" customWidth="1"/>
    <col min="13079" max="13079" width="17.875" style="401" customWidth="1"/>
    <col min="13080" max="13305" width="9" style="401"/>
    <col min="13306" max="13306" width="7.875" style="401" customWidth="1"/>
    <col min="13307" max="13307" width="57.125" style="401" bestFit="1" customWidth="1"/>
    <col min="13308" max="13308" width="9.25" style="401" customWidth="1"/>
    <col min="13309" max="13309" width="7.375" style="401" customWidth="1"/>
    <col min="13310" max="13311" width="12.375" style="401" customWidth="1"/>
    <col min="13312" max="13312" width="11.75" style="401" customWidth="1"/>
    <col min="13313" max="13313" width="12.125" style="401" customWidth="1"/>
    <col min="13314" max="13314" width="13.75" style="401" customWidth="1"/>
    <col min="13315" max="13315" width="12.25" style="401" customWidth="1"/>
    <col min="13316" max="13316" width="8.125" style="401" bestFit="1" customWidth="1"/>
    <col min="13317" max="13317" width="10" style="401" customWidth="1"/>
    <col min="13318" max="13318" width="8.125" style="401" bestFit="1" customWidth="1"/>
    <col min="13319" max="13319" width="13.375" style="401" customWidth="1"/>
    <col min="13320" max="13320" width="12.75" style="401" customWidth="1"/>
    <col min="13321" max="13323" width="9" style="401"/>
    <col min="13324" max="13325" width="8.125" style="401" bestFit="1" customWidth="1"/>
    <col min="13326" max="13326" width="9" style="401"/>
    <col min="13327" max="13327" width="21" style="401" customWidth="1"/>
    <col min="13328" max="13328" width="9.875" style="401" customWidth="1"/>
    <col min="13329" max="13329" width="8.125" style="401" bestFit="1" customWidth="1"/>
    <col min="13330" max="13330" width="10.75" style="401" customWidth="1"/>
    <col min="13331" max="13331" width="13.25" style="401" customWidth="1"/>
    <col min="13332" max="13332" width="12.125" style="401" customWidth="1"/>
    <col min="13333" max="13333" width="11.625" style="401" customWidth="1"/>
    <col min="13334" max="13334" width="15" style="401" customWidth="1"/>
    <col min="13335" max="13335" width="17.875" style="401" customWidth="1"/>
    <col min="13336" max="13561" width="9" style="401"/>
    <col min="13562" max="13562" width="7.875" style="401" customWidth="1"/>
    <col min="13563" max="13563" width="57.125" style="401" bestFit="1" customWidth="1"/>
    <col min="13564" max="13564" width="9.25" style="401" customWidth="1"/>
    <col min="13565" max="13565" width="7.375" style="401" customWidth="1"/>
    <col min="13566" max="13567" width="12.375" style="401" customWidth="1"/>
    <col min="13568" max="13568" width="11.75" style="401" customWidth="1"/>
    <col min="13569" max="13569" width="12.125" style="401" customWidth="1"/>
    <col min="13570" max="13570" width="13.75" style="401" customWidth="1"/>
    <col min="13571" max="13571" width="12.25" style="401" customWidth="1"/>
    <col min="13572" max="13572" width="8.125" style="401" bestFit="1" customWidth="1"/>
    <col min="13573" max="13573" width="10" style="401" customWidth="1"/>
    <col min="13574" max="13574" width="8.125" style="401" bestFit="1" customWidth="1"/>
    <col min="13575" max="13575" width="13.375" style="401" customWidth="1"/>
    <col min="13576" max="13576" width="12.75" style="401" customWidth="1"/>
    <col min="13577" max="13579" width="9" style="401"/>
    <col min="13580" max="13581" width="8.125" style="401" bestFit="1" customWidth="1"/>
    <col min="13582" max="13582" width="9" style="401"/>
    <col min="13583" max="13583" width="21" style="401" customWidth="1"/>
    <col min="13584" max="13584" width="9.875" style="401" customWidth="1"/>
    <col min="13585" max="13585" width="8.125" style="401" bestFit="1" customWidth="1"/>
    <col min="13586" max="13586" width="10.75" style="401" customWidth="1"/>
    <col min="13587" max="13587" width="13.25" style="401" customWidth="1"/>
    <col min="13588" max="13588" width="12.125" style="401" customWidth="1"/>
    <col min="13589" max="13589" width="11.625" style="401" customWidth="1"/>
    <col min="13590" max="13590" width="15" style="401" customWidth="1"/>
    <col min="13591" max="13591" width="17.875" style="401" customWidth="1"/>
    <col min="13592" max="13817" width="9" style="401"/>
    <col min="13818" max="13818" width="7.875" style="401" customWidth="1"/>
    <col min="13819" max="13819" width="57.125" style="401" bestFit="1" customWidth="1"/>
    <col min="13820" max="13820" width="9.25" style="401" customWidth="1"/>
    <col min="13821" max="13821" width="7.375" style="401" customWidth="1"/>
    <col min="13822" max="13823" width="12.375" style="401" customWidth="1"/>
    <col min="13824" max="13824" width="11.75" style="401" customWidth="1"/>
    <col min="13825" max="13825" width="12.125" style="401" customWidth="1"/>
    <col min="13826" max="13826" width="13.75" style="401" customWidth="1"/>
    <col min="13827" max="13827" width="12.25" style="401" customWidth="1"/>
    <col min="13828" max="13828" width="8.125" style="401" bestFit="1" customWidth="1"/>
    <col min="13829" max="13829" width="10" style="401" customWidth="1"/>
    <col min="13830" max="13830" width="8.125" style="401" bestFit="1" customWidth="1"/>
    <col min="13831" max="13831" width="13.375" style="401" customWidth="1"/>
    <col min="13832" max="13832" width="12.75" style="401" customWidth="1"/>
    <col min="13833" max="13835" width="9" style="401"/>
    <col min="13836" max="13837" width="8.125" style="401" bestFit="1" customWidth="1"/>
    <col min="13838" max="13838" width="9" style="401"/>
    <col min="13839" max="13839" width="21" style="401" customWidth="1"/>
    <col min="13840" max="13840" width="9.875" style="401" customWidth="1"/>
    <col min="13841" max="13841" width="8.125" style="401" bestFit="1" customWidth="1"/>
    <col min="13842" max="13842" width="10.75" style="401" customWidth="1"/>
    <col min="13843" max="13843" width="13.25" style="401" customWidth="1"/>
    <col min="13844" max="13844" width="12.125" style="401" customWidth="1"/>
    <col min="13845" max="13845" width="11.625" style="401" customWidth="1"/>
    <col min="13846" max="13846" width="15" style="401" customWidth="1"/>
    <col min="13847" max="13847" width="17.875" style="401" customWidth="1"/>
    <col min="13848" max="14073" width="9" style="401"/>
    <col min="14074" max="14074" width="7.875" style="401" customWidth="1"/>
    <col min="14075" max="14075" width="57.125" style="401" bestFit="1" customWidth="1"/>
    <col min="14076" max="14076" width="9.25" style="401" customWidth="1"/>
    <col min="14077" max="14077" width="7.375" style="401" customWidth="1"/>
    <col min="14078" max="14079" width="12.375" style="401" customWidth="1"/>
    <col min="14080" max="14080" width="11.75" style="401" customWidth="1"/>
    <col min="14081" max="14081" width="12.125" style="401" customWidth="1"/>
    <col min="14082" max="14082" width="13.75" style="401" customWidth="1"/>
    <col min="14083" max="14083" width="12.25" style="401" customWidth="1"/>
    <col min="14084" max="14084" width="8.125" style="401" bestFit="1" customWidth="1"/>
    <col min="14085" max="14085" width="10" style="401" customWidth="1"/>
    <col min="14086" max="14086" width="8.125" style="401" bestFit="1" customWidth="1"/>
    <col min="14087" max="14087" width="13.375" style="401" customWidth="1"/>
    <col min="14088" max="14088" width="12.75" style="401" customWidth="1"/>
    <col min="14089" max="14091" width="9" style="401"/>
    <col min="14092" max="14093" width="8.125" style="401" bestFit="1" customWidth="1"/>
    <col min="14094" max="14094" width="9" style="401"/>
    <col min="14095" max="14095" width="21" style="401" customWidth="1"/>
    <col min="14096" max="14096" width="9.875" style="401" customWidth="1"/>
    <col min="14097" max="14097" width="8.125" style="401" bestFit="1" customWidth="1"/>
    <col min="14098" max="14098" width="10.75" style="401" customWidth="1"/>
    <col min="14099" max="14099" width="13.25" style="401" customWidth="1"/>
    <col min="14100" max="14100" width="12.125" style="401" customWidth="1"/>
    <col min="14101" max="14101" width="11.625" style="401" customWidth="1"/>
    <col min="14102" max="14102" width="15" style="401" customWidth="1"/>
    <col min="14103" max="14103" width="17.875" style="401" customWidth="1"/>
    <col min="14104" max="14329" width="9" style="401"/>
    <col min="14330" max="14330" width="7.875" style="401" customWidth="1"/>
    <col min="14331" max="14331" width="57.125" style="401" bestFit="1" customWidth="1"/>
    <col min="14332" max="14332" width="9.25" style="401" customWidth="1"/>
    <col min="14333" max="14333" width="7.375" style="401" customWidth="1"/>
    <col min="14334" max="14335" width="12.375" style="401" customWidth="1"/>
    <col min="14336" max="14336" width="11.75" style="401" customWidth="1"/>
    <col min="14337" max="14337" width="12.125" style="401" customWidth="1"/>
    <col min="14338" max="14338" width="13.75" style="401" customWidth="1"/>
    <col min="14339" max="14339" width="12.25" style="401" customWidth="1"/>
    <col min="14340" max="14340" width="8.125" style="401" bestFit="1" customWidth="1"/>
    <col min="14341" max="14341" width="10" style="401" customWidth="1"/>
    <col min="14342" max="14342" width="8.125" style="401" bestFit="1" customWidth="1"/>
    <col min="14343" max="14343" width="13.375" style="401" customWidth="1"/>
    <col min="14344" max="14344" width="12.75" style="401" customWidth="1"/>
    <col min="14345" max="14347" width="9" style="401"/>
    <col min="14348" max="14349" width="8.125" style="401" bestFit="1" customWidth="1"/>
    <col min="14350" max="14350" width="9" style="401"/>
    <col min="14351" max="14351" width="21" style="401" customWidth="1"/>
    <col min="14352" max="14352" width="9.875" style="401" customWidth="1"/>
    <col min="14353" max="14353" width="8.125" style="401" bestFit="1" customWidth="1"/>
    <col min="14354" max="14354" width="10.75" style="401" customWidth="1"/>
    <col min="14355" max="14355" width="13.25" style="401" customWidth="1"/>
    <col min="14356" max="14356" width="12.125" style="401" customWidth="1"/>
    <col min="14357" max="14357" width="11.625" style="401" customWidth="1"/>
    <col min="14358" max="14358" width="15" style="401" customWidth="1"/>
    <col min="14359" max="14359" width="17.875" style="401" customWidth="1"/>
    <col min="14360" max="14585" width="9" style="401"/>
    <col min="14586" max="14586" width="7.875" style="401" customWidth="1"/>
    <col min="14587" max="14587" width="57.125" style="401" bestFit="1" customWidth="1"/>
    <col min="14588" max="14588" width="9.25" style="401" customWidth="1"/>
    <col min="14589" max="14589" width="7.375" style="401" customWidth="1"/>
    <col min="14590" max="14591" width="12.375" style="401" customWidth="1"/>
    <col min="14592" max="14592" width="11.75" style="401" customWidth="1"/>
    <col min="14593" max="14593" width="12.125" style="401" customWidth="1"/>
    <col min="14594" max="14594" width="13.75" style="401" customWidth="1"/>
    <col min="14595" max="14595" width="12.25" style="401" customWidth="1"/>
    <col min="14596" max="14596" width="8.125" style="401" bestFit="1" customWidth="1"/>
    <col min="14597" max="14597" width="10" style="401" customWidth="1"/>
    <col min="14598" max="14598" width="8.125" style="401" bestFit="1" customWidth="1"/>
    <col min="14599" max="14599" width="13.375" style="401" customWidth="1"/>
    <col min="14600" max="14600" width="12.75" style="401" customWidth="1"/>
    <col min="14601" max="14603" width="9" style="401"/>
    <col min="14604" max="14605" width="8.125" style="401" bestFit="1" customWidth="1"/>
    <col min="14606" max="14606" width="9" style="401"/>
    <col min="14607" max="14607" width="21" style="401" customWidth="1"/>
    <col min="14608" max="14608" width="9.875" style="401" customWidth="1"/>
    <col min="14609" max="14609" width="8.125" style="401" bestFit="1" customWidth="1"/>
    <col min="14610" max="14610" width="10.75" style="401" customWidth="1"/>
    <col min="14611" max="14611" width="13.25" style="401" customWidth="1"/>
    <col min="14612" max="14612" width="12.125" style="401" customWidth="1"/>
    <col min="14613" max="14613" width="11.625" style="401" customWidth="1"/>
    <col min="14614" max="14614" width="15" style="401" customWidth="1"/>
    <col min="14615" max="14615" width="17.875" style="401" customWidth="1"/>
    <col min="14616" max="14841" width="9" style="401"/>
    <col min="14842" max="14842" width="7.875" style="401" customWidth="1"/>
    <col min="14843" max="14843" width="57.125" style="401" bestFit="1" customWidth="1"/>
    <col min="14844" max="14844" width="9.25" style="401" customWidth="1"/>
    <col min="14845" max="14845" width="7.375" style="401" customWidth="1"/>
    <col min="14846" max="14847" width="12.375" style="401" customWidth="1"/>
    <col min="14848" max="14848" width="11.75" style="401" customWidth="1"/>
    <col min="14849" max="14849" width="12.125" style="401" customWidth="1"/>
    <col min="14850" max="14850" width="13.75" style="401" customWidth="1"/>
    <col min="14851" max="14851" width="12.25" style="401" customWidth="1"/>
    <col min="14852" max="14852" width="8.125" style="401" bestFit="1" customWidth="1"/>
    <col min="14853" max="14853" width="10" style="401" customWidth="1"/>
    <col min="14854" max="14854" width="8.125" style="401" bestFit="1" customWidth="1"/>
    <col min="14855" max="14855" width="13.375" style="401" customWidth="1"/>
    <col min="14856" max="14856" width="12.75" style="401" customWidth="1"/>
    <col min="14857" max="14859" width="9" style="401"/>
    <col min="14860" max="14861" width="8.125" style="401" bestFit="1" customWidth="1"/>
    <col min="14862" max="14862" width="9" style="401"/>
    <col min="14863" max="14863" width="21" style="401" customWidth="1"/>
    <col min="14864" max="14864" width="9.875" style="401" customWidth="1"/>
    <col min="14865" max="14865" width="8.125" style="401" bestFit="1" customWidth="1"/>
    <col min="14866" max="14866" width="10.75" style="401" customWidth="1"/>
    <col min="14867" max="14867" width="13.25" style="401" customWidth="1"/>
    <col min="14868" max="14868" width="12.125" style="401" customWidth="1"/>
    <col min="14869" max="14869" width="11.625" style="401" customWidth="1"/>
    <col min="14870" max="14870" width="15" style="401" customWidth="1"/>
    <col min="14871" max="14871" width="17.875" style="401" customWidth="1"/>
    <col min="14872" max="15097" width="9" style="401"/>
    <col min="15098" max="15098" width="7.875" style="401" customWidth="1"/>
    <col min="15099" max="15099" width="57.125" style="401" bestFit="1" customWidth="1"/>
    <col min="15100" max="15100" width="9.25" style="401" customWidth="1"/>
    <col min="15101" max="15101" width="7.375" style="401" customWidth="1"/>
    <col min="15102" max="15103" width="12.375" style="401" customWidth="1"/>
    <col min="15104" max="15104" width="11.75" style="401" customWidth="1"/>
    <col min="15105" max="15105" width="12.125" style="401" customWidth="1"/>
    <col min="15106" max="15106" width="13.75" style="401" customWidth="1"/>
    <col min="15107" max="15107" width="12.25" style="401" customWidth="1"/>
    <col min="15108" max="15108" width="8.125" style="401" bestFit="1" customWidth="1"/>
    <col min="15109" max="15109" width="10" style="401" customWidth="1"/>
    <col min="15110" max="15110" width="8.125" style="401" bestFit="1" customWidth="1"/>
    <col min="15111" max="15111" width="13.375" style="401" customWidth="1"/>
    <col min="15112" max="15112" width="12.75" style="401" customWidth="1"/>
    <col min="15113" max="15115" width="9" style="401"/>
    <col min="15116" max="15117" width="8.125" style="401" bestFit="1" customWidth="1"/>
    <col min="15118" max="15118" width="9" style="401"/>
    <col min="15119" max="15119" width="21" style="401" customWidth="1"/>
    <col min="15120" max="15120" width="9.875" style="401" customWidth="1"/>
    <col min="15121" max="15121" width="8.125" style="401" bestFit="1" customWidth="1"/>
    <col min="15122" max="15122" width="10.75" style="401" customWidth="1"/>
    <col min="15123" max="15123" width="13.25" style="401" customWidth="1"/>
    <col min="15124" max="15124" width="12.125" style="401" customWidth="1"/>
    <col min="15125" max="15125" width="11.625" style="401" customWidth="1"/>
    <col min="15126" max="15126" width="15" style="401" customWidth="1"/>
    <col min="15127" max="15127" width="17.875" style="401" customWidth="1"/>
    <col min="15128" max="15353" width="9" style="401"/>
    <col min="15354" max="15354" width="7.875" style="401" customWidth="1"/>
    <col min="15355" max="15355" width="57.125" style="401" bestFit="1" customWidth="1"/>
    <col min="15356" max="15356" width="9.25" style="401" customWidth="1"/>
    <col min="15357" max="15357" width="7.375" style="401" customWidth="1"/>
    <col min="15358" max="15359" width="12.375" style="401" customWidth="1"/>
    <col min="15360" max="15360" width="11.75" style="401" customWidth="1"/>
    <col min="15361" max="15361" width="12.125" style="401" customWidth="1"/>
    <col min="15362" max="15362" width="13.75" style="401" customWidth="1"/>
    <col min="15363" max="15363" width="12.25" style="401" customWidth="1"/>
    <col min="15364" max="15364" width="8.125" style="401" bestFit="1" customWidth="1"/>
    <col min="15365" max="15365" width="10" style="401" customWidth="1"/>
    <col min="15366" max="15366" width="8.125" style="401" bestFit="1" customWidth="1"/>
    <col min="15367" max="15367" width="13.375" style="401" customWidth="1"/>
    <col min="15368" max="15368" width="12.75" style="401" customWidth="1"/>
    <col min="15369" max="15371" width="9" style="401"/>
    <col min="15372" max="15373" width="8.125" style="401" bestFit="1" customWidth="1"/>
    <col min="15374" max="15374" width="9" style="401"/>
    <col min="15375" max="15375" width="21" style="401" customWidth="1"/>
    <col min="15376" max="15376" width="9.875" style="401" customWidth="1"/>
    <col min="15377" max="15377" width="8.125" style="401" bestFit="1" customWidth="1"/>
    <col min="15378" max="15378" width="10.75" style="401" customWidth="1"/>
    <col min="15379" max="15379" width="13.25" style="401" customWidth="1"/>
    <col min="15380" max="15380" width="12.125" style="401" customWidth="1"/>
    <col min="15381" max="15381" width="11.625" style="401" customWidth="1"/>
    <col min="15382" max="15382" width="15" style="401" customWidth="1"/>
    <col min="15383" max="15383" width="17.875" style="401" customWidth="1"/>
    <col min="15384" max="15609" width="9" style="401"/>
    <col min="15610" max="15610" width="7.875" style="401" customWidth="1"/>
    <col min="15611" max="15611" width="57.125" style="401" bestFit="1" customWidth="1"/>
    <col min="15612" max="15612" width="9.25" style="401" customWidth="1"/>
    <col min="15613" max="15613" width="7.375" style="401" customWidth="1"/>
    <col min="15614" max="15615" width="12.375" style="401" customWidth="1"/>
    <col min="15616" max="15616" width="11.75" style="401" customWidth="1"/>
    <col min="15617" max="15617" width="12.125" style="401" customWidth="1"/>
    <col min="15618" max="15618" width="13.75" style="401" customWidth="1"/>
    <col min="15619" max="15619" width="12.25" style="401" customWidth="1"/>
    <col min="15620" max="15620" width="8.125" style="401" bestFit="1" customWidth="1"/>
    <col min="15621" max="15621" width="10" style="401" customWidth="1"/>
    <col min="15622" max="15622" width="8.125" style="401" bestFit="1" customWidth="1"/>
    <col min="15623" max="15623" width="13.375" style="401" customWidth="1"/>
    <col min="15624" max="15624" width="12.75" style="401" customWidth="1"/>
    <col min="15625" max="15627" width="9" style="401"/>
    <col min="15628" max="15629" width="8.125" style="401" bestFit="1" customWidth="1"/>
    <col min="15630" max="15630" width="9" style="401"/>
    <col min="15631" max="15631" width="21" style="401" customWidth="1"/>
    <col min="15632" max="15632" width="9.875" style="401" customWidth="1"/>
    <col min="15633" max="15633" width="8.125" style="401" bestFit="1" customWidth="1"/>
    <col min="15634" max="15634" width="10.75" style="401" customWidth="1"/>
    <col min="15635" max="15635" width="13.25" style="401" customWidth="1"/>
    <col min="15636" max="15636" width="12.125" style="401" customWidth="1"/>
    <col min="15637" max="15637" width="11.625" style="401" customWidth="1"/>
    <col min="15638" max="15638" width="15" style="401" customWidth="1"/>
    <col min="15639" max="15639" width="17.875" style="401" customWidth="1"/>
    <col min="15640" max="15865" width="9" style="401"/>
    <col min="15866" max="15866" width="7.875" style="401" customWidth="1"/>
    <col min="15867" max="15867" width="57.125" style="401" bestFit="1" customWidth="1"/>
    <col min="15868" max="15868" width="9.25" style="401" customWidth="1"/>
    <col min="15869" max="15869" width="7.375" style="401" customWidth="1"/>
    <col min="15870" max="15871" width="12.375" style="401" customWidth="1"/>
    <col min="15872" max="15872" width="11.75" style="401" customWidth="1"/>
    <col min="15873" max="15873" width="12.125" style="401" customWidth="1"/>
    <col min="15874" max="15874" width="13.75" style="401" customWidth="1"/>
    <col min="15875" max="15875" width="12.25" style="401" customWidth="1"/>
    <col min="15876" max="15876" width="8.125" style="401" bestFit="1" customWidth="1"/>
    <col min="15877" max="15877" width="10" style="401" customWidth="1"/>
    <col min="15878" max="15878" width="8.125" style="401" bestFit="1" customWidth="1"/>
    <col min="15879" max="15879" width="13.375" style="401" customWidth="1"/>
    <col min="15880" max="15880" width="12.75" style="401" customWidth="1"/>
    <col min="15881" max="15883" width="9" style="401"/>
    <col min="15884" max="15885" width="8.125" style="401" bestFit="1" customWidth="1"/>
    <col min="15886" max="15886" width="9" style="401"/>
    <col min="15887" max="15887" width="21" style="401" customWidth="1"/>
    <col min="15888" max="15888" width="9.875" style="401" customWidth="1"/>
    <col min="15889" max="15889" width="8.125" style="401" bestFit="1" customWidth="1"/>
    <col min="15890" max="15890" width="10.75" style="401" customWidth="1"/>
    <col min="15891" max="15891" width="13.25" style="401" customWidth="1"/>
    <col min="15892" max="15892" width="12.125" style="401" customWidth="1"/>
    <col min="15893" max="15893" width="11.625" style="401" customWidth="1"/>
    <col min="15894" max="15894" width="15" style="401" customWidth="1"/>
    <col min="15895" max="15895" width="17.875" style="401" customWidth="1"/>
    <col min="15896" max="16121" width="9" style="401"/>
    <col min="16122" max="16122" width="7.875" style="401" customWidth="1"/>
    <col min="16123" max="16123" width="57.125" style="401" bestFit="1" customWidth="1"/>
    <col min="16124" max="16124" width="9.25" style="401" customWidth="1"/>
    <col min="16125" max="16125" width="7.375" style="401" customWidth="1"/>
    <col min="16126" max="16127" width="12.375" style="401" customWidth="1"/>
    <col min="16128" max="16128" width="11.75" style="401" customWidth="1"/>
    <col min="16129" max="16129" width="12.125" style="401" customWidth="1"/>
    <col min="16130" max="16130" width="13.75" style="401" customWidth="1"/>
    <col min="16131" max="16131" width="12.25" style="401" customWidth="1"/>
    <col min="16132" max="16132" width="8.125" style="401" bestFit="1" customWidth="1"/>
    <col min="16133" max="16133" width="10" style="401" customWidth="1"/>
    <col min="16134" max="16134" width="8.125" style="401" bestFit="1" customWidth="1"/>
    <col min="16135" max="16135" width="13.375" style="401" customWidth="1"/>
    <col min="16136" max="16136" width="12.75" style="401" customWidth="1"/>
    <col min="16137" max="16139" width="9" style="401"/>
    <col min="16140" max="16141" width="8.125" style="401" bestFit="1" customWidth="1"/>
    <col min="16142" max="16142" width="9" style="401"/>
    <col min="16143" max="16143" width="21" style="401" customWidth="1"/>
    <col min="16144" max="16144" width="9.875" style="401" customWidth="1"/>
    <col min="16145" max="16145" width="8.125" style="401" bestFit="1" customWidth="1"/>
    <col min="16146" max="16146" width="10.75" style="401" customWidth="1"/>
    <col min="16147" max="16147" width="13.25" style="401" customWidth="1"/>
    <col min="16148" max="16148" width="12.125" style="401" customWidth="1"/>
    <col min="16149" max="16149" width="11.625" style="401" customWidth="1"/>
    <col min="16150" max="16150" width="15" style="401" customWidth="1"/>
    <col min="16151" max="16151" width="17.875" style="401" customWidth="1"/>
    <col min="16152" max="16379" width="9" style="401"/>
    <col min="16380" max="16384" width="9.125" style="401" customWidth="1"/>
  </cols>
  <sheetData>
    <row r="1" spans="1:24" s="400" customFormat="1" ht="19.05" customHeight="1">
      <c r="A1" s="439"/>
      <c r="B1" s="600" t="s">
        <v>604</v>
      </c>
      <c r="C1" s="601" t="s">
        <v>605</v>
      </c>
      <c r="D1" s="602"/>
      <c r="E1" s="603"/>
      <c r="F1" s="603"/>
      <c r="G1" s="600"/>
      <c r="H1" s="600"/>
      <c r="I1" s="600"/>
    </row>
    <row r="2" spans="1:24" s="400" customFormat="1" ht="19.05" customHeight="1">
      <c r="A2" s="439"/>
      <c r="B2" s="604" t="s">
        <v>495</v>
      </c>
      <c r="C2" s="605" t="s">
        <v>435</v>
      </c>
      <c r="D2" s="606"/>
      <c r="E2" s="605"/>
      <c r="F2" s="605"/>
      <c r="G2" s="605"/>
      <c r="H2" s="605"/>
      <c r="I2" s="604"/>
    </row>
    <row r="3" spans="1:24" s="400" customFormat="1" ht="19.05" customHeight="1">
      <c r="A3" s="439"/>
      <c r="B3" s="604" t="s">
        <v>606</v>
      </c>
      <c r="C3" s="605" t="s">
        <v>602</v>
      </c>
      <c r="D3" s="606"/>
      <c r="E3" s="605"/>
      <c r="F3" s="605"/>
      <c r="G3" s="605"/>
      <c r="H3" s="605"/>
      <c r="I3" s="605" t="s">
        <v>601</v>
      </c>
    </row>
    <row r="4" spans="1:24" s="400" customFormat="1" ht="19.05" customHeight="1">
      <c r="A4" s="439"/>
      <c r="B4" s="604"/>
      <c r="C4" s="611" t="s">
        <v>603</v>
      </c>
      <c r="D4" s="611"/>
      <c r="E4" s="611"/>
      <c r="F4" s="608"/>
      <c r="G4" s="604"/>
      <c r="H4" s="605"/>
      <c r="I4" s="605" t="s">
        <v>600</v>
      </c>
    </row>
    <row r="5" spans="1:24" s="400" customFormat="1" ht="19.05" customHeight="1">
      <c r="A5" s="439"/>
      <c r="B5" s="604"/>
      <c r="C5" s="605" t="s">
        <v>443</v>
      </c>
      <c r="D5" s="609"/>
      <c r="E5" s="609"/>
      <c r="F5" s="610" t="s">
        <v>599</v>
      </c>
      <c r="G5" s="604"/>
      <c r="H5" s="605"/>
      <c r="I5" s="605" t="s">
        <v>600</v>
      </c>
    </row>
    <row r="6" spans="1:24" s="400" customFormat="1" ht="19.05" customHeight="1">
      <c r="A6" s="760" t="s">
        <v>6</v>
      </c>
      <c r="B6" s="760" t="s">
        <v>0</v>
      </c>
      <c r="C6" s="763" t="s">
        <v>430</v>
      </c>
      <c r="D6" s="763"/>
      <c r="E6" s="768" t="s">
        <v>431</v>
      </c>
      <c r="F6" s="768"/>
      <c r="G6" s="768" t="s">
        <v>432</v>
      </c>
      <c r="H6" s="768"/>
      <c r="I6" s="487" t="s">
        <v>7</v>
      </c>
    </row>
    <row r="7" spans="1:24" s="400" customFormat="1" ht="19.05" customHeight="1">
      <c r="A7" s="761"/>
      <c r="B7" s="762"/>
      <c r="C7" s="488" t="s">
        <v>1</v>
      </c>
      <c r="D7" s="489" t="s">
        <v>2</v>
      </c>
      <c r="E7" s="466" t="s">
        <v>433</v>
      </c>
      <c r="F7" s="466" t="s">
        <v>9</v>
      </c>
      <c r="G7" s="466" t="s">
        <v>433</v>
      </c>
      <c r="H7" s="466" t="s">
        <v>9</v>
      </c>
      <c r="I7" s="474" t="s">
        <v>268</v>
      </c>
      <c r="J7" s="683" t="s">
        <v>649</v>
      </c>
      <c r="K7" s="697" t="s">
        <v>651</v>
      </c>
      <c r="L7" s="704" t="s">
        <v>652</v>
      </c>
      <c r="M7" s="715" t="s">
        <v>653</v>
      </c>
    </row>
    <row r="8" spans="1:24" ht="19.05" customHeight="1">
      <c r="A8" s="440">
        <v>1</v>
      </c>
      <c r="B8" s="451" t="s">
        <v>436</v>
      </c>
      <c r="C8" s="410"/>
      <c r="D8" s="452"/>
      <c r="E8" s="452"/>
      <c r="F8" s="452"/>
      <c r="G8" s="453"/>
      <c r="H8" s="452"/>
      <c r="I8" s="452"/>
      <c r="K8" s="401"/>
      <c r="L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</row>
    <row r="9" spans="1:24" s="457" customFormat="1" ht="19.05" customHeight="1">
      <c r="A9" s="684"/>
      <c r="B9" s="477" t="s">
        <v>490</v>
      </c>
      <c r="C9" s="685">
        <v>3</v>
      </c>
      <c r="D9" s="479" t="s">
        <v>21</v>
      </c>
      <c r="E9" s="478">
        <v>0</v>
      </c>
      <c r="F9" s="478">
        <f>ROUND(C9*E9,0)</f>
        <v>0</v>
      </c>
      <c r="G9" s="478">
        <v>40</v>
      </c>
      <c r="H9" s="477">
        <f>ROUND(C9*G9,0)</f>
        <v>120</v>
      </c>
      <c r="I9" s="477">
        <f t="shared" ref="I9:I27" si="0">F9+H9</f>
        <v>120</v>
      </c>
      <c r="J9" s="691">
        <f>SUM(I9)</f>
        <v>120</v>
      </c>
    </row>
    <row r="10" spans="1:24" s="457" customFormat="1" ht="19.05" customHeight="1">
      <c r="A10" s="476"/>
      <c r="B10" s="477" t="s">
        <v>491</v>
      </c>
      <c r="C10" s="478">
        <v>51</v>
      </c>
      <c r="D10" s="479" t="s">
        <v>21</v>
      </c>
      <c r="E10" s="478">
        <v>0</v>
      </c>
      <c r="F10" s="478">
        <f>ROUND(C10*E10,0)</f>
        <v>0</v>
      </c>
      <c r="G10" s="478">
        <v>75</v>
      </c>
      <c r="H10" s="477">
        <f>ROUND(C10*G10,0)</f>
        <v>3825</v>
      </c>
      <c r="I10" s="477">
        <f t="shared" si="0"/>
        <v>3825</v>
      </c>
      <c r="J10" s="691">
        <f t="shared" ref="J10:J12" si="1">SUM(I10)</f>
        <v>3825</v>
      </c>
    </row>
    <row r="11" spans="1:24" s="457" customFormat="1" ht="19.05" customHeight="1">
      <c r="A11" s="476"/>
      <c r="B11" s="477" t="s">
        <v>492</v>
      </c>
      <c r="C11" s="478">
        <v>48</v>
      </c>
      <c r="D11" s="479" t="s">
        <v>21</v>
      </c>
      <c r="E11" s="478">
        <v>0</v>
      </c>
      <c r="F11" s="478">
        <f t="shared" ref="F11:F27" si="2">C11*E11</f>
        <v>0</v>
      </c>
      <c r="G11" s="478">
        <v>50</v>
      </c>
      <c r="H11" s="477">
        <f t="shared" ref="H11:H27" si="3">C11*G11</f>
        <v>2400</v>
      </c>
      <c r="I11" s="477">
        <f t="shared" si="0"/>
        <v>2400</v>
      </c>
      <c r="J11" s="691">
        <f t="shared" si="1"/>
        <v>2400</v>
      </c>
    </row>
    <row r="12" spans="1:24" s="457" customFormat="1" ht="19.05" customHeight="1">
      <c r="A12" s="476"/>
      <c r="B12" s="477" t="s">
        <v>482</v>
      </c>
      <c r="C12" s="478">
        <v>168</v>
      </c>
      <c r="D12" s="479" t="s">
        <v>21</v>
      </c>
      <c r="E12" s="478">
        <v>0</v>
      </c>
      <c r="F12" s="478">
        <f t="shared" si="2"/>
        <v>0</v>
      </c>
      <c r="G12" s="478">
        <v>35</v>
      </c>
      <c r="H12" s="477">
        <f t="shared" si="3"/>
        <v>5880</v>
      </c>
      <c r="I12" s="477">
        <f t="shared" si="0"/>
        <v>5880</v>
      </c>
      <c r="J12" s="691">
        <f t="shared" si="1"/>
        <v>5880</v>
      </c>
    </row>
    <row r="13" spans="1:24" s="457" customFormat="1" ht="19.05" customHeight="1">
      <c r="A13" s="476"/>
      <c r="B13" s="477" t="s">
        <v>493</v>
      </c>
      <c r="C13" s="478"/>
      <c r="D13" s="479"/>
      <c r="E13" s="478"/>
      <c r="F13" s="478"/>
      <c r="G13" s="478"/>
      <c r="H13" s="477"/>
      <c r="I13" s="477"/>
      <c r="J13" s="456"/>
    </row>
    <row r="14" spans="1:24" s="457" customFormat="1" ht="19.05" customHeight="1">
      <c r="A14" s="476"/>
      <c r="B14" s="477" t="s">
        <v>510</v>
      </c>
      <c r="C14" s="478">
        <v>48</v>
      </c>
      <c r="D14" s="479" t="s">
        <v>21</v>
      </c>
      <c r="E14" s="478">
        <v>0</v>
      </c>
      <c r="F14" s="478">
        <f t="shared" si="2"/>
        <v>0</v>
      </c>
      <c r="G14" s="478">
        <v>25</v>
      </c>
      <c r="H14" s="477">
        <f t="shared" si="3"/>
        <v>1200</v>
      </c>
      <c r="I14" s="477">
        <f t="shared" si="0"/>
        <v>1200</v>
      </c>
      <c r="J14" s="691">
        <f>SUM(I14)</f>
        <v>1200</v>
      </c>
    </row>
    <row r="15" spans="1:24" s="457" customFormat="1" ht="19.05" customHeight="1">
      <c r="A15" s="476"/>
      <c r="B15" s="477" t="s">
        <v>493</v>
      </c>
      <c r="C15" s="478"/>
      <c r="D15" s="479"/>
      <c r="E15" s="478"/>
      <c r="F15" s="478"/>
      <c r="G15" s="478"/>
      <c r="H15" s="477"/>
      <c r="I15" s="477"/>
      <c r="J15" s="456"/>
    </row>
    <row r="16" spans="1:24" s="457" customFormat="1" ht="19.05" customHeight="1">
      <c r="A16" s="476"/>
      <c r="B16" s="477" t="s">
        <v>511</v>
      </c>
      <c r="C16" s="478">
        <v>16</v>
      </c>
      <c r="D16" s="479" t="s">
        <v>25</v>
      </c>
      <c r="E16" s="478">
        <v>0</v>
      </c>
      <c r="F16" s="478">
        <f t="shared" si="2"/>
        <v>0</v>
      </c>
      <c r="G16" s="478">
        <v>690</v>
      </c>
      <c r="H16" s="477">
        <f t="shared" si="3"/>
        <v>11040</v>
      </c>
      <c r="I16" s="477">
        <f t="shared" si="0"/>
        <v>11040</v>
      </c>
      <c r="J16" s="691">
        <f>SUM(I16)</f>
        <v>11040</v>
      </c>
    </row>
    <row r="17" spans="1:24" s="457" customFormat="1" ht="19.05" customHeight="1">
      <c r="A17" s="476"/>
      <c r="B17" s="686" t="s">
        <v>512</v>
      </c>
      <c r="C17" s="478"/>
      <c r="D17" s="479"/>
      <c r="E17" s="478"/>
      <c r="F17" s="478"/>
      <c r="G17" s="478"/>
      <c r="H17" s="477"/>
      <c r="I17" s="477"/>
      <c r="J17" s="456"/>
    </row>
    <row r="18" spans="1:24" s="457" customFormat="1" ht="19.05" customHeight="1">
      <c r="A18" s="476"/>
      <c r="B18" s="477" t="s">
        <v>483</v>
      </c>
      <c r="C18" s="478">
        <v>4</v>
      </c>
      <c r="D18" s="479" t="s">
        <v>434</v>
      </c>
      <c r="E18" s="478">
        <v>0</v>
      </c>
      <c r="F18" s="478">
        <f t="shared" si="2"/>
        <v>0</v>
      </c>
      <c r="G18" s="478">
        <v>60</v>
      </c>
      <c r="H18" s="477">
        <f t="shared" si="3"/>
        <v>240</v>
      </c>
      <c r="I18" s="477">
        <f t="shared" si="0"/>
        <v>240</v>
      </c>
      <c r="J18" s="691">
        <f t="shared" ref="J18:J23" si="4">SUM(I18)</f>
        <v>240</v>
      </c>
    </row>
    <row r="19" spans="1:24" s="457" customFormat="1" ht="19.05" customHeight="1">
      <c r="A19" s="476"/>
      <c r="B19" s="477" t="s">
        <v>485</v>
      </c>
      <c r="C19" s="478">
        <v>2</v>
      </c>
      <c r="D19" s="479" t="s">
        <v>434</v>
      </c>
      <c r="E19" s="478">
        <v>0</v>
      </c>
      <c r="F19" s="478">
        <f t="shared" si="2"/>
        <v>0</v>
      </c>
      <c r="G19" s="478">
        <v>60</v>
      </c>
      <c r="H19" s="477">
        <f t="shared" si="3"/>
        <v>120</v>
      </c>
      <c r="I19" s="477">
        <f t="shared" si="0"/>
        <v>120</v>
      </c>
      <c r="J19" s="691">
        <f t="shared" si="4"/>
        <v>120</v>
      </c>
    </row>
    <row r="20" spans="1:24" s="457" customFormat="1" ht="19.05" customHeight="1">
      <c r="A20" s="476"/>
      <c r="B20" s="477" t="s">
        <v>484</v>
      </c>
      <c r="C20" s="478">
        <v>10</v>
      </c>
      <c r="D20" s="479" t="s">
        <v>434</v>
      </c>
      <c r="E20" s="478">
        <v>0</v>
      </c>
      <c r="F20" s="478">
        <f t="shared" si="2"/>
        <v>0</v>
      </c>
      <c r="G20" s="478">
        <v>60</v>
      </c>
      <c r="H20" s="477">
        <f t="shared" si="3"/>
        <v>600</v>
      </c>
      <c r="I20" s="477">
        <f t="shared" si="0"/>
        <v>600</v>
      </c>
      <c r="J20" s="691">
        <f t="shared" si="4"/>
        <v>600</v>
      </c>
    </row>
    <row r="21" spans="1:24" s="457" customFormat="1" ht="19.05" customHeight="1">
      <c r="A21" s="476"/>
      <c r="B21" s="477" t="s">
        <v>486</v>
      </c>
      <c r="C21" s="478">
        <v>4</v>
      </c>
      <c r="D21" s="479" t="s">
        <v>25</v>
      </c>
      <c r="E21" s="478">
        <v>0</v>
      </c>
      <c r="F21" s="478">
        <f t="shared" si="2"/>
        <v>0</v>
      </c>
      <c r="G21" s="478">
        <v>100</v>
      </c>
      <c r="H21" s="477">
        <f t="shared" si="3"/>
        <v>400</v>
      </c>
      <c r="I21" s="477">
        <f t="shared" si="0"/>
        <v>400</v>
      </c>
      <c r="J21" s="691">
        <f t="shared" si="4"/>
        <v>400</v>
      </c>
    </row>
    <row r="22" spans="1:24" s="457" customFormat="1" ht="19.05" customHeight="1">
      <c r="A22" s="476"/>
      <c r="B22" s="477" t="s">
        <v>494</v>
      </c>
      <c r="C22" s="478">
        <v>9</v>
      </c>
      <c r="D22" s="479" t="s">
        <v>295</v>
      </c>
      <c r="E22" s="478">
        <v>0</v>
      </c>
      <c r="F22" s="478">
        <v>0</v>
      </c>
      <c r="G22" s="478">
        <v>65</v>
      </c>
      <c r="H22" s="477">
        <f t="shared" si="3"/>
        <v>585</v>
      </c>
      <c r="I22" s="477">
        <f t="shared" si="0"/>
        <v>585</v>
      </c>
      <c r="J22" s="691">
        <f t="shared" si="4"/>
        <v>585</v>
      </c>
    </row>
    <row r="23" spans="1:24" s="457" customFormat="1" ht="19.05" customHeight="1">
      <c r="A23" s="476"/>
      <c r="B23" s="477" t="s">
        <v>513</v>
      </c>
      <c r="C23" s="478">
        <v>4</v>
      </c>
      <c r="D23" s="479" t="s">
        <v>448</v>
      </c>
      <c r="E23" s="478">
        <v>0</v>
      </c>
      <c r="F23" s="478">
        <v>0</v>
      </c>
      <c r="G23" s="478">
        <v>2760</v>
      </c>
      <c r="H23" s="477">
        <f t="shared" si="3"/>
        <v>11040</v>
      </c>
      <c r="I23" s="477">
        <f t="shared" si="0"/>
        <v>11040</v>
      </c>
      <c r="J23" s="691">
        <f t="shared" si="4"/>
        <v>11040</v>
      </c>
    </row>
    <row r="24" spans="1:24" s="457" customFormat="1" ht="19.05" customHeight="1">
      <c r="A24" s="687"/>
      <c r="B24" s="477" t="s">
        <v>514</v>
      </c>
      <c r="C24" s="478"/>
      <c r="D24" s="479"/>
      <c r="E24" s="478"/>
      <c r="F24" s="478"/>
      <c r="G24" s="688"/>
      <c r="H24" s="477"/>
      <c r="I24" s="477"/>
      <c r="J24" s="456"/>
    </row>
    <row r="25" spans="1:24" s="457" customFormat="1" ht="19.05" customHeight="1">
      <c r="A25" s="687"/>
      <c r="B25" s="689" t="s">
        <v>515</v>
      </c>
      <c r="C25" s="478">
        <v>1</v>
      </c>
      <c r="D25" s="479" t="s">
        <v>104</v>
      </c>
      <c r="E25" s="478">
        <v>0</v>
      </c>
      <c r="F25" s="478">
        <v>0</v>
      </c>
      <c r="G25" s="688">
        <v>600</v>
      </c>
      <c r="H25" s="477">
        <f t="shared" ref="H25" si="5">C25*G25</f>
        <v>600</v>
      </c>
      <c r="I25" s="477">
        <f t="shared" ref="I25" si="6">F25+H25</f>
        <v>600</v>
      </c>
      <c r="J25" s="691">
        <f>SUM(I25)</f>
        <v>600</v>
      </c>
    </row>
    <row r="26" spans="1:24" s="457" customFormat="1" ht="19.05" customHeight="1">
      <c r="A26" s="687"/>
      <c r="B26" s="689" t="s">
        <v>516</v>
      </c>
      <c r="C26" s="688"/>
      <c r="D26" s="690"/>
      <c r="E26" s="688"/>
      <c r="F26" s="688"/>
      <c r="G26" s="688"/>
      <c r="H26" s="689"/>
      <c r="I26" s="689"/>
      <c r="J26" s="456"/>
    </row>
    <row r="27" spans="1:24" s="457" customFormat="1" ht="19.05" customHeight="1">
      <c r="A27" s="687"/>
      <c r="B27" s="689" t="s">
        <v>487</v>
      </c>
      <c r="C27" s="688">
        <v>21</v>
      </c>
      <c r="D27" s="690" t="s">
        <v>25</v>
      </c>
      <c r="E27" s="688">
        <v>0</v>
      </c>
      <c r="F27" s="688">
        <f t="shared" si="2"/>
        <v>0</v>
      </c>
      <c r="G27" s="688">
        <v>120</v>
      </c>
      <c r="H27" s="689">
        <f t="shared" si="3"/>
        <v>2520</v>
      </c>
      <c r="I27" s="689">
        <f t="shared" si="0"/>
        <v>2520</v>
      </c>
      <c r="J27" s="691">
        <f>SUM(I27)</f>
        <v>2520</v>
      </c>
    </row>
    <row r="28" spans="1:24" ht="19.05" customHeight="1">
      <c r="A28" s="464"/>
      <c r="B28" s="447" t="s">
        <v>446</v>
      </c>
      <c r="C28" s="465"/>
      <c r="D28" s="448"/>
      <c r="E28" s="465"/>
      <c r="F28" s="465"/>
      <c r="G28" s="465"/>
      <c r="H28" s="447"/>
      <c r="I28" s="447">
        <f>SUM(I9:I27)</f>
        <v>40570</v>
      </c>
      <c r="K28" s="401"/>
      <c r="L28" s="401"/>
      <c r="N28" s="401"/>
      <c r="O28" s="401"/>
      <c r="P28" s="401"/>
      <c r="Q28" s="401"/>
      <c r="R28" s="401"/>
      <c r="S28" s="401"/>
      <c r="T28" s="401"/>
      <c r="U28" s="401"/>
      <c r="V28" s="401"/>
      <c r="W28" s="401"/>
      <c r="X28" s="401"/>
    </row>
    <row r="29" spans="1:24" ht="19.05" customHeight="1">
      <c r="A29" s="467">
        <v>2</v>
      </c>
      <c r="B29" s="468" t="s">
        <v>438</v>
      </c>
      <c r="C29" s="469"/>
      <c r="D29" s="470"/>
      <c r="E29" s="469"/>
      <c r="F29" s="469"/>
      <c r="G29" s="469"/>
      <c r="H29" s="469"/>
      <c r="I29" s="469"/>
      <c r="K29" s="401"/>
      <c r="L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</row>
    <row r="30" spans="1:24" s="457" customFormat="1" ht="19.05" customHeight="1">
      <c r="A30" s="477"/>
      <c r="B30" s="477" t="s">
        <v>437</v>
      </c>
      <c r="C30" s="477">
        <v>93</v>
      </c>
      <c r="D30" s="479" t="s">
        <v>21</v>
      </c>
      <c r="E30" s="477">
        <v>726</v>
      </c>
      <c r="F30" s="477">
        <f t="shared" ref="F30:F81" si="7">ROUND(C30*E30,0)</f>
        <v>67518</v>
      </c>
      <c r="G30" s="477">
        <v>94</v>
      </c>
      <c r="H30" s="477">
        <f t="shared" ref="H30:H81" si="8">ROUND(C30*G30,0)</f>
        <v>8742</v>
      </c>
      <c r="I30" s="477">
        <f t="shared" ref="I30:I81" si="9">F30+H30</f>
        <v>76260</v>
      </c>
      <c r="J30" s="691">
        <f>SUM(I30)</f>
        <v>76260</v>
      </c>
    </row>
    <row r="31" spans="1:24" s="457" customFormat="1" ht="19.05" customHeight="1">
      <c r="A31" s="477"/>
      <c r="B31" s="477" t="s">
        <v>457</v>
      </c>
      <c r="C31" s="477">
        <v>158</v>
      </c>
      <c r="D31" s="479" t="s">
        <v>21</v>
      </c>
      <c r="E31" s="477">
        <v>0</v>
      </c>
      <c r="F31" s="477">
        <f>ROUND(C31*E31,0)</f>
        <v>0</v>
      </c>
      <c r="G31" s="477">
        <v>74</v>
      </c>
      <c r="H31" s="477">
        <f t="shared" si="8"/>
        <v>11692</v>
      </c>
      <c r="I31" s="477">
        <f t="shared" si="9"/>
        <v>11692</v>
      </c>
      <c r="J31" s="691">
        <f>SUM(I31)</f>
        <v>11692</v>
      </c>
    </row>
    <row r="32" spans="1:24" s="702" customFormat="1" ht="19.05" customHeight="1">
      <c r="A32" s="698" t="s">
        <v>467</v>
      </c>
      <c r="B32" s="699" t="s">
        <v>466</v>
      </c>
      <c r="C32" s="699">
        <v>84</v>
      </c>
      <c r="D32" s="698" t="s">
        <v>21</v>
      </c>
      <c r="E32" s="699">
        <v>308</v>
      </c>
      <c r="F32" s="700">
        <f t="shared" ref="F32:F50" si="10">C32*E32</f>
        <v>25872</v>
      </c>
      <c r="G32" s="699">
        <v>166</v>
      </c>
      <c r="H32" s="699">
        <f t="shared" si="8"/>
        <v>13944</v>
      </c>
      <c r="I32" s="699">
        <f t="shared" si="9"/>
        <v>39816</v>
      </c>
      <c r="J32" s="701"/>
      <c r="K32" s="703">
        <f>SUM(I32)</f>
        <v>39816</v>
      </c>
    </row>
    <row r="33" spans="1:12" s="702" customFormat="1" ht="19.05" customHeight="1">
      <c r="A33" s="698" t="s">
        <v>468</v>
      </c>
      <c r="B33" s="699" t="s">
        <v>526</v>
      </c>
      <c r="C33" s="699">
        <v>14</v>
      </c>
      <c r="D33" s="698" t="s">
        <v>21</v>
      </c>
      <c r="E33" s="699">
        <v>458</v>
      </c>
      <c r="F33" s="700">
        <f t="shared" si="10"/>
        <v>6412</v>
      </c>
      <c r="G33" s="699">
        <v>189</v>
      </c>
      <c r="H33" s="699">
        <f t="shared" si="8"/>
        <v>2646</v>
      </c>
      <c r="I33" s="699">
        <f t="shared" si="9"/>
        <v>9058</v>
      </c>
      <c r="J33" s="701"/>
      <c r="K33" s="703">
        <f>SUM(I33)</f>
        <v>9058</v>
      </c>
    </row>
    <row r="34" spans="1:12" s="702" customFormat="1" ht="19.05" customHeight="1">
      <c r="A34" s="698"/>
      <c r="B34" s="699" t="s">
        <v>544</v>
      </c>
      <c r="C34" s="699"/>
      <c r="D34" s="698"/>
      <c r="E34" s="699"/>
      <c r="F34" s="700"/>
      <c r="G34" s="699"/>
      <c r="H34" s="699"/>
      <c r="I34" s="699"/>
      <c r="J34" s="701"/>
    </row>
    <row r="35" spans="1:12" s="702" customFormat="1" ht="19.05" customHeight="1">
      <c r="A35" s="698" t="s">
        <v>469</v>
      </c>
      <c r="B35" s="699" t="s">
        <v>545</v>
      </c>
      <c r="C35" s="699">
        <v>20</v>
      </c>
      <c r="D35" s="698" t="s">
        <v>21</v>
      </c>
      <c r="E35" s="699">
        <v>2400</v>
      </c>
      <c r="F35" s="700">
        <f t="shared" si="10"/>
        <v>48000</v>
      </c>
      <c r="G35" s="699">
        <v>265</v>
      </c>
      <c r="H35" s="699">
        <f t="shared" ref="H35:H37" si="11">ROUND(C35*G35,0)</f>
        <v>5300</v>
      </c>
      <c r="I35" s="699">
        <f t="shared" ref="I35:I37" si="12">F35+H35</f>
        <v>53300</v>
      </c>
      <c r="J35" s="701"/>
      <c r="K35" s="703">
        <f>SUM(I35)</f>
        <v>53300</v>
      </c>
    </row>
    <row r="36" spans="1:12" s="702" customFormat="1" ht="19.05" customHeight="1">
      <c r="A36" s="698" t="s">
        <v>471</v>
      </c>
      <c r="B36" s="699" t="s">
        <v>547</v>
      </c>
      <c r="C36" s="699">
        <v>40</v>
      </c>
      <c r="D36" s="698" t="s">
        <v>21</v>
      </c>
      <c r="E36" s="699">
        <v>670</v>
      </c>
      <c r="F36" s="700">
        <f t="shared" si="10"/>
        <v>26800</v>
      </c>
      <c r="G36" s="699">
        <v>166</v>
      </c>
      <c r="H36" s="699">
        <f t="shared" si="11"/>
        <v>6640</v>
      </c>
      <c r="I36" s="699">
        <f t="shared" si="12"/>
        <v>33440</v>
      </c>
      <c r="J36" s="701"/>
      <c r="K36" s="703">
        <f>SUM(I36)</f>
        <v>33440</v>
      </c>
    </row>
    <row r="37" spans="1:12" s="702" customFormat="1" ht="19.05" customHeight="1">
      <c r="A37" s="699"/>
      <c r="B37" s="699" t="s">
        <v>551</v>
      </c>
      <c r="C37" s="699">
        <v>14</v>
      </c>
      <c r="D37" s="698" t="s">
        <v>295</v>
      </c>
      <c r="E37" s="699">
        <v>206</v>
      </c>
      <c r="F37" s="700">
        <f t="shared" si="10"/>
        <v>2884</v>
      </c>
      <c r="G37" s="699">
        <v>55</v>
      </c>
      <c r="H37" s="699">
        <f t="shared" si="11"/>
        <v>770</v>
      </c>
      <c r="I37" s="699">
        <f t="shared" si="12"/>
        <v>3654</v>
      </c>
      <c r="K37" s="703">
        <f>SUM(I37)</f>
        <v>3654</v>
      </c>
    </row>
    <row r="38" spans="1:12" s="702" customFormat="1" ht="19.05" customHeight="1">
      <c r="A38" s="699"/>
      <c r="B38" s="699" t="s">
        <v>552</v>
      </c>
      <c r="C38" s="699"/>
      <c r="D38" s="698"/>
      <c r="E38" s="699"/>
      <c r="F38" s="700"/>
      <c r="G38" s="699"/>
      <c r="H38" s="699"/>
      <c r="I38" s="699"/>
      <c r="J38" s="701"/>
    </row>
    <row r="39" spans="1:12" s="702" customFormat="1" ht="19.05" customHeight="1">
      <c r="A39" s="699"/>
      <c r="B39" s="699" t="s">
        <v>473</v>
      </c>
      <c r="C39" s="699">
        <v>90</v>
      </c>
      <c r="D39" s="698" t="s">
        <v>295</v>
      </c>
      <c r="E39" s="699">
        <v>240</v>
      </c>
      <c r="F39" s="700">
        <f t="shared" si="10"/>
        <v>21600</v>
      </c>
      <c r="G39" s="699">
        <v>27</v>
      </c>
      <c r="H39" s="699">
        <f t="shared" ref="H39:H41" si="13">ROUND(C39*G39,0)</f>
        <v>2430</v>
      </c>
      <c r="I39" s="699">
        <f t="shared" ref="I39:I41" si="14">F39+H39</f>
        <v>24030</v>
      </c>
      <c r="J39" s="701"/>
      <c r="K39" s="703">
        <f>SUM(I39)</f>
        <v>24030</v>
      </c>
    </row>
    <row r="40" spans="1:12" s="702" customFormat="1" ht="19.05" customHeight="1">
      <c r="A40" s="699"/>
      <c r="B40" s="699" t="s">
        <v>472</v>
      </c>
      <c r="C40" s="699">
        <v>45</v>
      </c>
      <c r="D40" s="698" t="s">
        <v>295</v>
      </c>
      <c r="E40" s="699">
        <v>452</v>
      </c>
      <c r="F40" s="700">
        <f t="shared" si="10"/>
        <v>20340</v>
      </c>
      <c r="G40" s="699">
        <v>70</v>
      </c>
      <c r="H40" s="699">
        <f t="shared" si="13"/>
        <v>3150</v>
      </c>
      <c r="I40" s="699">
        <f t="shared" si="14"/>
        <v>23490</v>
      </c>
      <c r="J40" s="701"/>
      <c r="K40" s="703">
        <f>SUM(I40)</f>
        <v>23490</v>
      </c>
    </row>
    <row r="41" spans="1:12" s="711" customFormat="1" ht="19.05" customHeight="1">
      <c r="A41" s="706"/>
      <c r="B41" s="707" t="s">
        <v>537</v>
      </c>
      <c r="C41" s="706">
        <v>19</v>
      </c>
      <c r="D41" s="708" t="s">
        <v>21</v>
      </c>
      <c r="E41" s="706">
        <v>62</v>
      </c>
      <c r="F41" s="709">
        <f t="shared" si="10"/>
        <v>1178</v>
      </c>
      <c r="G41" s="706">
        <v>30</v>
      </c>
      <c r="H41" s="706">
        <f t="shared" si="13"/>
        <v>570</v>
      </c>
      <c r="I41" s="706">
        <f t="shared" si="14"/>
        <v>1748</v>
      </c>
      <c r="J41" s="710"/>
      <c r="L41" s="705">
        <f>SUM(I41)</f>
        <v>1748</v>
      </c>
    </row>
    <row r="42" spans="1:12" s="711" customFormat="1" ht="19.05" customHeight="1">
      <c r="A42" s="706"/>
      <c r="B42" s="707" t="s">
        <v>538</v>
      </c>
      <c r="C42" s="706"/>
      <c r="D42" s="708"/>
      <c r="E42" s="706"/>
      <c r="F42" s="709"/>
      <c r="G42" s="706"/>
      <c r="H42" s="706"/>
      <c r="I42" s="706"/>
      <c r="J42" s="710"/>
    </row>
    <row r="43" spans="1:12" s="711" customFormat="1" ht="19.05" customHeight="1">
      <c r="A43" s="706"/>
      <c r="B43" s="707" t="s">
        <v>539</v>
      </c>
      <c r="C43" s="706"/>
      <c r="D43" s="708"/>
      <c r="E43" s="706"/>
      <c r="F43" s="709"/>
      <c r="G43" s="706"/>
      <c r="H43" s="706"/>
      <c r="I43" s="706"/>
      <c r="J43" s="710"/>
    </row>
    <row r="44" spans="1:12" s="457" customFormat="1" ht="19.05" customHeight="1">
      <c r="A44" s="479" t="s">
        <v>470</v>
      </c>
      <c r="B44" s="477" t="s">
        <v>456</v>
      </c>
      <c r="C44" s="477">
        <v>24</v>
      </c>
      <c r="D44" s="479" t="s">
        <v>21</v>
      </c>
      <c r="E44" s="477">
        <v>59</v>
      </c>
      <c r="F44" s="478">
        <f>C44*E44</f>
        <v>1416</v>
      </c>
      <c r="G44" s="477">
        <v>87</v>
      </c>
      <c r="H44" s="477">
        <f t="shared" ref="H44" si="15">ROUND(C44*G44,0)</f>
        <v>2088</v>
      </c>
      <c r="I44" s="477">
        <f t="shared" ref="I44" si="16">F44+H44</f>
        <v>3504</v>
      </c>
      <c r="J44" s="691">
        <f>SUM(I44)</f>
        <v>3504</v>
      </c>
    </row>
    <row r="45" spans="1:12" s="711" customFormat="1" ht="19.05" customHeight="1">
      <c r="A45" s="706"/>
      <c r="B45" s="706" t="s">
        <v>590</v>
      </c>
      <c r="C45" s="706">
        <v>84</v>
      </c>
      <c r="D45" s="708" t="s">
        <v>295</v>
      </c>
      <c r="E45" s="706">
        <v>112</v>
      </c>
      <c r="F45" s="709">
        <f t="shared" si="10"/>
        <v>9408</v>
      </c>
      <c r="G45" s="706">
        <v>70</v>
      </c>
      <c r="H45" s="706">
        <f t="shared" si="8"/>
        <v>5880</v>
      </c>
      <c r="I45" s="706">
        <f t="shared" si="9"/>
        <v>15288</v>
      </c>
      <c r="J45" s="710"/>
      <c r="L45" s="705">
        <f>SUM(I45)</f>
        <v>15288</v>
      </c>
    </row>
    <row r="46" spans="1:12" s="711" customFormat="1" ht="19.05" customHeight="1">
      <c r="A46" s="706"/>
      <c r="B46" s="706" t="s">
        <v>591</v>
      </c>
      <c r="C46" s="706"/>
      <c r="D46" s="708"/>
      <c r="E46" s="706"/>
      <c r="F46" s="709"/>
      <c r="G46" s="706"/>
      <c r="H46" s="706"/>
      <c r="I46" s="706"/>
      <c r="J46" s="710"/>
    </row>
    <row r="47" spans="1:12" s="702" customFormat="1" ht="19.05" customHeight="1">
      <c r="A47" s="698" t="s">
        <v>474</v>
      </c>
      <c r="B47" s="699" t="s">
        <v>439</v>
      </c>
      <c r="C47" s="699">
        <v>48</v>
      </c>
      <c r="D47" s="698" t="s">
        <v>21</v>
      </c>
      <c r="E47" s="699">
        <v>877</v>
      </c>
      <c r="F47" s="700">
        <f t="shared" si="10"/>
        <v>42096</v>
      </c>
      <c r="G47" s="699">
        <v>174</v>
      </c>
      <c r="H47" s="699">
        <f t="shared" si="8"/>
        <v>8352</v>
      </c>
      <c r="I47" s="699">
        <f t="shared" si="9"/>
        <v>50448</v>
      </c>
      <c r="J47" s="701"/>
      <c r="K47" s="703">
        <f>SUM(I47)</f>
        <v>50448</v>
      </c>
    </row>
    <row r="48" spans="1:12" s="702" customFormat="1" ht="19.05" customHeight="1">
      <c r="A48" s="698" t="s">
        <v>475</v>
      </c>
      <c r="B48" s="699" t="s">
        <v>541</v>
      </c>
      <c r="C48" s="699">
        <v>77</v>
      </c>
      <c r="D48" s="698" t="s">
        <v>21</v>
      </c>
      <c r="E48" s="699">
        <v>261</v>
      </c>
      <c r="F48" s="700">
        <f t="shared" si="10"/>
        <v>20097</v>
      </c>
      <c r="G48" s="699">
        <v>75</v>
      </c>
      <c r="H48" s="699">
        <f t="shared" si="8"/>
        <v>5775</v>
      </c>
      <c r="I48" s="699">
        <f t="shared" si="9"/>
        <v>25872</v>
      </c>
      <c r="J48" s="701"/>
      <c r="K48" s="703">
        <f>SUM(I48)</f>
        <v>25872</v>
      </c>
    </row>
    <row r="49" spans="1:12" s="702" customFormat="1" ht="19.05" customHeight="1">
      <c r="A49" s="699"/>
      <c r="B49" s="699" t="s">
        <v>542</v>
      </c>
      <c r="C49" s="699"/>
      <c r="D49" s="698"/>
      <c r="E49" s="699"/>
      <c r="F49" s="700"/>
      <c r="G49" s="699"/>
      <c r="H49" s="699"/>
      <c r="I49" s="699"/>
      <c r="J49" s="701"/>
    </row>
    <row r="50" spans="1:12" s="711" customFormat="1" ht="19.05" customHeight="1">
      <c r="A50" s="706"/>
      <c r="B50" s="707" t="s">
        <v>540</v>
      </c>
      <c r="C50" s="706">
        <v>77</v>
      </c>
      <c r="D50" s="708" t="s">
        <v>21</v>
      </c>
      <c r="E50" s="706">
        <v>53</v>
      </c>
      <c r="F50" s="709">
        <f t="shared" si="10"/>
        <v>4081</v>
      </c>
      <c r="G50" s="706">
        <v>30</v>
      </c>
      <c r="H50" s="706">
        <f t="shared" ref="H50" si="17">ROUND(C50*G50,0)</f>
        <v>2310</v>
      </c>
      <c r="I50" s="706">
        <f t="shared" ref="I50" si="18">F50+H50</f>
        <v>6391</v>
      </c>
      <c r="J50" s="710"/>
      <c r="L50" s="705">
        <f>SUM(I50)</f>
        <v>6391</v>
      </c>
    </row>
    <row r="51" spans="1:12" s="711" customFormat="1" ht="19.05" customHeight="1">
      <c r="A51" s="706"/>
      <c r="B51" s="707" t="s">
        <v>538</v>
      </c>
      <c r="C51" s="706"/>
      <c r="D51" s="708"/>
      <c r="E51" s="706"/>
      <c r="F51" s="709"/>
      <c r="G51" s="706"/>
      <c r="H51" s="706"/>
      <c r="I51" s="706"/>
      <c r="J51" s="710"/>
    </row>
    <row r="52" spans="1:12" s="711" customFormat="1" ht="19.05" customHeight="1">
      <c r="A52" s="706"/>
      <c r="B52" s="707" t="s">
        <v>539</v>
      </c>
      <c r="C52" s="706"/>
      <c r="D52" s="708"/>
      <c r="E52" s="706"/>
      <c r="F52" s="709"/>
      <c r="G52" s="706"/>
      <c r="H52" s="706"/>
      <c r="I52" s="706"/>
      <c r="J52" s="710"/>
    </row>
    <row r="53" spans="1:12" s="457" customFormat="1" ht="19.05" customHeight="1">
      <c r="A53" s="477"/>
      <c r="B53" s="477" t="s">
        <v>553</v>
      </c>
      <c r="C53" s="477">
        <v>12</v>
      </c>
      <c r="D53" s="479" t="s">
        <v>441</v>
      </c>
      <c r="E53" s="477">
        <v>252</v>
      </c>
      <c r="F53" s="478">
        <f t="shared" ref="F53:F75" si="19">C53*E53</f>
        <v>3024</v>
      </c>
      <c r="G53" s="477">
        <v>93</v>
      </c>
      <c r="H53" s="477">
        <f t="shared" ref="H53" si="20">ROUND(C53*G53,0)</f>
        <v>1116</v>
      </c>
      <c r="I53" s="477">
        <f t="shared" ref="I53:I79" si="21">F53+H53</f>
        <v>4140</v>
      </c>
      <c r="J53" s="691">
        <f>SUM(I53)</f>
        <v>4140</v>
      </c>
    </row>
    <row r="54" spans="1:12" s="457" customFormat="1" ht="19.05" customHeight="1">
      <c r="A54" s="477"/>
      <c r="B54" s="477" t="s">
        <v>552</v>
      </c>
      <c r="C54" s="477"/>
      <c r="D54" s="479"/>
      <c r="E54" s="477"/>
      <c r="F54" s="478"/>
      <c r="G54" s="477"/>
      <c r="H54" s="477"/>
      <c r="I54" s="477"/>
      <c r="J54" s="456"/>
    </row>
    <row r="55" spans="1:12" s="457" customFormat="1" ht="19.05" customHeight="1">
      <c r="A55" s="477"/>
      <c r="B55" s="477" t="s">
        <v>455</v>
      </c>
      <c r="C55" s="477"/>
      <c r="D55" s="479"/>
      <c r="E55" s="477"/>
      <c r="F55" s="478"/>
      <c r="G55" s="477"/>
      <c r="H55" s="477"/>
      <c r="I55" s="477"/>
      <c r="J55" s="456"/>
    </row>
    <row r="56" spans="1:12" s="457" customFormat="1" ht="19.95" customHeight="1">
      <c r="A56" s="477"/>
      <c r="B56" s="477" t="s">
        <v>454</v>
      </c>
      <c r="C56" s="477"/>
      <c r="D56" s="479"/>
      <c r="E56" s="477"/>
      <c r="F56" s="478"/>
      <c r="G56" s="477"/>
      <c r="H56" s="477"/>
      <c r="I56" s="477"/>
      <c r="J56" s="456"/>
    </row>
    <row r="57" spans="1:12" s="695" customFormat="1" ht="19.95" customHeight="1">
      <c r="A57" s="694"/>
      <c r="B57" s="686" t="s">
        <v>568</v>
      </c>
      <c r="C57" s="477"/>
      <c r="D57" s="479"/>
      <c r="E57" s="477"/>
      <c r="F57" s="478"/>
      <c r="G57" s="477"/>
      <c r="H57" s="477"/>
      <c r="I57" s="477"/>
    </row>
    <row r="58" spans="1:12" s="457" customFormat="1" ht="19.95" customHeight="1">
      <c r="A58" s="477"/>
      <c r="B58" s="477" t="s">
        <v>561</v>
      </c>
      <c r="C58" s="477">
        <v>6</v>
      </c>
      <c r="D58" s="479" t="s">
        <v>21</v>
      </c>
      <c r="E58" s="477">
        <v>334</v>
      </c>
      <c r="F58" s="478">
        <f t="shared" si="19"/>
        <v>2004</v>
      </c>
      <c r="G58" s="477">
        <v>51</v>
      </c>
      <c r="H58" s="477">
        <f t="shared" ref="H58" si="22">ROUND(C58*G58,0)</f>
        <v>306</v>
      </c>
      <c r="I58" s="477">
        <f t="shared" ref="I58" si="23">F58+H58</f>
        <v>2310</v>
      </c>
      <c r="J58" s="691">
        <f>SUM(I58)</f>
        <v>2310</v>
      </c>
    </row>
    <row r="59" spans="1:12" s="457" customFormat="1" ht="19.95" customHeight="1">
      <c r="A59" s="477"/>
      <c r="B59" s="477" t="s">
        <v>562</v>
      </c>
      <c r="C59" s="477"/>
      <c r="D59" s="479"/>
      <c r="E59" s="477"/>
      <c r="F59" s="478"/>
      <c r="G59" s="477"/>
      <c r="H59" s="477"/>
      <c r="I59" s="477"/>
      <c r="J59" s="456"/>
    </row>
    <row r="60" spans="1:12" s="457" customFormat="1" ht="19.95" customHeight="1">
      <c r="A60" s="477"/>
      <c r="B60" s="477" t="s">
        <v>453</v>
      </c>
      <c r="C60" s="477"/>
      <c r="D60" s="479"/>
      <c r="E60" s="477"/>
      <c r="F60" s="478"/>
      <c r="G60" s="477"/>
      <c r="H60" s="477"/>
      <c r="I60" s="477"/>
      <c r="J60" s="456"/>
    </row>
    <row r="61" spans="1:12" s="457" customFormat="1" ht="19.95" customHeight="1">
      <c r="A61" s="477"/>
      <c r="B61" s="477" t="s">
        <v>454</v>
      </c>
      <c r="C61" s="477"/>
      <c r="D61" s="479"/>
      <c r="E61" s="477"/>
      <c r="F61" s="478"/>
      <c r="G61" s="477"/>
      <c r="H61" s="477"/>
      <c r="I61" s="477"/>
      <c r="J61" s="456"/>
    </row>
    <row r="62" spans="1:12" s="457" customFormat="1" ht="19.95" customHeight="1">
      <c r="A62" s="477"/>
      <c r="B62" s="477" t="s">
        <v>556</v>
      </c>
      <c r="C62" s="477">
        <v>8</v>
      </c>
      <c r="D62" s="479" t="s">
        <v>105</v>
      </c>
      <c r="E62" s="477">
        <v>1500</v>
      </c>
      <c r="F62" s="478">
        <f t="shared" si="19"/>
        <v>12000</v>
      </c>
      <c r="G62" s="477">
        <v>0</v>
      </c>
      <c r="H62" s="477">
        <f t="shared" ref="H62:H70" si="24">ROUND(C62*G62,0)</f>
        <v>0</v>
      </c>
      <c r="I62" s="477">
        <f t="shared" ref="I62:I70" si="25">F62+H62</f>
        <v>12000</v>
      </c>
      <c r="J62" s="691">
        <f>SUM(I62)</f>
        <v>12000</v>
      </c>
    </row>
    <row r="63" spans="1:12" s="457" customFormat="1" ht="19.95" customHeight="1">
      <c r="A63" s="477"/>
      <c r="B63" s="477" t="s">
        <v>555</v>
      </c>
      <c r="C63" s="477"/>
      <c r="D63" s="479"/>
      <c r="E63" s="477"/>
      <c r="F63" s="478"/>
      <c r="G63" s="477"/>
      <c r="H63" s="477"/>
      <c r="I63" s="477"/>
      <c r="J63" s="456"/>
    </row>
    <row r="64" spans="1:12" s="457" customFormat="1" ht="19.95" customHeight="1">
      <c r="A64" s="477"/>
      <c r="B64" s="477" t="s">
        <v>593</v>
      </c>
      <c r="C64" s="477">
        <v>4</v>
      </c>
      <c r="D64" s="479" t="s">
        <v>105</v>
      </c>
      <c r="E64" s="477">
        <v>1500</v>
      </c>
      <c r="F64" s="478">
        <f t="shared" ref="F64" si="26">C64*E64</f>
        <v>6000</v>
      </c>
      <c r="G64" s="477">
        <v>0</v>
      </c>
      <c r="H64" s="477">
        <f t="shared" ref="H64" si="27">ROUND(C64*G64,0)</f>
        <v>0</v>
      </c>
      <c r="I64" s="477">
        <f t="shared" ref="I64" si="28">F64+H64</f>
        <v>6000</v>
      </c>
      <c r="J64" s="691">
        <f>SUM(I64)</f>
        <v>6000</v>
      </c>
    </row>
    <row r="65" spans="1:12" s="457" customFormat="1" ht="19.95" customHeight="1">
      <c r="A65" s="477"/>
      <c r="B65" s="477" t="s">
        <v>560</v>
      </c>
      <c r="C65" s="477"/>
      <c r="D65" s="479"/>
      <c r="E65" s="477"/>
      <c r="F65" s="478"/>
      <c r="G65" s="477"/>
      <c r="H65" s="477"/>
      <c r="I65" s="477"/>
      <c r="J65" s="456"/>
    </row>
    <row r="66" spans="1:12" s="457" customFormat="1" ht="19.95" customHeight="1">
      <c r="A66" s="477"/>
      <c r="B66" s="477" t="s">
        <v>594</v>
      </c>
      <c r="C66" s="477">
        <v>8</v>
      </c>
      <c r="D66" s="479" t="s">
        <v>105</v>
      </c>
      <c r="E66" s="477">
        <v>900</v>
      </c>
      <c r="F66" s="478">
        <f t="shared" si="19"/>
        <v>7200</v>
      </c>
      <c r="G66" s="477">
        <v>0</v>
      </c>
      <c r="H66" s="477">
        <f t="shared" si="24"/>
        <v>0</v>
      </c>
      <c r="I66" s="477">
        <f t="shared" si="25"/>
        <v>7200</v>
      </c>
      <c r="J66" s="691">
        <f>SUM(I66)</f>
        <v>7200</v>
      </c>
    </row>
    <row r="67" spans="1:12" s="457" customFormat="1" ht="19.95" customHeight="1">
      <c r="A67" s="477"/>
      <c r="B67" s="477" t="s">
        <v>560</v>
      </c>
      <c r="C67" s="477"/>
      <c r="D67" s="479"/>
      <c r="E67" s="477"/>
      <c r="F67" s="478"/>
      <c r="G67" s="477"/>
      <c r="H67" s="477"/>
      <c r="I67" s="477"/>
      <c r="J67" s="456"/>
    </row>
    <row r="68" spans="1:12" s="457" customFormat="1" ht="19.95" customHeight="1">
      <c r="A68" s="477"/>
      <c r="B68" s="477" t="s">
        <v>595</v>
      </c>
      <c r="C68" s="477">
        <v>12</v>
      </c>
      <c r="D68" s="479" t="s">
        <v>105</v>
      </c>
      <c r="E68" s="477">
        <v>600</v>
      </c>
      <c r="F68" s="478">
        <f t="shared" ref="F68" si="29">C68*E68</f>
        <v>7200</v>
      </c>
      <c r="G68" s="477">
        <v>0</v>
      </c>
      <c r="H68" s="477">
        <f t="shared" ref="H68" si="30">ROUND(C68*G68,0)</f>
        <v>0</v>
      </c>
      <c r="I68" s="477">
        <f t="shared" ref="I68" si="31">F68+H68</f>
        <v>7200</v>
      </c>
      <c r="J68" s="691">
        <f>SUM(I68)</f>
        <v>7200</v>
      </c>
    </row>
    <row r="69" spans="1:12" s="457" customFormat="1" ht="19.95" customHeight="1">
      <c r="A69" s="477"/>
      <c r="B69" s="477" t="s">
        <v>559</v>
      </c>
      <c r="C69" s="477"/>
      <c r="D69" s="479"/>
      <c r="E69" s="477"/>
      <c r="F69" s="478"/>
      <c r="G69" s="477"/>
      <c r="H69" s="477"/>
      <c r="I69" s="477"/>
      <c r="J69" s="456"/>
    </row>
    <row r="70" spans="1:12" s="457" customFormat="1" ht="19.95" customHeight="1">
      <c r="A70" s="477"/>
      <c r="B70" s="477" t="s">
        <v>650</v>
      </c>
      <c r="C70" s="477">
        <v>20</v>
      </c>
      <c r="D70" s="479" t="s">
        <v>105</v>
      </c>
      <c r="E70" s="477">
        <v>600</v>
      </c>
      <c r="F70" s="478">
        <f t="shared" si="19"/>
        <v>12000</v>
      </c>
      <c r="G70" s="477">
        <v>0</v>
      </c>
      <c r="H70" s="477">
        <f t="shared" si="24"/>
        <v>0</v>
      </c>
      <c r="I70" s="477">
        <f t="shared" si="25"/>
        <v>12000</v>
      </c>
      <c r="J70" s="691">
        <f>SUM(I70)</f>
        <v>12000</v>
      </c>
    </row>
    <row r="71" spans="1:12" s="457" customFormat="1" ht="19.95" customHeight="1">
      <c r="A71" s="477"/>
      <c r="B71" s="477" t="s">
        <v>555</v>
      </c>
      <c r="C71" s="477"/>
      <c r="D71" s="479"/>
      <c r="E71" s="477"/>
      <c r="F71" s="478"/>
      <c r="G71" s="477"/>
      <c r="H71" s="477"/>
      <c r="I71" s="477"/>
      <c r="J71" s="456"/>
    </row>
    <row r="72" spans="1:12" s="457" customFormat="1" ht="19.95" customHeight="1">
      <c r="A72" s="477"/>
      <c r="B72" s="477" t="s">
        <v>557</v>
      </c>
      <c r="C72" s="477">
        <v>8</v>
      </c>
      <c r="D72" s="479" t="s">
        <v>105</v>
      </c>
      <c r="E72" s="477">
        <v>650</v>
      </c>
      <c r="F72" s="478">
        <f t="shared" ref="F72" si="32">C72*E72</f>
        <v>5200</v>
      </c>
      <c r="G72" s="477">
        <v>0</v>
      </c>
      <c r="H72" s="477">
        <f t="shared" ref="H72" si="33">ROUND(C72*G72,0)</f>
        <v>0</v>
      </c>
      <c r="I72" s="477">
        <f t="shared" ref="I72" si="34">F72+H72</f>
        <v>5200</v>
      </c>
      <c r="J72" s="691">
        <f>SUM(I72)</f>
        <v>5200</v>
      </c>
    </row>
    <row r="73" spans="1:12" s="457" customFormat="1" ht="19.95" customHeight="1">
      <c r="A73" s="477"/>
      <c r="B73" s="477" t="s">
        <v>555</v>
      </c>
      <c r="C73" s="477"/>
      <c r="D73" s="479"/>
      <c r="E73" s="477"/>
      <c r="F73" s="478"/>
      <c r="G73" s="477"/>
      <c r="H73" s="477"/>
      <c r="I73" s="477"/>
      <c r="J73" s="456"/>
    </row>
    <row r="74" spans="1:12" s="457" customFormat="1" ht="19.95" customHeight="1">
      <c r="A74" s="477"/>
      <c r="B74" s="477" t="s">
        <v>480</v>
      </c>
      <c r="C74" s="477">
        <v>4</v>
      </c>
      <c r="D74" s="479" t="s">
        <v>105</v>
      </c>
      <c r="E74" s="477">
        <v>210</v>
      </c>
      <c r="F74" s="478">
        <f t="shared" ref="F74" si="35">C74*E74</f>
        <v>840</v>
      </c>
      <c r="G74" s="477">
        <v>70</v>
      </c>
      <c r="H74" s="477">
        <f t="shared" ref="H74:H75" si="36">ROUND(C74*G74,0)</f>
        <v>280</v>
      </c>
      <c r="I74" s="477">
        <f t="shared" ref="I74:I75" si="37">F74+H74</f>
        <v>1120</v>
      </c>
      <c r="J74" s="691">
        <f>SUM(I74)</f>
        <v>1120</v>
      </c>
    </row>
    <row r="75" spans="1:12" s="457" customFormat="1" ht="19.95" customHeight="1">
      <c r="A75" s="477"/>
      <c r="B75" s="477" t="s">
        <v>563</v>
      </c>
      <c r="C75" s="477">
        <v>8</v>
      </c>
      <c r="D75" s="479" t="s">
        <v>295</v>
      </c>
      <c r="E75" s="477">
        <v>4050</v>
      </c>
      <c r="F75" s="478">
        <f t="shared" si="19"/>
        <v>32400</v>
      </c>
      <c r="G75" s="477">
        <v>0</v>
      </c>
      <c r="H75" s="477">
        <f t="shared" si="36"/>
        <v>0</v>
      </c>
      <c r="I75" s="477">
        <f t="shared" si="37"/>
        <v>32400</v>
      </c>
      <c r="J75" s="691">
        <f>SUM(I75)</f>
        <v>32400</v>
      </c>
      <c r="K75" s="703"/>
    </row>
    <row r="76" spans="1:12" s="457" customFormat="1" ht="19.95" customHeight="1">
      <c r="A76" s="477"/>
      <c r="B76" s="477" t="s">
        <v>453</v>
      </c>
      <c r="C76" s="477"/>
      <c r="D76" s="479"/>
      <c r="E76" s="477"/>
      <c r="F76" s="478"/>
      <c r="G76" s="477"/>
      <c r="H76" s="477"/>
      <c r="I76" s="477"/>
      <c r="J76" s="456"/>
    </row>
    <row r="77" spans="1:12" s="457" customFormat="1" ht="19.95" customHeight="1">
      <c r="A77" s="477"/>
      <c r="B77" s="477" t="s">
        <v>454</v>
      </c>
      <c r="C77" s="477"/>
      <c r="D77" s="479"/>
      <c r="E77" s="477"/>
      <c r="F77" s="478"/>
      <c r="G77" s="477"/>
      <c r="H77" s="477"/>
      <c r="I77" s="477"/>
      <c r="J77" s="456"/>
    </row>
    <row r="78" spans="1:12" s="695" customFormat="1" ht="19.95" customHeight="1">
      <c r="A78" s="694"/>
      <c r="B78" s="686" t="s">
        <v>568</v>
      </c>
      <c r="C78" s="477"/>
      <c r="D78" s="479"/>
      <c r="E78" s="477"/>
      <c r="F78" s="478"/>
      <c r="G78" s="477"/>
      <c r="H78" s="477"/>
      <c r="I78" s="477"/>
    </row>
    <row r="79" spans="1:12" s="711" customFormat="1" ht="19.05" customHeight="1">
      <c r="A79" s="706"/>
      <c r="B79" s="706" t="s">
        <v>564</v>
      </c>
      <c r="C79" s="706">
        <v>24</v>
      </c>
      <c r="D79" s="708" t="s">
        <v>25</v>
      </c>
      <c r="E79" s="706">
        <v>864</v>
      </c>
      <c r="F79" s="706">
        <f t="shared" ref="F79" si="38">ROUND(C79*E79,0)</f>
        <v>20736</v>
      </c>
      <c r="G79" s="706">
        <v>115</v>
      </c>
      <c r="H79" s="706">
        <f t="shared" ref="H79" si="39">ROUND(C79*G79,0)</f>
        <v>2760</v>
      </c>
      <c r="I79" s="706">
        <f t="shared" si="21"/>
        <v>23496</v>
      </c>
      <c r="J79" s="710"/>
      <c r="L79" s="705">
        <f>SUM(I79)</f>
        <v>23496</v>
      </c>
    </row>
    <row r="80" spans="1:12" s="711" customFormat="1" ht="19.05" customHeight="1">
      <c r="A80" s="706"/>
      <c r="B80" s="706" t="s">
        <v>565</v>
      </c>
      <c r="C80" s="706"/>
      <c r="D80" s="708"/>
      <c r="E80" s="706"/>
      <c r="F80" s="706"/>
      <c r="G80" s="706"/>
      <c r="H80" s="706"/>
      <c r="I80" s="706"/>
      <c r="J80" s="710"/>
    </row>
    <row r="81" spans="1:13" s="711" customFormat="1" ht="19.05" customHeight="1">
      <c r="A81" s="712"/>
      <c r="B81" s="712" t="s">
        <v>566</v>
      </c>
      <c r="C81" s="712">
        <v>8</v>
      </c>
      <c r="D81" s="713" t="s">
        <v>25</v>
      </c>
      <c r="E81" s="712">
        <v>160</v>
      </c>
      <c r="F81" s="712">
        <f t="shared" si="7"/>
        <v>1280</v>
      </c>
      <c r="G81" s="712">
        <v>90</v>
      </c>
      <c r="H81" s="712">
        <f t="shared" si="8"/>
        <v>720</v>
      </c>
      <c r="I81" s="712">
        <f t="shared" si="9"/>
        <v>2000</v>
      </c>
      <c r="J81" s="710"/>
      <c r="L81" s="705">
        <f>SUM(I81)</f>
        <v>2000</v>
      </c>
    </row>
    <row r="82" spans="1:13" s="711" customFormat="1" ht="19.05" customHeight="1">
      <c r="A82" s="706"/>
      <c r="B82" s="706" t="s">
        <v>440</v>
      </c>
      <c r="C82" s="706"/>
      <c r="D82" s="708"/>
      <c r="E82" s="706"/>
      <c r="F82" s="706"/>
      <c r="G82" s="706"/>
      <c r="H82" s="706"/>
      <c r="I82" s="706"/>
      <c r="J82" s="710"/>
    </row>
    <row r="83" spans="1:13" s="457" customFormat="1" ht="19.05" customHeight="1">
      <c r="A83" s="477"/>
      <c r="B83" s="477" t="s">
        <v>584</v>
      </c>
      <c r="C83" s="477">
        <v>32</v>
      </c>
      <c r="D83" s="479" t="s">
        <v>105</v>
      </c>
      <c r="E83" s="477">
        <v>218</v>
      </c>
      <c r="F83" s="477">
        <f t="shared" ref="F83" si="40">ROUND(C83*E83,0)</f>
        <v>6976</v>
      </c>
      <c r="G83" s="477">
        <v>205</v>
      </c>
      <c r="H83" s="477">
        <f t="shared" ref="H83" si="41">ROUND(C83*G83,0)</f>
        <v>6560</v>
      </c>
      <c r="I83" s="477">
        <f t="shared" ref="I83" si="42">F83+H83</f>
        <v>13536</v>
      </c>
      <c r="J83" s="693">
        <f>SUM(I83)</f>
        <v>13536</v>
      </c>
    </row>
    <row r="84" spans="1:13" s="457" customFormat="1" ht="19.05" customHeight="1">
      <c r="A84" s="477"/>
      <c r="B84" s="477" t="s">
        <v>583</v>
      </c>
      <c r="C84" s="477"/>
      <c r="D84" s="479"/>
      <c r="E84" s="477"/>
      <c r="F84" s="477"/>
      <c r="G84" s="477"/>
      <c r="H84" s="477"/>
      <c r="I84" s="477"/>
      <c r="J84" s="456"/>
    </row>
    <row r="85" spans="1:13" s="711" customFormat="1" ht="19.05" customHeight="1">
      <c r="A85" s="706"/>
      <c r="B85" s="706" t="s">
        <v>447</v>
      </c>
      <c r="C85" s="706">
        <v>4</v>
      </c>
      <c r="D85" s="708" t="s">
        <v>434</v>
      </c>
      <c r="E85" s="706">
        <v>4910</v>
      </c>
      <c r="F85" s="706">
        <f t="shared" ref="F85:F90" si="43">ROUND(C85*E85,0)</f>
        <v>19640</v>
      </c>
      <c r="G85" s="706">
        <v>450</v>
      </c>
      <c r="H85" s="706">
        <f t="shared" ref="H85:H87" si="44">ROUND(C85*G85,0)</f>
        <v>1800</v>
      </c>
      <c r="I85" s="706">
        <f t="shared" ref="I85:I87" si="45">F85+H85</f>
        <v>21440</v>
      </c>
      <c r="J85" s="710"/>
      <c r="L85" s="705">
        <f>SUM(I85)</f>
        <v>21440</v>
      </c>
    </row>
    <row r="86" spans="1:13" s="711" customFormat="1" ht="19.05" customHeight="1">
      <c r="A86" s="706"/>
      <c r="B86" s="706" t="s">
        <v>476</v>
      </c>
      <c r="C86" s="706">
        <v>6</v>
      </c>
      <c r="D86" s="708" t="s">
        <v>434</v>
      </c>
      <c r="E86" s="706">
        <v>1300</v>
      </c>
      <c r="F86" s="706">
        <f t="shared" si="43"/>
        <v>7800</v>
      </c>
      <c r="G86" s="706">
        <v>275</v>
      </c>
      <c r="H86" s="706">
        <f t="shared" si="44"/>
        <v>1650</v>
      </c>
      <c r="I86" s="706">
        <f t="shared" si="45"/>
        <v>9450</v>
      </c>
      <c r="J86" s="710"/>
      <c r="L86" s="705">
        <f>SUM(I86)</f>
        <v>9450</v>
      </c>
    </row>
    <row r="87" spans="1:13" s="711" customFormat="1" ht="19.05" customHeight="1">
      <c r="A87" s="706"/>
      <c r="B87" s="706" t="s">
        <v>571</v>
      </c>
      <c r="C87" s="706">
        <v>8</v>
      </c>
      <c r="D87" s="708" t="s">
        <v>448</v>
      </c>
      <c r="E87" s="706">
        <v>11200</v>
      </c>
      <c r="F87" s="706">
        <f t="shared" si="43"/>
        <v>89600</v>
      </c>
      <c r="G87" s="706">
        <v>800</v>
      </c>
      <c r="H87" s="706">
        <f t="shared" si="44"/>
        <v>6400</v>
      </c>
      <c r="I87" s="706">
        <f t="shared" si="45"/>
        <v>96000</v>
      </c>
      <c r="J87" s="710"/>
      <c r="L87" s="705">
        <f>SUM(I87)</f>
        <v>96000</v>
      </c>
    </row>
    <row r="88" spans="1:13" s="711" customFormat="1" ht="19.05" customHeight="1">
      <c r="A88" s="706"/>
      <c r="B88" s="706" t="s">
        <v>570</v>
      </c>
      <c r="C88" s="706"/>
      <c r="D88" s="708"/>
      <c r="E88" s="706"/>
      <c r="F88" s="706"/>
      <c r="G88" s="706"/>
      <c r="H88" s="706"/>
      <c r="I88" s="706"/>
      <c r="J88" s="710"/>
    </row>
    <row r="89" spans="1:13" s="711" customFormat="1" ht="19.05" customHeight="1">
      <c r="A89" s="706"/>
      <c r="B89" s="706" t="s">
        <v>580</v>
      </c>
      <c r="C89" s="706"/>
      <c r="D89" s="708"/>
      <c r="E89" s="706"/>
      <c r="F89" s="706"/>
      <c r="G89" s="706"/>
      <c r="H89" s="706"/>
      <c r="I89" s="706"/>
      <c r="J89" s="710"/>
    </row>
    <row r="90" spans="1:13" s="719" customFormat="1" ht="19.05" customHeight="1">
      <c r="A90" s="716"/>
      <c r="B90" s="716" t="s">
        <v>573</v>
      </c>
      <c r="C90" s="716">
        <v>8</v>
      </c>
      <c r="D90" s="717" t="s">
        <v>25</v>
      </c>
      <c r="E90" s="716">
        <v>4650</v>
      </c>
      <c r="F90" s="716">
        <f t="shared" si="43"/>
        <v>37200</v>
      </c>
      <c r="G90" s="716">
        <v>450</v>
      </c>
      <c r="H90" s="716">
        <f t="shared" ref="H90" si="46">ROUND(C90*G90,0)</f>
        <v>3600</v>
      </c>
      <c r="I90" s="716">
        <f t="shared" ref="I90" si="47">F90+H90</f>
        <v>40800</v>
      </c>
      <c r="J90" s="718"/>
      <c r="M90" s="714">
        <f>SUM(I90)</f>
        <v>40800</v>
      </c>
    </row>
    <row r="91" spans="1:13" s="719" customFormat="1" ht="19.05" customHeight="1">
      <c r="A91" s="716"/>
      <c r="B91" s="716" t="s">
        <v>574</v>
      </c>
      <c r="C91" s="716"/>
      <c r="D91" s="717"/>
      <c r="E91" s="716"/>
      <c r="F91" s="716"/>
      <c r="G91" s="716"/>
      <c r="H91" s="716"/>
      <c r="I91" s="716"/>
      <c r="J91" s="718"/>
    </row>
    <row r="92" spans="1:13" s="719" customFormat="1" ht="19.05" customHeight="1">
      <c r="A92" s="716"/>
      <c r="B92" s="716" t="s">
        <v>575</v>
      </c>
      <c r="C92" s="716">
        <v>8</v>
      </c>
      <c r="D92" s="717" t="s">
        <v>441</v>
      </c>
      <c r="E92" s="716">
        <v>340</v>
      </c>
      <c r="F92" s="716">
        <f t="shared" ref="F92:F102" si="48">ROUND(C92*E92,0)</f>
        <v>2720</v>
      </c>
      <c r="G92" s="716">
        <v>35</v>
      </c>
      <c r="H92" s="716">
        <f t="shared" ref="H92:H95" si="49">ROUND(C92*G92,0)</f>
        <v>280</v>
      </c>
      <c r="I92" s="716">
        <f t="shared" ref="I92:I111" si="50">F92+H92</f>
        <v>3000</v>
      </c>
      <c r="J92" s="718"/>
      <c r="M92" s="714">
        <f>SUM(I92)</f>
        <v>3000</v>
      </c>
    </row>
    <row r="93" spans="1:13" s="719" customFormat="1" ht="19.05" customHeight="1">
      <c r="A93" s="716"/>
      <c r="B93" s="716" t="s">
        <v>576</v>
      </c>
      <c r="C93" s="716"/>
      <c r="D93" s="717"/>
      <c r="E93" s="716"/>
      <c r="F93" s="716"/>
      <c r="G93" s="716"/>
      <c r="H93" s="716"/>
      <c r="I93" s="716"/>
      <c r="J93" s="718"/>
    </row>
    <row r="94" spans="1:13" s="719" customFormat="1" ht="19.05" customHeight="1">
      <c r="A94" s="716"/>
      <c r="B94" s="716" t="s">
        <v>442</v>
      </c>
      <c r="C94" s="716">
        <v>8</v>
      </c>
      <c r="D94" s="717" t="s">
        <v>25</v>
      </c>
      <c r="E94" s="716">
        <v>670</v>
      </c>
      <c r="F94" s="716">
        <f t="shared" si="48"/>
        <v>5360</v>
      </c>
      <c r="G94" s="716">
        <v>70</v>
      </c>
      <c r="H94" s="716">
        <f t="shared" si="49"/>
        <v>560</v>
      </c>
      <c r="I94" s="716">
        <f t="shared" si="50"/>
        <v>5920</v>
      </c>
      <c r="J94" s="718"/>
      <c r="M94" s="714">
        <f>SUM(I94)</f>
        <v>5920</v>
      </c>
    </row>
    <row r="95" spans="1:13" s="719" customFormat="1" ht="19.05" customHeight="1">
      <c r="A95" s="716"/>
      <c r="B95" s="716" t="s">
        <v>449</v>
      </c>
      <c r="C95" s="716">
        <v>4</v>
      </c>
      <c r="D95" s="717" t="s">
        <v>25</v>
      </c>
      <c r="E95" s="716">
        <v>25980</v>
      </c>
      <c r="F95" s="716">
        <f t="shared" si="48"/>
        <v>103920</v>
      </c>
      <c r="G95" s="716">
        <v>450</v>
      </c>
      <c r="H95" s="716">
        <f t="shared" si="49"/>
        <v>1800</v>
      </c>
      <c r="I95" s="716">
        <f t="shared" si="50"/>
        <v>105720</v>
      </c>
      <c r="J95" s="718"/>
      <c r="M95" s="714">
        <f>SUM(I95)</f>
        <v>105720</v>
      </c>
    </row>
    <row r="96" spans="1:13" s="719" customFormat="1" ht="19.05" customHeight="1">
      <c r="A96" s="716"/>
      <c r="B96" s="716" t="s">
        <v>450</v>
      </c>
      <c r="C96" s="716"/>
      <c r="D96" s="717"/>
      <c r="E96" s="716"/>
      <c r="F96" s="716"/>
      <c r="G96" s="716"/>
      <c r="H96" s="716"/>
      <c r="I96" s="716"/>
      <c r="J96" s="718"/>
    </row>
    <row r="97" spans="1:13" s="719" customFormat="1" ht="19.05" customHeight="1">
      <c r="A97" s="716"/>
      <c r="B97" s="716" t="s">
        <v>578</v>
      </c>
      <c r="C97" s="716">
        <v>6</v>
      </c>
      <c r="D97" s="717" t="s">
        <v>25</v>
      </c>
      <c r="E97" s="716">
        <v>6890</v>
      </c>
      <c r="F97" s="716">
        <f t="shared" si="48"/>
        <v>41340</v>
      </c>
      <c r="G97" s="716">
        <v>450</v>
      </c>
      <c r="H97" s="716">
        <f t="shared" ref="H97:H102" si="51">ROUND(C97*G97,0)</f>
        <v>2700</v>
      </c>
      <c r="I97" s="716">
        <f t="shared" ref="I97:I102" si="52">F97+H97</f>
        <v>44040</v>
      </c>
      <c r="J97" s="718"/>
      <c r="M97" s="714">
        <f>SUM(I97)</f>
        <v>44040</v>
      </c>
    </row>
    <row r="98" spans="1:13" s="719" customFormat="1" ht="19.05" customHeight="1">
      <c r="A98" s="716"/>
      <c r="B98" s="716" t="s">
        <v>581</v>
      </c>
      <c r="C98" s="716"/>
      <c r="D98" s="717"/>
      <c r="E98" s="716"/>
      <c r="F98" s="716"/>
      <c r="G98" s="716"/>
      <c r="H98" s="716"/>
      <c r="I98" s="716"/>
      <c r="J98" s="718"/>
    </row>
    <row r="99" spans="1:13" s="719" customFormat="1" ht="19.05" customHeight="1">
      <c r="A99" s="716"/>
      <c r="B99" s="716" t="s">
        <v>579</v>
      </c>
      <c r="C99" s="716">
        <v>2</v>
      </c>
      <c r="D99" s="717" t="s">
        <v>25</v>
      </c>
      <c r="E99" s="716">
        <v>3150</v>
      </c>
      <c r="F99" s="716">
        <f t="shared" ref="F99" si="53">ROUND(C99*E99,0)</f>
        <v>6300</v>
      </c>
      <c r="G99" s="716">
        <v>450</v>
      </c>
      <c r="H99" s="716">
        <f t="shared" ref="H99" si="54">ROUND(C99*G99,0)</f>
        <v>900</v>
      </c>
      <c r="I99" s="716">
        <f t="shared" ref="I99" si="55">F99+H99</f>
        <v>7200</v>
      </c>
      <c r="J99" s="718"/>
      <c r="M99" s="714">
        <f>SUM(I99)</f>
        <v>7200</v>
      </c>
    </row>
    <row r="100" spans="1:13" s="719" customFormat="1" ht="19.05" customHeight="1">
      <c r="A100" s="720"/>
      <c r="B100" s="716" t="s">
        <v>581</v>
      </c>
      <c r="C100" s="720"/>
      <c r="D100" s="717"/>
      <c r="E100" s="720"/>
      <c r="F100" s="716"/>
      <c r="G100" s="720"/>
      <c r="H100" s="716"/>
      <c r="I100" s="716"/>
      <c r="J100" s="718"/>
    </row>
    <row r="101" spans="1:13" s="719" customFormat="1" ht="19.05" customHeight="1">
      <c r="A101" s="720"/>
      <c r="B101" s="720" t="s">
        <v>452</v>
      </c>
      <c r="C101" s="720">
        <v>8</v>
      </c>
      <c r="D101" s="717" t="s">
        <v>25</v>
      </c>
      <c r="E101" s="720">
        <v>6150</v>
      </c>
      <c r="F101" s="716">
        <f t="shared" si="48"/>
        <v>49200</v>
      </c>
      <c r="G101" s="720">
        <v>70</v>
      </c>
      <c r="H101" s="716">
        <f t="shared" ref="H101" si="56">ROUND(C101*G101,0)</f>
        <v>560</v>
      </c>
      <c r="I101" s="716">
        <f t="shared" ref="I101" si="57">F101+H101</f>
        <v>49760</v>
      </c>
      <c r="J101" s="718"/>
      <c r="M101" s="714">
        <f>SUM(I101)</f>
        <v>49760</v>
      </c>
    </row>
    <row r="102" spans="1:13" s="719" customFormat="1" ht="19.05" customHeight="1">
      <c r="A102" s="720"/>
      <c r="B102" s="720" t="s">
        <v>585</v>
      </c>
      <c r="C102" s="720">
        <v>8</v>
      </c>
      <c r="D102" s="717" t="s">
        <v>25</v>
      </c>
      <c r="E102" s="720">
        <v>2300</v>
      </c>
      <c r="F102" s="716">
        <f t="shared" si="48"/>
        <v>18400</v>
      </c>
      <c r="G102" s="720">
        <v>70</v>
      </c>
      <c r="H102" s="716">
        <f t="shared" si="51"/>
        <v>560</v>
      </c>
      <c r="I102" s="716">
        <f t="shared" si="52"/>
        <v>18960</v>
      </c>
      <c r="J102" s="718"/>
      <c r="M102" s="714">
        <f>SUM(I102)</f>
        <v>18960</v>
      </c>
    </row>
    <row r="103" spans="1:13" s="719" customFormat="1" ht="19.05" customHeight="1">
      <c r="A103" s="720"/>
      <c r="B103" s="720" t="s">
        <v>586</v>
      </c>
      <c r="C103" s="720"/>
      <c r="D103" s="717"/>
      <c r="E103" s="720"/>
      <c r="F103" s="716"/>
      <c r="G103" s="720"/>
      <c r="H103" s="716"/>
      <c r="I103" s="716"/>
      <c r="J103" s="718"/>
    </row>
    <row r="104" spans="1:13" s="719" customFormat="1" ht="19.05" customHeight="1">
      <c r="A104" s="720"/>
      <c r="B104" s="720" t="s">
        <v>585</v>
      </c>
      <c r="C104" s="720">
        <v>8</v>
      </c>
      <c r="D104" s="717" t="s">
        <v>25</v>
      </c>
      <c r="E104" s="720">
        <v>1760</v>
      </c>
      <c r="F104" s="716">
        <f t="shared" ref="F104:F111" si="58">ROUND(C104*E104,0)</f>
        <v>14080</v>
      </c>
      <c r="G104" s="720">
        <v>70</v>
      </c>
      <c r="H104" s="716">
        <f t="shared" ref="H104:H111" si="59">ROUND(C104*G104,0)</f>
        <v>560</v>
      </c>
      <c r="I104" s="716">
        <f t="shared" ref="I104" si="60">F104+H104</f>
        <v>14640</v>
      </c>
      <c r="J104" s="718"/>
      <c r="M104" s="714">
        <f>SUM(I104)</f>
        <v>14640</v>
      </c>
    </row>
    <row r="105" spans="1:13" s="719" customFormat="1" ht="19.05" customHeight="1">
      <c r="A105" s="720"/>
      <c r="B105" s="720" t="s">
        <v>587</v>
      </c>
      <c r="C105" s="720"/>
      <c r="D105" s="717"/>
      <c r="E105" s="720"/>
      <c r="F105" s="716"/>
      <c r="G105" s="720"/>
      <c r="H105" s="716"/>
      <c r="I105" s="716"/>
      <c r="J105" s="718"/>
    </row>
    <row r="106" spans="1:13" s="719" customFormat="1" ht="19.05" customHeight="1">
      <c r="A106" s="720"/>
      <c r="B106" s="720" t="s">
        <v>451</v>
      </c>
      <c r="C106" s="720">
        <v>4</v>
      </c>
      <c r="D106" s="717" t="s">
        <v>25</v>
      </c>
      <c r="E106" s="720">
        <v>577</v>
      </c>
      <c r="F106" s="716">
        <f t="shared" si="58"/>
        <v>2308</v>
      </c>
      <c r="G106" s="720">
        <v>70</v>
      </c>
      <c r="H106" s="716">
        <f t="shared" ref="H106:H108" si="61">ROUND(C106*G106,0)</f>
        <v>280</v>
      </c>
      <c r="I106" s="716">
        <f t="shared" ref="I106:I108" si="62">F106+H106</f>
        <v>2588</v>
      </c>
      <c r="J106" s="718"/>
      <c r="M106" s="714">
        <f>SUM(I106)</f>
        <v>2588</v>
      </c>
    </row>
    <row r="107" spans="1:13" s="719" customFormat="1" ht="19.05" customHeight="1">
      <c r="A107" s="720"/>
      <c r="B107" s="720" t="s">
        <v>654</v>
      </c>
      <c r="C107" s="720">
        <v>6</v>
      </c>
      <c r="D107" s="717" t="s">
        <v>477</v>
      </c>
      <c r="E107" s="720">
        <v>1800</v>
      </c>
      <c r="F107" s="716">
        <f t="shared" si="58"/>
        <v>10800</v>
      </c>
      <c r="G107" s="720">
        <v>55</v>
      </c>
      <c r="H107" s="716">
        <f t="shared" si="61"/>
        <v>330</v>
      </c>
      <c r="I107" s="716">
        <f t="shared" si="62"/>
        <v>11130</v>
      </c>
      <c r="J107" s="718"/>
      <c r="M107" s="714">
        <f>SUM(I107)</f>
        <v>11130</v>
      </c>
    </row>
    <row r="108" spans="1:13" s="719" customFormat="1" ht="19.05" customHeight="1">
      <c r="A108" s="720"/>
      <c r="B108" s="720" t="s">
        <v>478</v>
      </c>
      <c r="C108" s="720">
        <v>8</v>
      </c>
      <c r="D108" s="717" t="s">
        <v>441</v>
      </c>
      <c r="E108" s="720">
        <v>1200</v>
      </c>
      <c r="F108" s="716">
        <f t="shared" si="58"/>
        <v>9600</v>
      </c>
      <c r="G108" s="720">
        <v>0</v>
      </c>
      <c r="H108" s="716">
        <f t="shared" si="61"/>
        <v>0</v>
      </c>
      <c r="I108" s="716">
        <f t="shared" si="62"/>
        <v>9600</v>
      </c>
      <c r="J108" s="718"/>
      <c r="M108" s="714">
        <f>SUM(I108)</f>
        <v>9600</v>
      </c>
    </row>
    <row r="109" spans="1:13" s="719" customFormat="1" ht="19.05" customHeight="1">
      <c r="A109" s="716"/>
      <c r="B109" s="716" t="s">
        <v>444</v>
      </c>
      <c r="C109" s="716">
        <v>12</v>
      </c>
      <c r="D109" s="717" t="s">
        <v>25</v>
      </c>
      <c r="E109" s="716">
        <v>399</v>
      </c>
      <c r="F109" s="716">
        <f t="shared" si="58"/>
        <v>4788</v>
      </c>
      <c r="G109" s="716">
        <v>75</v>
      </c>
      <c r="H109" s="716">
        <f t="shared" si="59"/>
        <v>900</v>
      </c>
      <c r="I109" s="716">
        <f t="shared" si="50"/>
        <v>5688</v>
      </c>
      <c r="J109" s="718"/>
      <c r="M109" s="714">
        <f>SUM(I109)</f>
        <v>5688</v>
      </c>
    </row>
    <row r="110" spans="1:13" s="719" customFormat="1" ht="19.05" customHeight="1">
      <c r="A110" s="720"/>
      <c r="B110" s="716" t="s">
        <v>481</v>
      </c>
      <c r="C110" s="720">
        <v>4</v>
      </c>
      <c r="D110" s="717" t="s">
        <v>105</v>
      </c>
      <c r="E110" s="720">
        <v>250</v>
      </c>
      <c r="F110" s="716">
        <f t="shared" si="58"/>
        <v>1000</v>
      </c>
      <c r="G110" s="716">
        <v>70</v>
      </c>
      <c r="H110" s="716">
        <f t="shared" si="59"/>
        <v>280</v>
      </c>
      <c r="I110" s="716">
        <f t="shared" si="50"/>
        <v>1280</v>
      </c>
      <c r="J110" s="718"/>
      <c r="M110" s="714">
        <f>SUM(I110)</f>
        <v>1280</v>
      </c>
    </row>
    <row r="111" spans="1:13" s="457" customFormat="1" ht="19.05" customHeight="1">
      <c r="A111" s="477"/>
      <c r="B111" s="477" t="s">
        <v>582</v>
      </c>
      <c r="C111" s="477">
        <v>12</v>
      </c>
      <c r="D111" s="479" t="s">
        <v>105</v>
      </c>
      <c r="E111" s="477">
        <v>218</v>
      </c>
      <c r="F111" s="477">
        <f t="shared" si="58"/>
        <v>2616</v>
      </c>
      <c r="G111" s="477">
        <v>205</v>
      </c>
      <c r="H111" s="477">
        <f t="shared" si="59"/>
        <v>2460</v>
      </c>
      <c r="I111" s="477">
        <f t="shared" si="50"/>
        <v>5076</v>
      </c>
      <c r="J111" s="693">
        <f>SUM(I111)</f>
        <v>5076</v>
      </c>
    </row>
    <row r="112" spans="1:13" s="457" customFormat="1" ht="19.05" customHeight="1">
      <c r="A112" s="477"/>
      <c r="B112" s="477" t="s">
        <v>583</v>
      </c>
      <c r="C112" s="477"/>
      <c r="D112" s="479"/>
      <c r="E112" s="477"/>
      <c r="F112" s="477"/>
      <c r="G112" s="477"/>
      <c r="H112" s="477"/>
      <c r="I112" s="477"/>
      <c r="J112" s="456"/>
    </row>
    <row r="113" spans="1:24" ht="19.05" customHeight="1">
      <c r="A113" s="447"/>
      <c r="B113" s="773" t="s">
        <v>479</v>
      </c>
      <c r="C113" s="774"/>
      <c r="D113" s="774"/>
      <c r="E113" s="774"/>
      <c r="F113" s="774"/>
      <c r="G113" s="774"/>
      <c r="H113" s="775"/>
      <c r="I113" s="447">
        <f>SUM(I30:I112)</f>
        <v>958885</v>
      </c>
      <c r="J113" s="691">
        <f>SUM(J9:J111)</f>
        <v>240208</v>
      </c>
      <c r="K113" s="703">
        <f>SUM(K9:K111)</f>
        <v>263108</v>
      </c>
      <c r="L113" s="705">
        <f>SUM(L9:L111)</f>
        <v>175813</v>
      </c>
      <c r="M113" s="714">
        <f>SUM(M9:M111)</f>
        <v>320326</v>
      </c>
      <c r="N113" s="721">
        <f>SUM(J113:M113)</f>
        <v>999455</v>
      </c>
      <c r="O113" s="401"/>
      <c r="P113" s="401"/>
      <c r="Q113" s="401"/>
      <c r="R113" s="401"/>
      <c r="S113" s="401"/>
      <c r="T113" s="401"/>
      <c r="U113" s="401"/>
      <c r="V113" s="401"/>
      <c r="W113" s="401"/>
      <c r="X113" s="401"/>
    </row>
    <row r="114" spans="1:24" ht="19.05" customHeight="1">
      <c r="I114" s="721">
        <f>SUM(I113+I28)</f>
        <v>999455</v>
      </c>
      <c r="J114" s="696">
        <f>SUM(J113/I113)*100</f>
        <v>25.050762083044368</v>
      </c>
      <c r="K114" s="696">
        <f>SUM(K113/I113)*100</f>
        <v>27.438952533411204</v>
      </c>
      <c r="L114" s="696">
        <f>SUM(L113/I113)*100</f>
        <v>18.335149679054318</v>
      </c>
      <c r="M114" s="696">
        <f>SUM(M113/I113)*100</f>
        <v>33.406091449965324</v>
      </c>
      <c r="N114" s="401"/>
      <c r="O114" s="401"/>
      <c r="P114" s="401"/>
      <c r="Q114" s="401"/>
      <c r="R114" s="401"/>
      <c r="S114" s="401"/>
      <c r="T114" s="401"/>
      <c r="U114" s="401"/>
      <c r="V114" s="401"/>
      <c r="W114" s="401"/>
      <c r="X114" s="401"/>
    </row>
    <row r="115" spans="1:24" ht="19.05" customHeight="1">
      <c r="J115" s="400">
        <v>20</v>
      </c>
      <c r="K115" s="401">
        <v>20</v>
      </c>
      <c r="L115" s="401">
        <v>20</v>
      </c>
      <c r="M115" s="401">
        <v>40</v>
      </c>
      <c r="N115" s="401">
        <f>SUM(J115:M115)</f>
        <v>100</v>
      </c>
      <c r="O115" s="401"/>
      <c r="P115" s="401"/>
      <c r="Q115" s="401"/>
      <c r="R115" s="401"/>
      <c r="S115" s="401"/>
      <c r="T115" s="401"/>
      <c r="U115" s="401"/>
      <c r="V115" s="401"/>
      <c r="W115" s="401"/>
      <c r="X115" s="401"/>
    </row>
    <row r="116" spans="1:24" ht="19.05" customHeight="1">
      <c r="K116" s="401"/>
      <c r="L116" s="401"/>
      <c r="N116" s="401"/>
      <c r="O116" s="401"/>
      <c r="P116" s="401"/>
      <c r="Q116" s="401"/>
      <c r="R116" s="401"/>
      <c r="S116" s="401"/>
      <c r="T116" s="401"/>
      <c r="U116" s="401"/>
      <c r="V116" s="401"/>
      <c r="W116" s="401"/>
      <c r="X116" s="401"/>
    </row>
    <row r="117" spans="1:24" ht="19.05" customHeight="1">
      <c r="J117" s="692">
        <f>SUM(J115*I114)/100</f>
        <v>199891</v>
      </c>
      <c r="K117" s="692">
        <f>SUM(K115*I114)/100</f>
        <v>199891</v>
      </c>
      <c r="L117" s="692">
        <f>SUM(L115*I114)/100</f>
        <v>199891</v>
      </c>
      <c r="M117" s="692">
        <f>SUM(M115*I114)/100</f>
        <v>399782</v>
      </c>
      <c r="N117" s="721">
        <f>SUM(J117:M117)</f>
        <v>999455</v>
      </c>
      <c r="O117" s="401"/>
      <c r="P117" s="401"/>
      <c r="Q117" s="401"/>
      <c r="R117" s="401"/>
      <c r="S117" s="401"/>
      <c r="T117" s="401"/>
      <c r="U117" s="401"/>
      <c r="V117" s="401"/>
      <c r="W117" s="401"/>
      <c r="X117" s="401"/>
    </row>
    <row r="118" spans="1:24" ht="19.05" customHeight="1">
      <c r="K118" s="401"/>
      <c r="L118" s="401"/>
      <c r="N118" s="401"/>
      <c r="O118" s="401"/>
      <c r="P118" s="401"/>
      <c r="Q118" s="401"/>
      <c r="R118" s="401"/>
      <c r="S118" s="401"/>
      <c r="T118" s="401"/>
      <c r="U118" s="401"/>
      <c r="V118" s="401"/>
      <c r="W118" s="401"/>
      <c r="X118" s="401"/>
    </row>
    <row r="119" spans="1:24" ht="19.05" customHeight="1">
      <c r="K119" s="401"/>
      <c r="L119" s="401"/>
      <c r="N119" s="401"/>
      <c r="O119" s="401"/>
      <c r="P119" s="401"/>
      <c r="Q119" s="401"/>
      <c r="R119" s="401"/>
      <c r="S119" s="401"/>
      <c r="T119" s="401"/>
      <c r="U119" s="401"/>
      <c r="V119" s="401"/>
      <c r="W119" s="401"/>
      <c r="X119" s="401"/>
    </row>
    <row r="120" spans="1:24" ht="19.05" customHeight="1">
      <c r="K120" s="401"/>
      <c r="L120" s="401"/>
      <c r="N120" s="401"/>
      <c r="O120" s="401"/>
      <c r="P120" s="401"/>
      <c r="Q120" s="401"/>
      <c r="R120" s="401"/>
      <c r="S120" s="401"/>
      <c r="T120" s="401"/>
      <c r="U120" s="401"/>
      <c r="V120" s="401"/>
      <c r="W120" s="401"/>
      <c r="X120" s="401"/>
    </row>
    <row r="121" spans="1:24" ht="19.05" customHeight="1">
      <c r="K121" s="401"/>
      <c r="L121" s="401"/>
      <c r="N121" s="401"/>
      <c r="O121" s="401"/>
      <c r="P121" s="401"/>
      <c r="Q121" s="401"/>
      <c r="R121" s="401"/>
      <c r="S121" s="401"/>
      <c r="T121" s="401"/>
      <c r="U121" s="401"/>
      <c r="V121" s="401"/>
      <c r="W121" s="401"/>
      <c r="X121" s="401"/>
    </row>
    <row r="122" spans="1:24" ht="19.05" customHeight="1">
      <c r="K122" s="401"/>
      <c r="L122" s="401"/>
      <c r="N122" s="401"/>
      <c r="O122" s="401"/>
      <c r="P122" s="401"/>
      <c r="Q122" s="401"/>
      <c r="R122" s="401"/>
      <c r="S122" s="401"/>
      <c r="T122" s="401"/>
      <c r="U122" s="401"/>
      <c r="V122" s="401"/>
      <c r="W122" s="401"/>
      <c r="X122" s="401"/>
    </row>
    <row r="123" spans="1:24" ht="19.05" customHeight="1">
      <c r="K123" s="401"/>
      <c r="L123" s="401"/>
      <c r="N123" s="401"/>
      <c r="O123" s="401"/>
      <c r="P123" s="401"/>
      <c r="Q123" s="401"/>
      <c r="R123" s="401"/>
      <c r="S123" s="401"/>
      <c r="T123" s="401"/>
      <c r="U123" s="401"/>
      <c r="V123" s="401"/>
      <c r="W123" s="401"/>
      <c r="X123" s="401"/>
    </row>
    <row r="124" spans="1:24" ht="19.05" customHeight="1">
      <c r="K124" s="401"/>
      <c r="L124" s="401"/>
      <c r="N124" s="401"/>
      <c r="O124" s="401"/>
      <c r="P124" s="401"/>
      <c r="Q124" s="401"/>
      <c r="R124" s="401"/>
      <c r="S124" s="401"/>
      <c r="T124" s="401"/>
      <c r="U124" s="401"/>
      <c r="V124" s="401"/>
      <c r="W124" s="401"/>
      <c r="X124" s="401"/>
    </row>
    <row r="125" spans="1:24" ht="19.05" customHeight="1">
      <c r="K125" s="401"/>
      <c r="L125" s="401"/>
      <c r="N125" s="401"/>
      <c r="O125" s="401"/>
      <c r="P125" s="401"/>
      <c r="Q125" s="401"/>
      <c r="R125" s="401"/>
      <c r="S125" s="401"/>
      <c r="T125" s="401"/>
      <c r="U125" s="401"/>
      <c r="V125" s="401"/>
      <c r="W125" s="401"/>
      <c r="X125" s="401"/>
    </row>
    <row r="126" spans="1:24" ht="19.05" customHeight="1">
      <c r="K126" s="401"/>
      <c r="L126" s="401"/>
      <c r="N126" s="401"/>
      <c r="O126" s="401"/>
      <c r="P126" s="401"/>
      <c r="Q126" s="401"/>
      <c r="R126" s="401"/>
      <c r="S126" s="401"/>
      <c r="T126" s="401"/>
      <c r="U126" s="401"/>
      <c r="V126" s="401"/>
      <c r="W126" s="401"/>
      <c r="X126" s="401"/>
    </row>
    <row r="127" spans="1:24" ht="19.05" customHeight="1">
      <c r="K127" s="401"/>
      <c r="L127" s="401"/>
      <c r="N127" s="401"/>
      <c r="O127" s="401"/>
      <c r="P127" s="401"/>
      <c r="Q127" s="401"/>
      <c r="R127" s="401"/>
      <c r="S127" s="401"/>
      <c r="T127" s="401"/>
      <c r="U127" s="401"/>
      <c r="V127" s="401"/>
      <c r="W127" s="401"/>
      <c r="X127" s="401"/>
    </row>
    <row r="128" spans="1:24" ht="19.05" customHeight="1">
      <c r="K128" s="401"/>
      <c r="L128" s="401"/>
      <c r="N128" s="401"/>
      <c r="O128" s="401"/>
      <c r="P128" s="401"/>
      <c r="Q128" s="401"/>
      <c r="R128" s="401"/>
      <c r="S128" s="401"/>
      <c r="T128" s="401"/>
      <c r="U128" s="401"/>
      <c r="V128" s="401"/>
      <c r="W128" s="401"/>
      <c r="X128" s="401"/>
    </row>
    <row r="129" spans="11:24" ht="19.05" customHeight="1">
      <c r="K129" s="401"/>
      <c r="L129" s="401"/>
      <c r="N129" s="401"/>
      <c r="O129" s="401"/>
      <c r="P129" s="401"/>
      <c r="Q129" s="401"/>
      <c r="R129" s="401"/>
      <c r="S129" s="401"/>
      <c r="T129" s="401"/>
      <c r="U129" s="401"/>
      <c r="V129" s="401"/>
      <c r="W129" s="401"/>
      <c r="X129" s="401"/>
    </row>
    <row r="130" spans="11:24" ht="19.05" customHeight="1">
      <c r="K130" s="401"/>
      <c r="L130" s="401"/>
      <c r="N130" s="401"/>
      <c r="O130" s="401"/>
      <c r="P130" s="401"/>
      <c r="Q130" s="401"/>
      <c r="R130" s="401"/>
      <c r="S130" s="401"/>
      <c r="T130" s="401"/>
      <c r="U130" s="401"/>
      <c r="V130" s="401"/>
      <c r="W130" s="401"/>
      <c r="X130" s="401"/>
    </row>
    <row r="131" spans="11:24" ht="19.05" customHeight="1">
      <c r="K131" s="401"/>
      <c r="L131" s="401"/>
      <c r="N131" s="401"/>
      <c r="O131" s="401"/>
      <c r="P131" s="401"/>
      <c r="Q131" s="401"/>
      <c r="R131" s="401"/>
      <c r="S131" s="401"/>
      <c r="T131" s="401"/>
      <c r="U131" s="401"/>
      <c r="V131" s="401"/>
      <c r="W131" s="401"/>
      <c r="X131" s="401"/>
    </row>
    <row r="132" spans="11:24" ht="19.05" customHeight="1">
      <c r="K132" s="401"/>
      <c r="L132" s="401"/>
      <c r="N132" s="401"/>
      <c r="O132" s="401"/>
      <c r="P132" s="401"/>
      <c r="Q132" s="401"/>
      <c r="R132" s="401"/>
      <c r="S132" s="401"/>
      <c r="T132" s="401"/>
      <c r="U132" s="401"/>
      <c r="V132" s="401"/>
      <c r="W132" s="401"/>
      <c r="X132" s="401"/>
    </row>
    <row r="133" spans="11:24" ht="19.05" customHeight="1">
      <c r="K133" s="401"/>
      <c r="L133" s="401"/>
      <c r="N133" s="401"/>
      <c r="O133" s="401"/>
      <c r="P133" s="401"/>
      <c r="Q133" s="401"/>
      <c r="R133" s="401"/>
      <c r="S133" s="401"/>
      <c r="T133" s="401"/>
      <c r="U133" s="401"/>
      <c r="V133" s="401"/>
      <c r="W133" s="401"/>
      <c r="X133" s="401"/>
    </row>
    <row r="134" spans="11:24" ht="19.05" customHeight="1">
      <c r="K134" s="401"/>
      <c r="L134" s="401"/>
      <c r="N134" s="401"/>
      <c r="O134" s="401"/>
      <c r="P134" s="401"/>
      <c r="Q134" s="401"/>
      <c r="R134" s="401"/>
      <c r="S134" s="401"/>
      <c r="T134" s="401"/>
      <c r="U134" s="401"/>
      <c r="V134" s="401"/>
      <c r="W134" s="401"/>
      <c r="X134" s="401"/>
    </row>
    <row r="135" spans="11:24" ht="19.05" customHeight="1">
      <c r="K135" s="401"/>
      <c r="L135" s="401"/>
      <c r="N135" s="401"/>
      <c r="O135" s="401"/>
      <c r="P135" s="401"/>
      <c r="Q135" s="401"/>
      <c r="R135" s="401"/>
      <c r="S135" s="401"/>
      <c r="T135" s="401"/>
      <c r="U135" s="401"/>
      <c r="V135" s="401"/>
      <c r="W135" s="401"/>
      <c r="X135" s="401"/>
    </row>
    <row r="136" spans="11:24" ht="19.05" customHeight="1">
      <c r="K136" s="401"/>
      <c r="L136" s="401"/>
      <c r="N136" s="401"/>
      <c r="O136" s="401"/>
      <c r="P136" s="401"/>
      <c r="Q136" s="401"/>
      <c r="R136" s="401"/>
      <c r="S136" s="401"/>
      <c r="T136" s="401"/>
      <c r="U136" s="401"/>
      <c r="V136" s="401"/>
      <c r="W136" s="401"/>
      <c r="X136" s="401"/>
    </row>
    <row r="137" spans="11:24" ht="19.05" customHeight="1">
      <c r="K137" s="401"/>
      <c r="L137" s="401"/>
      <c r="N137" s="401"/>
      <c r="O137" s="401"/>
      <c r="P137" s="401"/>
      <c r="Q137" s="401"/>
      <c r="R137" s="401"/>
      <c r="S137" s="401"/>
      <c r="T137" s="401"/>
      <c r="U137" s="401"/>
      <c r="V137" s="401"/>
      <c r="W137" s="401"/>
      <c r="X137" s="401"/>
    </row>
    <row r="138" spans="11:24" ht="19.05" customHeight="1">
      <c r="K138" s="401"/>
      <c r="L138" s="401"/>
      <c r="N138" s="401"/>
      <c r="O138" s="401"/>
      <c r="P138" s="401"/>
      <c r="Q138" s="401"/>
      <c r="R138" s="401"/>
      <c r="S138" s="401"/>
      <c r="T138" s="401"/>
      <c r="U138" s="401"/>
      <c r="V138" s="401"/>
      <c r="W138" s="401"/>
      <c r="X138" s="401"/>
    </row>
    <row r="139" spans="11:24" ht="19.05" customHeight="1">
      <c r="K139" s="401"/>
      <c r="L139" s="401"/>
      <c r="N139" s="401"/>
      <c r="O139" s="401"/>
      <c r="P139" s="401"/>
      <c r="Q139" s="401"/>
      <c r="R139" s="401"/>
      <c r="S139" s="401"/>
      <c r="T139" s="401"/>
      <c r="U139" s="401"/>
      <c r="V139" s="401"/>
      <c r="W139" s="401"/>
      <c r="X139" s="401"/>
    </row>
    <row r="140" spans="11:24" ht="19.05" customHeight="1">
      <c r="K140" s="401"/>
      <c r="L140" s="401"/>
      <c r="N140" s="401"/>
      <c r="O140" s="401"/>
      <c r="P140" s="401"/>
      <c r="Q140" s="401"/>
      <c r="R140" s="401"/>
      <c r="S140" s="401"/>
      <c r="T140" s="401"/>
      <c r="U140" s="401"/>
      <c r="V140" s="401"/>
      <c r="W140" s="401"/>
      <c r="X140" s="401"/>
    </row>
    <row r="141" spans="11:24" ht="19.05" customHeight="1">
      <c r="K141" s="401"/>
      <c r="L141" s="401"/>
      <c r="N141" s="401"/>
      <c r="O141" s="401"/>
      <c r="P141" s="401"/>
      <c r="Q141" s="401"/>
      <c r="R141" s="401"/>
      <c r="S141" s="401"/>
      <c r="T141" s="401"/>
      <c r="U141" s="401"/>
      <c r="V141" s="401"/>
      <c r="W141" s="401"/>
      <c r="X141" s="401"/>
    </row>
    <row r="142" spans="11:24" ht="19.05" customHeight="1">
      <c r="K142" s="401"/>
      <c r="L142" s="401"/>
      <c r="N142" s="401"/>
      <c r="O142" s="401"/>
      <c r="P142" s="401"/>
      <c r="Q142" s="401"/>
      <c r="R142" s="401"/>
      <c r="S142" s="401"/>
      <c r="T142" s="401"/>
      <c r="U142" s="401"/>
      <c r="V142" s="401"/>
      <c r="W142" s="401"/>
      <c r="X142" s="401"/>
    </row>
    <row r="143" spans="11:24" ht="19.05" customHeight="1">
      <c r="K143" s="401"/>
      <c r="L143" s="401"/>
      <c r="N143" s="401"/>
      <c r="O143" s="401"/>
      <c r="P143" s="401"/>
      <c r="Q143" s="401"/>
      <c r="R143" s="401"/>
      <c r="S143" s="401"/>
      <c r="T143" s="401"/>
      <c r="U143" s="401"/>
      <c r="V143" s="401"/>
      <c r="W143" s="401"/>
      <c r="X143" s="401"/>
    </row>
    <row r="144" spans="11:24" ht="19.05" customHeight="1">
      <c r="K144" s="401"/>
      <c r="L144" s="401"/>
      <c r="N144" s="401"/>
      <c r="O144" s="401"/>
      <c r="P144" s="401"/>
      <c r="Q144" s="401"/>
      <c r="R144" s="401"/>
      <c r="S144" s="401"/>
      <c r="T144" s="401"/>
      <c r="U144" s="401"/>
      <c r="V144" s="401"/>
      <c r="W144" s="401"/>
      <c r="X144" s="401"/>
    </row>
    <row r="145" spans="11:24" ht="19.05" customHeight="1">
      <c r="K145" s="401"/>
      <c r="L145" s="401"/>
      <c r="N145" s="401"/>
      <c r="O145" s="401"/>
      <c r="P145" s="401"/>
      <c r="Q145" s="401"/>
      <c r="R145" s="401"/>
      <c r="S145" s="401"/>
      <c r="T145" s="401"/>
      <c r="U145" s="401"/>
      <c r="V145" s="401"/>
      <c r="W145" s="401"/>
      <c r="X145" s="401"/>
    </row>
    <row r="146" spans="11:24" ht="19.05" customHeight="1">
      <c r="K146" s="401"/>
      <c r="L146" s="401"/>
      <c r="N146" s="401"/>
      <c r="O146" s="401"/>
      <c r="P146" s="401"/>
      <c r="Q146" s="401"/>
      <c r="R146" s="401"/>
      <c r="S146" s="401"/>
      <c r="T146" s="401"/>
      <c r="U146" s="401"/>
      <c r="V146" s="401"/>
      <c r="W146" s="401"/>
      <c r="X146" s="401"/>
    </row>
    <row r="147" spans="11:24" ht="19.05" customHeight="1">
      <c r="K147" s="401"/>
      <c r="L147" s="401"/>
      <c r="N147" s="401"/>
      <c r="O147" s="401"/>
      <c r="P147" s="401"/>
      <c r="Q147" s="401"/>
      <c r="R147" s="401"/>
      <c r="S147" s="401"/>
      <c r="T147" s="401"/>
      <c r="U147" s="401"/>
      <c r="V147" s="401"/>
      <c r="W147" s="401"/>
      <c r="X147" s="401"/>
    </row>
    <row r="148" spans="11:24" ht="19.05" customHeight="1">
      <c r="K148" s="401"/>
      <c r="L148" s="401"/>
      <c r="N148" s="401"/>
      <c r="O148" s="401"/>
      <c r="P148" s="401"/>
      <c r="Q148" s="401"/>
      <c r="R148" s="401"/>
      <c r="S148" s="401"/>
      <c r="T148" s="401"/>
      <c r="U148" s="401"/>
      <c r="V148" s="401"/>
      <c r="W148" s="401"/>
      <c r="X148" s="401"/>
    </row>
    <row r="149" spans="11:24" ht="19.05" customHeight="1">
      <c r="K149" s="401"/>
      <c r="L149" s="401"/>
      <c r="N149" s="401"/>
      <c r="O149" s="401"/>
      <c r="P149" s="401"/>
      <c r="Q149" s="401"/>
      <c r="R149" s="401"/>
      <c r="S149" s="401"/>
      <c r="T149" s="401"/>
      <c r="U149" s="401"/>
      <c r="V149" s="401"/>
      <c r="W149" s="401"/>
      <c r="X149" s="401"/>
    </row>
    <row r="150" spans="11:24" ht="19.05" customHeight="1">
      <c r="K150" s="401"/>
      <c r="L150" s="401"/>
      <c r="N150" s="401"/>
      <c r="O150" s="401"/>
      <c r="P150" s="401"/>
      <c r="Q150" s="401"/>
      <c r="R150" s="401"/>
      <c r="S150" s="401"/>
      <c r="T150" s="401"/>
      <c r="U150" s="401"/>
      <c r="V150" s="401"/>
      <c r="W150" s="401"/>
      <c r="X150" s="401"/>
    </row>
    <row r="151" spans="11:24" ht="19.05" customHeight="1">
      <c r="K151" s="401"/>
      <c r="L151" s="401"/>
      <c r="N151" s="401"/>
      <c r="O151" s="401"/>
      <c r="P151" s="401"/>
      <c r="Q151" s="401"/>
      <c r="R151" s="401"/>
      <c r="S151" s="401"/>
      <c r="T151" s="401"/>
      <c r="U151" s="401"/>
      <c r="V151" s="401"/>
      <c r="W151" s="401"/>
      <c r="X151" s="401"/>
    </row>
    <row r="152" spans="11:24" ht="19.05" customHeight="1">
      <c r="K152" s="401"/>
      <c r="L152" s="401"/>
      <c r="N152" s="401"/>
      <c r="O152" s="401"/>
      <c r="P152" s="401"/>
      <c r="Q152" s="401"/>
      <c r="R152" s="401"/>
      <c r="S152" s="401"/>
      <c r="T152" s="401"/>
      <c r="U152" s="401"/>
      <c r="V152" s="401"/>
      <c r="W152" s="401"/>
      <c r="X152" s="401"/>
    </row>
    <row r="153" spans="11:24" ht="19.05" customHeight="1">
      <c r="K153" s="401"/>
      <c r="L153" s="401"/>
      <c r="N153" s="401"/>
      <c r="O153" s="401"/>
      <c r="P153" s="401"/>
      <c r="Q153" s="401"/>
      <c r="R153" s="401"/>
      <c r="S153" s="401"/>
      <c r="T153" s="401"/>
      <c r="U153" s="401"/>
      <c r="V153" s="401"/>
      <c r="W153" s="401"/>
      <c r="X153" s="401"/>
    </row>
    <row r="154" spans="11:24" ht="19.05" customHeight="1">
      <c r="K154" s="401"/>
      <c r="L154" s="401"/>
      <c r="N154" s="401"/>
      <c r="O154" s="401"/>
      <c r="P154" s="401"/>
      <c r="Q154" s="401"/>
      <c r="R154" s="401"/>
      <c r="S154" s="401"/>
      <c r="T154" s="401"/>
      <c r="U154" s="401"/>
      <c r="V154" s="401"/>
      <c r="W154" s="401"/>
      <c r="X154" s="401"/>
    </row>
    <row r="155" spans="11:24" ht="19.05" customHeight="1">
      <c r="K155" s="401"/>
      <c r="L155" s="401"/>
      <c r="N155" s="401"/>
      <c r="O155" s="401"/>
      <c r="P155" s="401"/>
      <c r="Q155" s="401"/>
      <c r="R155" s="401"/>
      <c r="S155" s="401"/>
      <c r="T155" s="401"/>
      <c r="U155" s="401"/>
      <c r="V155" s="401"/>
      <c r="W155" s="401"/>
      <c r="X155" s="401"/>
    </row>
    <row r="156" spans="11:24" ht="19.05" customHeight="1">
      <c r="K156" s="401"/>
      <c r="L156" s="401"/>
      <c r="N156" s="401"/>
      <c r="O156" s="401"/>
      <c r="P156" s="401"/>
      <c r="Q156" s="401"/>
      <c r="R156" s="401"/>
      <c r="S156" s="401"/>
      <c r="T156" s="401"/>
      <c r="U156" s="401"/>
      <c r="V156" s="401"/>
      <c r="W156" s="401"/>
      <c r="X156" s="401"/>
    </row>
    <row r="157" spans="11:24" ht="19.05" customHeight="1">
      <c r="K157" s="401"/>
      <c r="L157" s="401"/>
      <c r="N157" s="401"/>
      <c r="O157" s="401"/>
      <c r="P157" s="401"/>
      <c r="Q157" s="401"/>
      <c r="R157" s="401"/>
      <c r="S157" s="401"/>
      <c r="T157" s="401"/>
      <c r="U157" s="401"/>
      <c r="V157" s="401"/>
      <c r="W157" s="401"/>
      <c r="X157" s="401"/>
    </row>
    <row r="158" spans="11:24" ht="19.05" customHeight="1">
      <c r="K158" s="401"/>
      <c r="L158" s="401"/>
      <c r="N158" s="401"/>
      <c r="O158" s="401"/>
      <c r="P158" s="401"/>
      <c r="Q158" s="401"/>
      <c r="R158" s="401"/>
      <c r="S158" s="401"/>
      <c r="T158" s="401"/>
      <c r="U158" s="401"/>
      <c r="V158" s="401"/>
      <c r="W158" s="401"/>
      <c r="X158" s="401"/>
    </row>
    <row r="159" spans="11:24" ht="19.05" customHeight="1">
      <c r="K159" s="401"/>
      <c r="L159" s="401"/>
      <c r="N159" s="401"/>
      <c r="O159" s="401"/>
      <c r="P159" s="401"/>
      <c r="Q159" s="401"/>
      <c r="R159" s="401"/>
      <c r="S159" s="401"/>
      <c r="T159" s="401"/>
      <c r="U159" s="401"/>
      <c r="V159" s="401"/>
      <c r="W159" s="401"/>
      <c r="X159" s="401"/>
    </row>
    <row r="160" spans="11:24" ht="19.05" customHeight="1">
      <c r="K160" s="401"/>
      <c r="L160" s="401"/>
      <c r="N160" s="401"/>
      <c r="O160" s="401"/>
      <c r="P160" s="401"/>
      <c r="Q160" s="401"/>
      <c r="R160" s="401"/>
      <c r="S160" s="401"/>
      <c r="T160" s="401"/>
      <c r="U160" s="401"/>
      <c r="V160" s="401"/>
      <c r="W160" s="401"/>
      <c r="X160" s="401"/>
    </row>
    <row r="161" spans="11:24" ht="19.05" customHeight="1">
      <c r="K161" s="401"/>
      <c r="L161" s="401"/>
      <c r="N161" s="401"/>
      <c r="O161" s="401"/>
      <c r="P161" s="401"/>
      <c r="Q161" s="401"/>
      <c r="R161" s="401"/>
      <c r="S161" s="401"/>
      <c r="T161" s="401"/>
      <c r="U161" s="401"/>
      <c r="V161" s="401"/>
      <c r="W161" s="401"/>
      <c r="X161" s="401"/>
    </row>
    <row r="162" spans="11:24" ht="19.05" customHeight="1">
      <c r="K162" s="401"/>
      <c r="L162" s="401"/>
      <c r="N162" s="401"/>
      <c r="O162" s="401"/>
      <c r="P162" s="401"/>
      <c r="Q162" s="401"/>
      <c r="R162" s="401"/>
      <c r="S162" s="401"/>
      <c r="T162" s="401"/>
      <c r="U162" s="401"/>
      <c r="V162" s="401"/>
      <c r="W162" s="401"/>
      <c r="X162" s="401"/>
    </row>
    <row r="163" spans="11:24" ht="19.05" customHeight="1">
      <c r="K163" s="401"/>
      <c r="L163" s="401"/>
      <c r="N163" s="401"/>
      <c r="O163" s="401"/>
      <c r="P163" s="401"/>
      <c r="Q163" s="401"/>
      <c r="R163" s="401"/>
      <c r="S163" s="401"/>
      <c r="T163" s="401"/>
      <c r="U163" s="401"/>
      <c r="V163" s="401"/>
      <c r="W163" s="401"/>
      <c r="X163" s="401"/>
    </row>
    <row r="164" spans="11:24" ht="19.05" customHeight="1">
      <c r="K164" s="401"/>
      <c r="L164" s="401"/>
      <c r="N164" s="401"/>
      <c r="O164" s="401"/>
      <c r="P164" s="401"/>
      <c r="Q164" s="401"/>
      <c r="R164" s="401"/>
      <c r="S164" s="401"/>
      <c r="T164" s="401"/>
      <c r="U164" s="401"/>
      <c r="V164" s="401"/>
      <c r="W164" s="401"/>
      <c r="X164" s="401"/>
    </row>
    <row r="165" spans="11:24" ht="19.05" customHeight="1">
      <c r="K165" s="401"/>
      <c r="L165" s="401"/>
      <c r="N165" s="401"/>
      <c r="O165" s="401"/>
      <c r="P165" s="401"/>
      <c r="Q165" s="401"/>
      <c r="R165" s="401"/>
      <c r="S165" s="401"/>
      <c r="T165" s="401"/>
      <c r="U165" s="401"/>
      <c r="V165" s="401"/>
      <c r="W165" s="401"/>
      <c r="X165" s="401"/>
    </row>
    <row r="166" spans="11:24" ht="19.05" customHeight="1">
      <c r="K166" s="401"/>
      <c r="L166" s="401"/>
      <c r="N166" s="401"/>
      <c r="O166" s="401"/>
      <c r="P166" s="401"/>
      <c r="Q166" s="401"/>
      <c r="R166" s="401"/>
      <c r="S166" s="401"/>
      <c r="T166" s="401"/>
      <c r="U166" s="401"/>
      <c r="V166" s="401"/>
      <c r="W166" s="401"/>
      <c r="X166" s="401"/>
    </row>
    <row r="167" spans="11:24" ht="19.05" customHeight="1">
      <c r="K167" s="401"/>
      <c r="L167" s="401"/>
      <c r="N167" s="401"/>
      <c r="O167" s="401"/>
      <c r="P167" s="401"/>
      <c r="Q167" s="401"/>
      <c r="R167" s="401"/>
      <c r="S167" s="401"/>
      <c r="T167" s="401"/>
      <c r="U167" s="401"/>
      <c r="V167" s="401"/>
      <c r="W167" s="401"/>
      <c r="X167" s="401"/>
    </row>
    <row r="168" spans="11:24" ht="19.05" customHeight="1">
      <c r="K168" s="401"/>
      <c r="L168" s="401"/>
      <c r="N168" s="401"/>
      <c r="O168" s="401"/>
      <c r="P168" s="401"/>
      <c r="Q168" s="401"/>
      <c r="R168" s="401"/>
      <c r="S168" s="401"/>
      <c r="T168" s="401"/>
      <c r="U168" s="401"/>
      <c r="V168" s="401"/>
      <c r="W168" s="401"/>
      <c r="X168" s="401"/>
    </row>
    <row r="169" spans="11:24" ht="19.05" customHeight="1">
      <c r="K169" s="401"/>
      <c r="L169" s="401"/>
      <c r="N169" s="401"/>
      <c r="O169" s="401"/>
      <c r="P169" s="401"/>
      <c r="Q169" s="401"/>
      <c r="R169" s="401"/>
      <c r="S169" s="401"/>
      <c r="T169" s="401"/>
      <c r="U169" s="401"/>
      <c r="V169" s="401"/>
      <c r="W169" s="401"/>
      <c r="X169" s="401"/>
    </row>
    <row r="170" spans="11:24" ht="19.05" customHeight="1">
      <c r="K170" s="401"/>
      <c r="L170" s="401"/>
      <c r="N170" s="401"/>
      <c r="O170" s="401"/>
      <c r="P170" s="401"/>
      <c r="Q170" s="401"/>
      <c r="R170" s="401"/>
      <c r="S170" s="401"/>
      <c r="T170" s="401"/>
      <c r="U170" s="401"/>
      <c r="V170" s="401"/>
      <c r="W170" s="401"/>
      <c r="X170" s="401"/>
    </row>
    <row r="171" spans="11:24" ht="19.05" customHeight="1">
      <c r="K171" s="401"/>
      <c r="L171" s="401"/>
      <c r="N171" s="401"/>
      <c r="O171" s="401"/>
      <c r="P171" s="401"/>
      <c r="Q171" s="401"/>
      <c r="R171" s="401"/>
      <c r="S171" s="401"/>
      <c r="T171" s="401"/>
      <c r="U171" s="401"/>
      <c r="V171" s="401"/>
      <c r="W171" s="401"/>
      <c r="X171" s="401"/>
    </row>
    <row r="172" spans="11:24" ht="19.05" customHeight="1">
      <c r="K172" s="401"/>
      <c r="L172" s="401"/>
      <c r="N172" s="401"/>
      <c r="O172" s="401"/>
      <c r="P172" s="401"/>
      <c r="Q172" s="401"/>
      <c r="R172" s="401"/>
      <c r="S172" s="401"/>
      <c r="T172" s="401"/>
      <c r="U172" s="401"/>
      <c r="V172" s="401"/>
      <c r="W172" s="401"/>
      <c r="X172" s="401"/>
    </row>
    <row r="173" spans="11:24" ht="19.05" customHeight="1">
      <c r="K173" s="401"/>
      <c r="L173" s="401"/>
      <c r="N173" s="401"/>
      <c r="O173" s="401"/>
      <c r="P173" s="401"/>
      <c r="Q173" s="401"/>
      <c r="R173" s="401"/>
      <c r="S173" s="401"/>
      <c r="T173" s="401"/>
      <c r="U173" s="401"/>
      <c r="V173" s="401"/>
      <c r="W173" s="401"/>
      <c r="X173" s="401"/>
    </row>
    <row r="174" spans="11:24" ht="19.05" customHeight="1">
      <c r="K174" s="401"/>
      <c r="L174" s="401"/>
      <c r="N174" s="401"/>
      <c r="O174" s="401"/>
      <c r="P174" s="401"/>
      <c r="Q174" s="401"/>
      <c r="R174" s="401"/>
      <c r="S174" s="401"/>
      <c r="T174" s="401"/>
      <c r="U174" s="401"/>
      <c r="V174" s="401"/>
      <c r="W174" s="401"/>
      <c r="X174" s="401"/>
    </row>
    <row r="175" spans="11:24" ht="19.05" customHeight="1">
      <c r="K175" s="401"/>
      <c r="L175" s="401"/>
      <c r="N175" s="401"/>
      <c r="O175" s="401"/>
      <c r="P175" s="401"/>
      <c r="Q175" s="401"/>
      <c r="R175" s="401"/>
      <c r="S175" s="401"/>
      <c r="T175" s="401"/>
      <c r="U175" s="401"/>
      <c r="V175" s="401"/>
      <c r="W175" s="401"/>
      <c r="X175" s="401"/>
    </row>
    <row r="176" spans="11:24" ht="19.05" customHeight="1">
      <c r="K176" s="401"/>
      <c r="L176" s="401"/>
      <c r="N176" s="401"/>
      <c r="O176" s="401"/>
      <c r="P176" s="401"/>
      <c r="Q176" s="401"/>
      <c r="R176" s="401"/>
      <c r="S176" s="401"/>
      <c r="T176" s="401"/>
      <c r="U176" s="401"/>
      <c r="V176" s="401"/>
      <c r="W176" s="401"/>
      <c r="X176" s="401"/>
    </row>
    <row r="177" spans="11:24" ht="19.05" customHeight="1">
      <c r="K177" s="401"/>
      <c r="L177" s="401"/>
      <c r="N177" s="401"/>
      <c r="O177" s="401"/>
      <c r="P177" s="401"/>
      <c r="Q177" s="401"/>
      <c r="R177" s="401"/>
      <c r="S177" s="401"/>
      <c r="T177" s="401"/>
      <c r="U177" s="401"/>
      <c r="V177" s="401"/>
      <c r="W177" s="401"/>
      <c r="X177" s="401"/>
    </row>
    <row r="178" spans="11:24" ht="19.05" customHeight="1">
      <c r="K178" s="401"/>
      <c r="L178" s="401"/>
      <c r="N178" s="401"/>
      <c r="O178" s="401"/>
      <c r="P178" s="401"/>
      <c r="Q178" s="401"/>
      <c r="R178" s="401"/>
      <c r="S178" s="401"/>
      <c r="T178" s="401"/>
      <c r="U178" s="401"/>
      <c r="V178" s="401"/>
      <c r="W178" s="401"/>
      <c r="X178" s="401"/>
    </row>
    <row r="179" spans="11:24" ht="19.05" customHeight="1">
      <c r="K179" s="401"/>
      <c r="L179" s="401"/>
      <c r="N179" s="401"/>
      <c r="O179" s="401"/>
      <c r="P179" s="401"/>
      <c r="Q179" s="401"/>
      <c r="R179" s="401"/>
      <c r="S179" s="401"/>
      <c r="T179" s="401"/>
      <c r="U179" s="401"/>
      <c r="V179" s="401"/>
      <c r="W179" s="401"/>
      <c r="X179" s="401"/>
    </row>
    <row r="180" spans="11:24" ht="19.05" customHeight="1">
      <c r="K180" s="401"/>
      <c r="L180" s="401"/>
      <c r="N180" s="401"/>
      <c r="O180" s="401"/>
      <c r="P180" s="401"/>
      <c r="Q180" s="401"/>
      <c r="R180" s="401"/>
      <c r="S180" s="401"/>
      <c r="T180" s="401"/>
      <c r="U180" s="401"/>
      <c r="V180" s="401"/>
      <c r="W180" s="401"/>
      <c r="X180" s="401"/>
    </row>
    <row r="181" spans="11:24" ht="19.05" customHeight="1">
      <c r="K181" s="401"/>
      <c r="L181" s="401"/>
      <c r="N181" s="401"/>
      <c r="O181" s="401"/>
      <c r="P181" s="401"/>
      <c r="Q181" s="401"/>
      <c r="R181" s="401"/>
      <c r="S181" s="401"/>
      <c r="T181" s="401"/>
      <c r="U181" s="401"/>
      <c r="V181" s="401"/>
      <c r="W181" s="401"/>
      <c r="X181" s="401"/>
    </row>
    <row r="182" spans="11:24" ht="19.05" customHeight="1">
      <c r="K182" s="401"/>
      <c r="L182" s="401"/>
      <c r="N182" s="401"/>
      <c r="O182" s="401"/>
      <c r="P182" s="401"/>
      <c r="Q182" s="401"/>
      <c r="R182" s="401"/>
      <c r="S182" s="401"/>
      <c r="T182" s="401"/>
      <c r="U182" s="401"/>
      <c r="V182" s="401"/>
      <c r="W182" s="401"/>
      <c r="X182" s="401"/>
    </row>
    <row r="183" spans="11:24" ht="19.05" customHeight="1">
      <c r="K183" s="401"/>
      <c r="L183" s="401"/>
      <c r="N183" s="401"/>
      <c r="O183" s="401"/>
      <c r="P183" s="401"/>
      <c r="Q183" s="401"/>
      <c r="R183" s="401"/>
      <c r="S183" s="401"/>
      <c r="T183" s="401"/>
      <c r="U183" s="401"/>
      <c r="V183" s="401"/>
      <c r="W183" s="401"/>
      <c r="X183" s="401"/>
    </row>
    <row r="184" spans="11:24" ht="19.05" customHeight="1">
      <c r="K184" s="401"/>
      <c r="L184" s="401"/>
      <c r="N184" s="401"/>
      <c r="O184" s="401"/>
      <c r="P184" s="401"/>
      <c r="Q184" s="401"/>
      <c r="R184" s="401"/>
      <c r="S184" s="401"/>
      <c r="T184" s="401"/>
      <c r="U184" s="401"/>
      <c r="V184" s="401"/>
      <c r="W184" s="401"/>
      <c r="X184" s="401"/>
    </row>
    <row r="185" spans="11:24" ht="19.05" customHeight="1">
      <c r="K185" s="401"/>
      <c r="L185" s="401"/>
      <c r="N185" s="401"/>
      <c r="O185" s="401"/>
      <c r="P185" s="401"/>
      <c r="Q185" s="401"/>
      <c r="R185" s="401"/>
      <c r="S185" s="401"/>
      <c r="T185" s="401"/>
      <c r="U185" s="401"/>
      <c r="V185" s="401"/>
      <c r="W185" s="401"/>
      <c r="X185" s="401"/>
    </row>
    <row r="186" spans="11:24" ht="19.05" customHeight="1">
      <c r="K186" s="401"/>
      <c r="L186" s="401"/>
      <c r="N186" s="401"/>
      <c r="O186" s="401"/>
      <c r="P186" s="401"/>
      <c r="Q186" s="401"/>
      <c r="R186" s="401"/>
      <c r="S186" s="401"/>
      <c r="T186" s="401"/>
      <c r="U186" s="401"/>
      <c r="V186" s="401"/>
      <c r="W186" s="401"/>
      <c r="X186" s="401"/>
    </row>
    <row r="187" spans="11:24" ht="19.05" customHeight="1">
      <c r="K187" s="401"/>
      <c r="L187" s="401"/>
      <c r="N187" s="401"/>
      <c r="O187" s="401"/>
      <c r="P187" s="401"/>
      <c r="Q187" s="401"/>
      <c r="R187" s="401"/>
      <c r="S187" s="401"/>
      <c r="T187" s="401"/>
      <c r="U187" s="401"/>
      <c r="V187" s="401"/>
      <c r="W187" s="401"/>
      <c r="X187" s="401"/>
    </row>
    <row r="188" spans="11:24" ht="19.05" customHeight="1">
      <c r="K188" s="401"/>
      <c r="L188" s="401"/>
      <c r="N188" s="401"/>
      <c r="O188" s="401"/>
      <c r="P188" s="401"/>
      <c r="Q188" s="401"/>
      <c r="R188" s="401"/>
      <c r="S188" s="401"/>
      <c r="T188" s="401"/>
      <c r="U188" s="401"/>
      <c r="V188" s="401"/>
      <c r="W188" s="401"/>
      <c r="X188" s="401"/>
    </row>
    <row r="189" spans="11:24" ht="19.05" customHeight="1">
      <c r="K189" s="401"/>
      <c r="L189" s="401"/>
      <c r="N189" s="401"/>
      <c r="O189" s="401"/>
      <c r="P189" s="401"/>
      <c r="Q189" s="401"/>
      <c r="R189" s="401"/>
      <c r="S189" s="401"/>
      <c r="T189" s="401"/>
      <c r="U189" s="401"/>
      <c r="V189" s="401"/>
      <c r="W189" s="401"/>
      <c r="X189" s="401"/>
    </row>
    <row r="190" spans="11:24" ht="19.05" customHeight="1">
      <c r="K190" s="401"/>
      <c r="L190" s="401"/>
      <c r="N190" s="401"/>
      <c r="O190" s="401"/>
      <c r="P190" s="401"/>
      <c r="Q190" s="401"/>
      <c r="R190" s="401"/>
      <c r="S190" s="401"/>
      <c r="T190" s="401"/>
      <c r="U190" s="401"/>
      <c r="V190" s="401"/>
      <c r="W190" s="401"/>
      <c r="X190" s="401"/>
    </row>
    <row r="191" spans="11:24" ht="19.05" customHeight="1">
      <c r="K191" s="401"/>
      <c r="L191" s="401"/>
      <c r="N191" s="401"/>
      <c r="O191" s="401"/>
      <c r="P191" s="401"/>
      <c r="Q191" s="401"/>
      <c r="R191" s="401"/>
      <c r="S191" s="401"/>
      <c r="T191" s="401"/>
      <c r="U191" s="401"/>
      <c r="V191" s="401"/>
      <c r="W191" s="401"/>
      <c r="X191" s="401"/>
    </row>
    <row r="192" spans="11:24" ht="19.05" customHeight="1">
      <c r="K192" s="401"/>
      <c r="L192" s="401"/>
      <c r="N192" s="401"/>
      <c r="O192" s="401"/>
      <c r="P192" s="401"/>
      <c r="Q192" s="401"/>
      <c r="R192" s="401"/>
      <c r="S192" s="401"/>
      <c r="T192" s="401"/>
      <c r="U192" s="401"/>
      <c r="V192" s="401"/>
      <c r="W192" s="401"/>
      <c r="X192" s="401"/>
    </row>
    <row r="193" spans="11:24" ht="19.05" customHeight="1">
      <c r="K193" s="401"/>
      <c r="L193" s="401"/>
      <c r="N193" s="401"/>
      <c r="O193" s="401"/>
      <c r="P193" s="401"/>
      <c r="Q193" s="401"/>
      <c r="R193" s="401"/>
      <c r="S193" s="401"/>
      <c r="T193" s="401"/>
      <c r="U193" s="401"/>
      <c r="V193" s="401"/>
      <c r="W193" s="401"/>
      <c r="X193" s="401"/>
    </row>
    <row r="194" spans="11:24" ht="19.05" customHeight="1">
      <c r="K194" s="401"/>
      <c r="L194" s="401"/>
      <c r="N194" s="401"/>
      <c r="O194" s="401"/>
      <c r="P194" s="401"/>
      <c r="Q194" s="401"/>
      <c r="R194" s="401"/>
      <c r="S194" s="401"/>
      <c r="T194" s="401"/>
      <c r="U194" s="401"/>
      <c r="V194" s="401"/>
      <c r="W194" s="401"/>
      <c r="X194" s="401"/>
    </row>
    <row r="195" spans="11:24" ht="19.05" customHeight="1">
      <c r="K195" s="401"/>
      <c r="L195" s="401"/>
      <c r="N195" s="401"/>
      <c r="O195" s="401"/>
      <c r="P195" s="401"/>
      <c r="Q195" s="401"/>
      <c r="R195" s="401"/>
      <c r="S195" s="401"/>
      <c r="T195" s="401"/>
      <c r="U195" s="401"/>
      <c r="V195" s="401"/>
      <c r="W195" s="401"/>
      <c r="X195" s="401"/>
    </row>
    <row r="196" spans="11:24" ht="19.05" customHeight="1">
      <c r="K196" s="401"/>
      <c r="L196" s="401"/>
      <c r="N196" s="401"/>
      <c r="O196" s="401"/>
      <c r="P196" s="401"/>
      <c r="Q196" s="401"/>
      <c r="R196" s="401"/>
      <c r="S196" s="401"/>
      <c r="T196" s="401"/>
      <c r="U196" s="401"/>
      <c r="V196" s="401"/>
      <c r="W196" s="401"/>
      <c r="X196" s="401"/>
    </row>
    <row r="197" spans="11:24" ht="19.05" customHeight="1">
      <c r="K197" s="401"/>
      <c r="L197" s="401"/>
      <c r="N197" s="401"/>
      <c r="O197" s="401"/>
      <c r="P197" s="401"/>
      <c r="Q197" s="401"/>
      <c r="R197" s="401"/>
      <c r="S197" s="401"/>
      <c r="T197" s="401"/>
      <c r="U197" s="401"/>
      <c r="V197" s="401"/>
      <c r="W197" s="401"/>
      <c r="X197" s="401"/>
    </row>
    <row r="198" spans="11:24" ht="19.05" customHeight="1">
      <c r="K198" s="401"/>
      <c r="L198" s="401"/>
      <c r="N198" s="401"/>
      <c r="O198" s="401"/>
      <c r="P198" s="401"/>
      <c r="Q198" s="401"/>
      <c r="R198" s="401"/>
      <c r="S198" s="401"/>
      <c r="T198" s="401"/>
      <c r="U198" s="401"/>
      <c r="V198" s="401"/>
      <c r="W198" s="401"/>
      <c r="X198" s="401"/>
    </row>
    <row r="199" spans="11:24" ht="19.05" customHeight="1">
      <c r="K199" s="401"/>
      <c r="L199" s="401"/>
      <c r="N199" s="401"/>
      <c r="O199" s="401"/>
      <c r="P199" s="401"/>
      <c r="Q199" s="401"/>
      <c r="R199" s="401"/>
      <c r="S199" s="401"/>
      <c r="T199" s="401"/>
      <c r="U199" s="401"/>
      <c r="V199" s="401"/>
      <c r="W199" s="401"/>
      <c r="X199" s="401"/>
    </row>
    <row r="200" spans="11:24" ht="19.05" customHeight="1">
      <c r="K200" s="401"/>
      <c r="L200" s="401"/>
      <c r="N200" s="401"/>
      <c r="O200" s="401"/>
      <c r="P200" s="401"/>
      <c r="Q200" s="401"/>
      <c r="R200" s="401"/>
      <c r="S200" s="401"/>
      <c r="T200" s="401"/>
      <c r="U200" s="401"/>
      <c r="V200" s="401"/>
      <c r="W200" s="401"/>
      <c r="X200" s="401"/>
    </row>
    <row r="201" spans="11:24" ht="19.05" customHeight="1">
      <c r="K201" s="401"/>
      <c r="L201" s="401"/>
      <c r="N201" s="401"/>
      <c r="O201" s="401"/>
      <c r="P201" s="401"/>
      <c r="Q201" s="401"/>
      <c r="R201" s="401"/>
      <c r="S201" s="401"/>
      <c r="T201" s="401"/>
      <c r="U201" s="401"/>
      <c r="V201" s="401"/>
      <c r="W201" s="401"/>
      <c r="X201" s="401"/>
    </row>
    <row r="202" spans="11:24" ht="19.05" customHeight="1">
      <c r="K202" s="401"/>
      <c r="L202" s="401"/>
      <c r="N202" s="401"/>
      <c r="O202" s="401"/>
      <c r="P202" s="401"/>
      <c r="Q202" s="401"/>
      <c r="R202" s="401"/>
      <c r="S202" s="401"/>
      <c r="T202" s="401"/>
      <c r="U202" s="401"/>
      <c r="V202" s="401"/>
      <c r="W202" s="401"/>
      <c r="X202" s="401"/>
    </row>
    <row r="203" spans="11:24" ht="19.05" customHeight="1">
      <c r="K203" s="401"/>
      <c r="L203" s="401"/>
      <c r="N203" s="401"/>
      <c r="O203" s="401"/>
      <c r="P203" s="401"/>
      <c r="Q203" s="401"/>
      <c r="R203" s="401"/>
      <c r="S203" s="401"/>
      <c r="T203" s="401"/>
      <c r="U203" s="401"/>
      <c r="V203" s="401"/>
      <c r="W203" s="401"/>
      <c r="X203" s="401"/>
    </row>
    <row r="204" spans="11:24" ht="19.05" customHeight="1">
      <c r="K204" s="401"/>
      <c r="L204" s="401"/>
      <c r="N204" s="401"/>
      <c r="O204" s="401"/>
      <c r="P204" s="401"/>
      <c r="Q204" s="401"/>
      <c r="R204" s="401"/>
      <c r="S204" s="401"/>
      <c r="T204" s="401"/>
      <c r="U204" s="401"/>
      <c r="V204" s="401"/>
      <c r="W204" s="401"/>
      <c r="X204" s="401"/>
    </row>
    <row r="205" spans="11:24" ht="19.05" customHeight="1">
      <c r="K205" s="401"/>
      <c r="L205" s="401"/>
      <c r="N205" s="401"/>
      <c r="O205" s="401"/>
      <c r="P205" s="401"/>
      <c r="Q205" s="401"/>
      <c r="R205" s="401"/>
      <c r="S205" s="401"/>
      <c r="T205" s="401"/>
      <c r="U205" s="401"/>
      <c r="V205" s="401"/>
      <c r="W205" s="401"/>
      <c r="X205" s="401"/>
    </row>
    <row r="206" spans="11:24" ht="19.05" customHeight="1">
      <c r="K206" s="401"/>
      <c r="L206" s="401"/>
      <c r="N206" s="401"/>
      <c r="O206" s="401"/>
      <c r="P206" s="401"/>
      <c r="Q206" s="401"/>
      <c r="R206" s="401"/>
      <c r="S206" s="401"/>
      <c r="T206" s="401"/>
      <c r="U206" s="401"/>
      <c r="V206" s="401"/>
      <c r="W206" s="401"/>
      <c r="X206" s="401"/>
    </row>
    <row r="207" spans="11:24" ht="19.05" customHeight="1">
      <c r="K207" s="401"/>
      <c r="L207" s="401"/>
      <c r="N207" s="401"/>
      <c r="O207" s="401"/>
      <c r="P207" s="401"/>
      <c r="Q207" s="401"/>
      <c r="R207" s="401"/>
      <c r="S207" s="401"/>
      <c r="T207" s="401"/>
      <c r="U207" s="401"/>
      <c r="V207" s="401"/>
      <c r="W207" s="401"/>
      <c r="X207" s="401"/>
    </row>
    <row r="208" spans="11:24" ht="19.05" customHeight="1">
      <c r="K208" s="401"/>
      <c r="L208" s="401"/>
      <c r="N208" s="401"/>
      <c r="O208" s="401"/>
      <c r="P208" s="401"/>
      <c r="Q208" s="401"/>
      <c r="R208" s="401"/>
      <c r="S208" s="401"/>
      <c r="T208" s="401"/>
      <c r="U208" s="401"/>
      <c r="V208" s="401"/>
      <c r="W208" s="401"/>
      <c r="X208" s="401"/>
    </row>
    <row r="209" spans="11:24" ht="19.05" customHeight="1">
      <c r="K209" s="401"/>
      <c r="L209" s="401"/>
      <c r="N209" s="401"/>
      <c r="O209" s="401"/>
      <c r="P209" s="401"/>
      <c r="Q209" s="401"/>
      <c r="R209" s="401"/>
      <c r="S209" s="401"/>
      <c r="T209" s="401"/>
      <c r="U209" s="401"/>
      <c r="V209" s="401"/>
      <c r="W209" s="401"/>
      <c r="X209" s="401"/>
    </row>
    <row r="210" spans="11:24" ht="19.05" customHeight="1">
      <c r="K210" s="401"/>
      <c r="L210" s="401"/>
      <c r="N210" s="401"/>
      <c r="O210" s="401"/>
      <c r="P210" s="401"/>
      <c r="Q210" s="401"/>
      <c r="R210" s="401"/>
      <c r="S210" s="401"/>
      <c r="T210" s="401"/>
      <c r="U210" s="401"/>
      <c r="V210" s="401"/>
      <c r="W210" s="401"/>
      <c r="X210" s="401"/>
    </row>
    <row r="211" spans="11:24" ht="19.05" customHeight="1">
      <c r="K211" s="401"/>
      <c r="L211" s="401"/>
      <c r="N211" s="401"/>
      <c r="O211" s="401"/>
      <c r="P211" s="401"/>
      <c r="Q211" s="401"/>
      <c r="R211" s="401"/>
      <c r="S211" s="401"/>
      <c r="T211" s="401"/>
      <c r="U211" s="401"/>
      <c r="V211" s="401"/>
      <c r="W211" s="401"/>
      <c r="X211" s="401"/>
    </row>
    <row r="212" spans="11:24" ht="19.05" customHeight="1">
      <c r="K212" s="401"/>
      <c r="L212" s="401"/>
      <c r="N212" s="401"/>
      <c r="O212" s="401"/>
      <c r="P212" s="401"/>
      <c r="Q212" s="401"/>
      <c r="R212" s="401"/>
      <c r="S212" s="401"/>
      <c r="T212" s="401"/>
      <c r="U212" s="401"/>
      <c r="V212" s="401"/>
      <c r="W212" s="401"/>
      <c r="X212" s="401"/>
    </row>
    <row r="213" spans="11:24" ht="19.05" customHeight="1">
      <c r="K213" s="401"/>
      <c r="L213" s="401"/>
      <c r="N213" s="401"/>
      <c r="O213" s="401"/>
      <c r="P213" s="401"/>
      <c r="Q213" s="401"/>
      <c r="R213" s="401"/>
      <c r="S213" s="401"/>
      <c r="T213" s="401"/>
      <c r="U213" s="401"/>
      <c r="V213" s="401"/>
      <c r="W213" s="401"/>
      <c r="X213" s="401"/>
    </row>
    <row r="214" spans="11:24" ht="19.05" customHeight="1">
      <c r="K214" s="401"/>
      <c r="L214" s="401"/>
      <c r="N214" s="401"/>
      <c r="O214" s="401"/>
      <c r="P214" s="401"/>
      <c r="Q214" s="401"/>
      <c r="R214" s="401"/>
      <c r="S214" s="401"/>
      <c r="T214" s="401"/>
      <c r="U214" s="401"/>
      <c r="V214" s="401"/>
      <c r="W214" s="401"/>
      <c r="X214" s="401"/>
    </row>
    <row r="215" spans="11:24" ht="19.05" customHeight="1">
      <c r="K215" s="401"/>
      <c r="L215" s="401"/>
      <c r="N215" s="401"/>
      <c r="O215" s="401"/>
      <c r="P215" s="401"/>
      <c r="Q215" s="401"/>
      <c r="R215" s="401"/>
      <c r="S215" s="401"/>
      <c r="T215" s="401"/>
      <c r="U215" s="401"/>
      <c r="V215" s="401"/>
      <c r="W215" s="401"/>
      <c r="X215" s="401"/>
    </row>
    <row r="216" spans="11:24" ht="19.05" customHeight="1">
      <c r="K216" s="401"/>
      <c r="L216" s="401"/>
      <c r="N216" s="401"/>
      <c r="O216" s="401"/>
      <c r="P216" s="401"/>
      <c r="Q216" s="401"/>
      <c r="R216" s="401"/>
      <c r="S216" s="401"/>
      <c r="T216" s="401"/>
      <c r="U216" s="401"/>
      <c r="V216" s="401"/>
      <c r="W216" s="401"/>
      <c r="X216" s="401"/>
    </row>
    <row r="217" spans="11:24" ht="19.05" customHeight="1">
      <c r="K217" s="401"/>
      <c r="L217" s="401"/>
      <c r="N217" s="401"/>
      <c r="O217" s="401"/>
      <c r="P217" s="401"/>
      <c r="Q217" s="401"/>
      <c r="R217" s="401"/>
      <c r="S217" s="401"/>
      <c r="T217" s="401"/>
      <c r="U217" s="401"/>
      <c r="V217" s="401"/>
      <c r="W217" s="401"/>
      <c r="X217" s="401"/>
    </row>
    <row r="218" spans="11:24" ht="19.05" customHeight="1">
      <c r="K218" s="401"/>
      <c r="L218" s="401"/>
      <c r="N218" s="401"/>
      <c r="O218" s="401"/>
      <c r="P218" s="401"/>
      <c r="Q218" s="401"/>
      <c r="R218" s="401"/>
      <c r="S218" s="401"/>
      <c r="T218" s="401"/>
      <c r="U218" s="401"/>
      <c r="V218" s="401"/>
      <c r="W218" s="401"/>
      <c r="X218" s="401"/>
    </row>
    <row r="219" spans="11:24" ht="19.05" customHeight="1">
      <c r="K219" s="401"/>
      <c r="L219" s="401"/>
      <c r="N219" s="401"/>
      <c r="O219" s="401"/>
      <c r="P219" s="401"/>
      <c r="Q219" s="401"/>
      <c r="R219" s="401"/>
      <c r="S219" s="401"/>
      <c r="T219" s="401"/>
      <c r="U219" s="401"/>
      <c r="V219" s="401"/>
      <c r="W219" s="401"/>
      <c r="X219" s="401"/>
    </row>
    <row r="220" spans="11:24" ht="19.05" customHeight="1">
      <c r="K220" s="401"/>
      <c r="L220" s="401"/>
      <c r="N220" s="401"/>
      <c r="O220" s="401"/>
      <c r="P220" s="401"/>
      <c r="Q220" s="401"/>
      <c r="R220" s="401"/>
      <c r="S220" s="401"/>
      <c r="T220" s="401"/>
      <c r="U220" s="401"/>
      <c r="V220" s="401"/>
      <c r="W220" s="401"/>
      <c r="X220" s="401"/>
    </row>
    <row r="221" spans="11:24" ht="19.05" customHeight="1">
      <c r="K221" s="401"/>
      <c r="L221" s="401"/>
      <c r="N221" s="401"/>
      <c r="O221" s="401"/>
      <c r="P221" s="401"/>
      <c r="Q221" s="401"/>
      <c r="R221" s="401"/>
      <c r="S221" s="401"/>
      <c r="T221" s="401"/>
      <c r="U221" s="401"/>
      <c r="V221" s="401"/>
      <c r="W221" s="401"/>
      <c r="X221" s="401"/>
    </row>
    <row r="222" spans="11:24" ht="19.05" customHeight="1">
      <c r="K222" s="401"/>
      <c r="L222" s="401"/>
      <c r="N222" s="401"/>
      <c r="O222" s="401"/>
      <c r="P222" s="401"/>
      <c r="Q222" s="401"/>
      <c r="R222" s="401"/>
      <c r="S222" s="401"/>
      <c r="T222" s="401"/>
      <c r="U222" s="401"/>
      <c r="V222" s="401"/>
      <c r="W222" s="401"/>
      <c r="X222" s="401"/>
    </row>
    <row r="223" spans="11:24" ht="19.05" customHeight="1">
      <c r="K223" s="401"/>
      <c r="L223" s="401"/>
      <c r="N223" s="401"/>
      <c r="O223" s="401"/>
      <c r="P223" s="401"/>
      <c r="Q223" s="401"/>
      <c r="R223" s="401"/>
      <c r="S223" s="401"/>
      <c r="T223" s="401"/>
      <c r="U223" s="401"/>
      <c r="V223" s="401"/>
      <c r="W223" s="401"/>
      <c r="X223" s="401"/>
    </row>
    <row r="224" spans="11:24" ht="19.05" customHeight="1">
      <c r="K224" s="401"/>
      <c r="L224" s="401"/>
      <c r="N224" s="401"/>
      <c r="O224" s="401"/>
      <c r="P224" s="401"/>
      <c r="Q224" s="401"/>
      <c r="R224" s="401"/>
      <c r="S224" s="401"/>
      <c r="T224" s="401"/>
      <c r="U224" s="401"/>
      <c r="V224" s="401"/>
      <c r="W224" s="401"/>
      <c r="X224" s="401"/>
    </row>
    <row r="225" spans="11:24" ht="19.05" customHeight="1">
      <c r="K225" s="401"/>
      <c r="L225" s="401"/>
      <c r="N225" s="401"/>
      <c r="O225" s="401"/>
      <c r="P225" s="401"/>
      <c r="Q225" s="401"/>
      <c r="R225" s="401"/>
      <c r="S225" s="401"/>
      <c r="T225" s="401"/>
      <c r="U225" s="401"/>
      <c r="V225" s="401"/>
      <c r="W225" s="401"/>
      <c r="X225" s="401"/>
    </row>
    <row r="226" spans="11:24" ht="19.05" customHeight="1">
      <c r="K226" s="401"/>
      <c r="L226" s="401"/>
      <c r="N226" s="401"/>
      <c r="O226" s="401"/>
      <c r="P226" s="401"/>
      <c r="Q226" s="401"/>
      <c r="R226" s="401"/>
      <c r="S226" s="401"/>
      <c r="T226" s="401"/>
      <c r="U226" s="401"/>
      <c r="V226" s="401"/>
      <c r="W226" s="401"/>
      <c r="X226" s="401"/>
    </row>
    <row r="227" spans="11:24" ht="19.05" customHeight="1">
      <c r="K227" s="401"/>
      <c r="L227" s="401"/>
      <c r="N227" s="401"/>
      <c r="O227" s="401"/>
      <c r="P227" s="401"/>
      <c r="Q227" s="401"/>
      <c r="R227" s="401"/>
      <c r="S227" s="401"/>
      <c r="T227" s="401"/>
      <c r="U227" s="401"/>
      <c r="V227" s="401"/>
      <c r="W227" s="401"/>
      <c r="X227" s="401"/>
    </row>
    <row r="228" spans="11:24" ht="19.05" customHeight="1">
      <c r="K228" s="401"/>
      <c r="L228" s="401"/>
      <c r="N228" s="401"/>
      <c r="O228" s="401"/>
      <c r="P228" s="401"/>
      <c r="Q228" s="401"/>
      <c r="R228" s="401"/>
      <c r="S228" s="401"/>
      <c r="T228" s="401"/>
      <c r="U228" s="401"/>
      <c r="V228" s="401"/>
      <c r="W228" s="401"/>
      <c r="X228" s="401"/>
    </row>
    <row r="229" spans="11:24" ht="19.05" customHeight="1">
      <c r="K229" s="401"/>
      <c r="L229" s="401"/>
      <c r="N229" s="401"/>
      <c r="O229" s="401"/>
      <c r="P229" s="401"/>
      <c r="Q229" s="401"/>
      <c r="R229" s="401"/>
      <c r="S229" s="401"/>
      <c r="T229" s="401"/>
      <c r="U229" s="401"/>
      <c r="V229" s="401"/>
      <c r="W229" s="401"/>
      <c r="X229" s="401"/>
    </row>
    <row r="230" spans="11:24" ht="19.05" customHeight="1">
      <c r="K230" s="401"/>
      <c r="L230" s="401"/>
      <c r="N230" s="401"/>
      <c r="O230" s="401"/>
      <c r="P230" s="401"/>
      <c r="Q230" s="401"/>
      <c r="R230" s="401"/>
      <c r="S230" s="401"/>
      <c r="T230" s="401"/>
      <c r="U230" s="401"/>
      <c r="V230" s="401"/>
      <c r="W230" s="401"/>
      <c r="X230" s="401"/>
    </row>
    <row r="231" spans="11:24" ht="19.05" customHeight="1">
      <c r="K231" s="401"/>
      <c r="L231" s="401"/>
      <c r="N231" s="401"/>
      <c r="O231" s="401"/>
      <c r="P231" s="401"/>
      <c r="Q231" s="401"/>
      <c r="R231" s="401"/>
      <c r="S231" s="401"/>
      <c r="T231" s="401"/>
      <c r="U231" s="401"/>
      <c r="V231" s="401"/>
      <c r="W231" s="401"/>
      <c r="X231" s="401"/>
    </row>
    <row r="232" spans="11:24" ht="19.05" customHeight="1">
      <c r="K232" s="401"/>
      <c r="L232" s="401"/>
      <c r="N232" s="401"/>
      <c r="O232" s="401"/>
      <c r="P232" s="401"/>
      <c r="Q232" s="401"/>
      <c r="R232" s="401"/>
      <c r="S232" s="401"/>
      <c r="T232" s="401"/>
      <c r="U232" s="401"/>
      <c r="V232" s="401"/>
      <c r="W232" s="401"/>
      <c r="X232" s="401"/>
    </row>
    <row r="233" spans="11:24" ht="19.05" customHeight="1">
      <c r="K233" s="401"/>
      <c r="L233" s="401"/>
      <c r="N233" s="401"/>
      <c r="O233" s="401"/>
      <c r="P233" s="401"/>
      <c r="Q233" s="401"/>
      <c r="R233" s="401"/>
      <c r="S233" s="401"/>
      <c r="T233" s="401"/>
      <c r="U233" s="401"/>
      <c r="V233" s="401"/>
      <c r="W233" s="401"/>
      <c r="X233" s="401"/>
    </row>
    <row r="234" spans="11:24" ht="19.05" customHeight="1">
      <c r="K234" s="401"/>
      <c r="L234" s="401"/>
      <c r="N234" s="401"/>
      <c r="O234" s="401"/>
      <c r="P234" s="401"/>
      <c r="Q234" s="401"/>
      <c r="R234" s="401"/>
      <c r="S234" s="401"/>
      <c r="T234" s="401"/>
      <c r="U234" s="401"/>
      <c r="V234" s="401"/>
      <c r="W234" s="401"/>
      <c r="X234" s="401"/>
    </row>
    <row r="235" spans="11:24" ht="19.05" customHeight="1">
      <c r="K235" s="401"/>
      <c r="L235" s="401"/>
      <c r="N235" s="401"/>
      <c r="O235" s="401"/>
      <c r="P235" s="401"/>
      <c r="Q235" s="401"/>
      <c r="R235" s="401"/>
      <c r="S235" s="401"/>
      <c r="T235" s="401"/>
      <c r="U235" s="401"/>
      <c r="V235" s="401"/>
      <c r="W235" s="401"/>
      <c r="X235" s="401"/>
    </row>
    <row r="236" spans="11:24" ht="19.05" customHeight="1">
      <c r="K236" s="401"/>
      <c r="L236" s="401"/>
      <c r="N236" s="401"/>
      <c r="O236" s="401"/>
      <c r="P236" s="401"/>
      <c r="Q236" s="401"/>
      <c r="R236" s="401"/>
      <c r="S236" s="401"/>
      <c r="T236" s="401"/>
      <c r="U236" s="401"/>
      <c r="V236" s="401"/>
      <c r="W236" s="401"/>
      <c r="X236" s="401"/>
    </row>
    <row r="237" spans="11:24" ht="19.05" customHeight="1">
      <c r="K237" s="401"/>
      <c r="L237" s="401"/>
      <c r="N237" s="401"/>
      <c r="O237" s="401"/>
      <c r="P237" s="401"/>
      <c r="Q237" s="401"/>
      <c r="R237" s="401"/>
      <c r="S237" s="401"/>
      <c r="T237" s="401"/>
      <c r="U237" s="401"/>
      <c r="V237" s="401"/>
      <c r="W237" s="401"/>
      <c r="X237" s="401"/>
    </row>
    <row r="238" spans="11:24" ht="19.05" customHeight="1">
      <c r="K238" s="401"/>
      <c r="L238" s="401"/>
      <c r="N238" s="401"/>
      <c r="O238" s="401"/>
      <c r="P238" s="401"/>
      <c r="Q238" s="401"/>
      <c r="R238" s="401"/>
      <c r="S238" s="401"/>
      <c r="T238" s="401"/>
      <c r="U238" s="401"/>
      <c r="V238" s="401"/>
      <c r="W238" s="401"/>
      <c r="X238" s="401"/>
    </row>
    <row r="239" spans="11:24" ht="19.05" customHeight="1">
      <c r="K239" s="401"/>
      <c r="L239" s="401"/>
      <c r="N239" s="401"/>
      <c r="O239" s="401"/>
      <c r="P239" s="401"/>
      <c r="Q239" s="401"/>
      <c r="R239" s="401"/>
      <c r="S239" s="401"/>
      <c r="T239" s="401"/>
      <c r="U239" s="401"/>
      <c r="V239" s="401"/>
      <c r="W239" s="401"/>
      <c r="X239" s="401"/>
    </row>
    <row r="240" spans="11:24" ht="19.05" customHeight="1">
      <c r="K240" s="401"/>
      <c r="L240" s="401"/>
      <c r="N240" s="401"/>
      <c r="O240" s="401"/>
      <c r="P240" s="401"/>
      <c r="Q240" s="401"/>
      <c r="R240" s="401"/>
      <c r="S240" s="401"/>
      <c r="T240" s="401"/>
      <c r="U240" s="401"/>
      <c r="V240" s="401"/>
      <c r="W240" s="401"/>
      <c r="X240" s="401"/>
    </row>
    <row r="241" spans="11:24" ht="19.05" customHeight="1">
      <c r="K241" s="401"/>
      <c r="L241" s="401"/>
      <c r="N241" s="401"/>
      <c r="O241" s="401"/>
      <c r="P241" s="401"/>
      <c r="Q241" s="401"/>
      <c r="R241" s="401"/>
      <c r="S241" s="401"/>
      <c r="T241" s="401"/>
      <c r="U241" s="401"/>
      <c r="V241" s="401"/>
      <c r="W241" s="401"/>
      <c r="X241" s="401"/>
    </row>
    <row r="242" spans="11:24" ht="19.05" customHeight="1">
      <c r="K242" s="401"/>
      <c r="L242" s="401"/>
      <c r="N242" s="401"/>
      <c r="O242" s="401"/>
      <c r="P242" s="401"/>
      <c r="Q242" s="401"/>
      <c r="R242" s="401"/>
      <c r="S242" s="401"/>
      <c r="T242" s="401"/>
      <c r="U242" s="401"/>
      <c r="V242" s="401"/>
      <c r="W242" s="401"/>
      <c r="X242" s="401"/>
    </row>
    <row r="243" spans="11:24" ht="19.05" customHeight="1">
      <c r="K243" s="401"/>
      <c r="L243" s="401"/>
      <c r="N243" s="401"/>
      <c r="O243" s="401"/>
      <c r="P243" s="401"/>
      <c r="Q243" s="401"/>
      <c r="R243" s="401"/>
      <c r="S243" s="401"/>
      <c r="T243" s="401"/>
      <c r="U243" s="401"/>
      <c r="V243" s="401"/>
      <c r="W243" s="401"/>
      <c r="X243" s="401"/>
    </row>
    <row r="244" spans="11:24" ht="19.05" customHeight="1">
      <c r="K244" s="401"/>
      <c r="L244" s="401"/>
      <c r="N244" s="401"/>
      <c r="O244" s="401"/>
      <c r="P244" s="401"/>
      <c r="Q244" s="401"/>
      <c r="R244" s="401"/>
      <c r="S244" s="401"/>
      <c r="T244" s="401"/>
      <c r="U244" s="401"/>
      <c r="V244" s="401"/>
      <c r="W244" s="401"/>
      <c r="X244" s="401"/>
    </row>
    <row r="245" spans="11:24" ht="19.05" customHeight="1">
      <c r="K245" s="401"/>
      <c r="L245" s="401"/>
      <c r="N245" s="401"/>
      <c r="O245" s="401"/>
      <c r="P245" s="401"/>
      <c r="Q245" s="401"/>
      <c r="R245" s="401"/>
      <c r="S245" s="401"/>
      <c r="T245" s="401"/>
      <c r="U245" s="401"/>
      <c r="V245" s="401"/>
      <c r="W245" s="401"/>
      <c r="X245" s="401"/>
    </row>
    <row r="246" spans="11:24" ht="19.05" customHeight="1">
      <c r="K246" s="401"/>
      <c r="L246" s="401"/>
      <c r="N246" s="401"/>
      <c r="O246" s="401"/>
      <c r="P246" s="401"/>
      <c r="Q246" s="401"/>
      <c r="R246" s="401"/>
      <c r="S246" s="401"/>
      <c r="T246" s="401"/>
      <c r="U246" s="401"/>
      <c r="V246" s="401"/>
      <c r="W246" s="401"/>
      <c r="X246" s="401"/>
    </row>
    <row r="247" spans="11:24" ht="19.05" customHeight="1">
      <c r="K247" s="401"/>
      <c r="L247" s="401"/>
      <c r="N247" s="401"/>
      <c r="O247" s="401"/>
      <c r="P247" s="401"/>
      <c r="Q247" s="401"/>
      <c r="R247" s="401"/>
      <c r="S247" s="401"/>
      <c r="T247" s="401"/>
      <c r="U247" s="401"/>
      <c r="V247" s="401"/>
      <c r="W247" s="401"/>
      <c r="X247" s="401"/>
    </row>
    <row r="248" spans="11:24" ht="19.05" customHeight="1">
      <c r="K248" s="401"/>
      <c r="L248" s="401"/>
      <c r="N248" s="401"/>
      <c r="O248" s="401"/>
      <c r="P248" s="401"/>
      <c r="Q248" s="401"/>
      <c r="R248" s="401"/>
      <c r="S248" s="401"/>
      <c r="T248" s="401"/>
      <c r="U248" s="401"/>
      <c r="V248" s="401"/>
      <c r="W248" s="401"/>
      <c r="X248" s="401"/>
    </row>
    <row r="249" spans="11:24" ht="19.05" customHeight="1">
      <c r="K249" s="401"/>
      <c r="L249" s="401"/>
      <c r="N249" s="401"/>
      <c r="O249" s="401"/>
      <c r="P249" s="401"/>
      <c r="Q249" s="401"/>
      <c r="R249" s="401"/>
      <c r="S249" s="401"/>
      <c r="T249" s="401"/>
      <c r="U249" s="401"/>
      <c r="V249" s="401"/>
      <c r="W249" s="401"/>
      <c r="X249" s="401"/>
    </row>
    <row r="250" spans="11:24" ht="19.05" customHeight="1">
      <c r="K250" s="401"/>
      <c r="L250" s="401"/>
      <c r="N250" s="401"/>
      <c r="O250" s="401"/>
      <c r="P250" s="401"/>
      <c r="Q250" s="401"/>
      <c r="R250" s="401"/>
      <c r="S250" s="401"/>
      <c r="T250" s="401"/>
      <c r="U250" s="401"/>
      <c r="V250" s="401"/>
      <c r="W250" s="401"/>
      <c r="X250" s="401"/>
    </row>
    <row r="251" spans="11:24" ht="19.05" customHeight="1">
      <c r="K251" s="401"/>
      <c r="L251" s="401"/>
      <c r="N251" s="401"/>
      <c r="O251" s="401"/>
      <c r="P251" s="401"/>
      <c r="Q251" s="401"/>
      <c r="R251" s="401"/>
      <c r="S251" s="401"/>
      <c r="T251" s="401"/>
      <c r="U251" s="401"/>
      <c r="V251" s="401"/>
      <c r="W251" s="401"/>
      <c r="X251" s="401"/>
    </row>
    <row r="252" spans="11:24" ht="19.05" customHeight="1">
      <c r="K252" s="401"/>
      <c r="L252" s="401"/>
      <c r="N252" s="401"/>
      <c r="O252" s="401"/>
      <c r="P252" s="401"/>
      <c r="Q252" s="401"/>
      <c r="R252" s="401"/>
      <c r="S252" s="401"/>
      <c r="T252" s="401"/>
      <c r="U252" s="401"/>
      <c r="V252" s="401"/>
      <c r="W252" s="401"/>
      <c r="X252" s="401"/>
    </row>
    <row r="253" spans="11:24" ht="19.05" customHeight="1">
      <c r="K253" s="401"/>
      <c r="L253" s="401"/>
      <c r="N253" s="401"/>
      <c r="O253" s="401"/>
      <c r="P253" s="401"/>
      <c r="Q253" s="401"/>
      <c r="R253" s="401"/>
      <c r="S253" s="401"/>
      <c r="T253" s="401"/>
      <c r="U253" s="401"/>
      <c r="V253" s="401"/>
      <c r="W253" s="401"/>
      <c r="X253" s="401"/>
    </row>
    <row r="254" spans="11:24" ht="19.05" customHeight="1">
      <c r="K254" s="401"/>
      <c r="L254" s="401"/>
      <c r="N254" s="401"/>
      <c r="O254" s="401"/>
      <c r="P254" s="401"/>
      <c r="Q254" s="401"/>
      <c r="R254" s="401"/>
      <c r="S254" s="401"/>
      <c r="T254" s="401"/>
      <c r="U254" s="401"/>
      <c r="V254" s="401"/>
      <c r="W254" s="401"/>
      <c r="X254" s="401"/>
    </row>
    <row r="255" spans="11:24" ht="19.05" customHeight="1">
      <c r="K255" s="401"/>
      <c r="L255" s="401"/>
      <c r="N255" s="401"/>
      <c r="O255" s="401"/>
      <c r="P255" s="401"/>
      <c r="Q255" s="401"/>
      <c r="R255" s="401"/>
      <c r="S255" s="401"/>
      <c r="T255" s="401"/>
      <c r="U255" s="401"/>
      <c r="V255" s="401"/>
      <c r="W255" s="401"/>
      <c r="X255" s="401"/>
    </row>
    <row r="256" spans="11:24" ht="19.05" customHeight="1">
      <c r="K256" s="401"/>
      <c r="L256" s="401"/>
      <c r="N256" s="401"/>
      <c r="O256" s="401"/>
      <c r="P256" s="401"/>
      <c r="Q256" s="401"/>
      <c r="R256" s="401"/>
      <c r="S256" s="401"/>
      <c r="T256" s="401"/>
      <c r="U256" s="401"/>
      <c r="V256" s="401"/>
      <c r="W256" s="401"/>
      <c r="X256" s="401"/>
    </row>
    <row r="257" spans="11:24" ht="19.05" customHeight="1">
      <c r="K257" s="401"/>
      <c r="L257" s="401"/>
      <c r="N257" s="401"/>
      <c r="O257" s="401"/>
      <c r="P257" s="401"/>
      <c r="Q257" s="401"/>
      <c r="R257" s="401"/>
      <c r="S257" s="401"/>
      <c r="T257" s="401"/>
      <c r="U257" s="401"/>
      <c r="V257" s="401"/>
      <c r="W257" s="401"/>
      <c r="X257" s="401"/>
    </row>
    <row r="258" spans="11:24" ht="19.05" customHeight="1">
      <c r="K258" s="401"/>
      <c r="L258" s="401"/>
      <c r="N258" s="401"/>
      <c r="O258" s="401"/>
      <c r="P258" s="401"/>
      <c r="Q258" s="401"/>
      <c r="R258" s="401"/>
      <c r="S258" s="401"/>
      <c r="T258" s="401"/>
      <c r="U258" s="401"/>
      <c r="V258" s="401"/>
      <c r="W258" s="401"/>
      <c r="X258" s="401"/>
    </row>
    <row r="259" spans="11:24" ht="19.05" customHeight="1">
      <c r="K259" s="401"/>
      <c r="L259" s="401"/>
      <c r="N259" s="401"/>
      <c r="O259" s="401"/>
      <c r="P259" s="401"/>
      <c r="Q259" s="401"/>
      <c r="R259" s="401"/>
      <c r="S259" s="401"/>
      <c r="T259" s="401"/>
      <c r="U259" s="401"/>
      <c r="V259" s="401"/>
      <c r="W259" s="401"/>
      <c r="X259" s="401"/>
    </row>
    <row r="260" spans="11:24" ht="19.05" customHeight="1">
      <c r="K260" s="401"/>
      <c r="L260" s="401"/>
      <c r="N260" s="401"/>
      <c r="O260" s="401"/>
      <c r="P260" s="401"/>
      <c r="Q260" s="401"/>
      <c r="R260" s="401"/>
      <c r="S260" s="401"/>
      <c r="T260" s="401"/>
      <c r="U260" s="401"/>
      <c r="V260" s="401"/>
      <c r="W260" s="401"/>
      <c r="X260" s="401"/>
    </row>
    <row r="261" spans="11:24" ht="19.05" customHeight="1">
      <c r="K261" s="401"/>
      <c r="L261" s="401"/>
      <c r="N261" s="401"/>
      <c r="O261" s="401"/>
      <c r="P261" s="401"/>
      <c r="Q261" s="401"/>
      <c r="R261" s="401"/>
      <c r="S261" s="401"/>
      <c r="T261" s="401"/>
      <c r="U261" s="401"/>
      <c r="V261" s="401"/>
      <c r="W261" s="401"/>
      <c r="X261" s="401"/>
    </row>
    <row r="262" spans="11:24" ht="19.05" customHeight="1">
      <c r="K262" s="401"/>
      <c r="L262" s="401"/>
      <c r="N262" s="401"/>
      <c r="O262" s="401"/>
      <c r="P262" s="401"/>
      <c r="Q262" s="401"/>
      <c r="R262" s="401"/>
      <c r="S262" s="401"/>
      <c r="T262" s="401"/>
      <c r="U262" s="401"/>
      <c r="V262" s="401"/>
      <c r="W262" s="401"/>
      <c r="X262" s="401"/>
    </row>
    <row r="263" spans="11:24" ht="19.05" customHeight="1">
      <c r="K263" s="401"/>
      <c r="L263" s="401"/>
      <c r="N263" s="401"/>
      <c r="O263" s="401"/>
      <c r="P263" s="401"/>
      <c r="Q263" s="401"/>
      <c r="R263" s="401"/>
      <c r="S263" s="401"/>
      <c r="T263" s="401"/>
      <c r="U263" s="401"/>
      <c r="V263" s="401"/>
      <c r="W263" s="401"/>
      <c r="X263" s="401"/>
    </row>
    <row r="264" spans="11:24" ht="19.05" customHeight="1">
      <c r="K264" s="401"/>
      <c r="L264" s="401"/>
      <c r="N264" s="401"/>
      <c r="O264" s="401"/>
      <c r="P264" s="401"/>
      <c r="Q264" s="401"/>
      <c r="R264" s="401"/>
      <c r="S264" s="401"/>
      <c r="T264" s="401"/>
      <c r="U264" s="401"/>
      <c r="V264" s="401"/>
      <c r="W264" s="401"/>
      <c r="X264" s="401"/>
    </row>
    <row r="265" spans="11:24" ht="19.05" customHeight="1">
      <c r="K265" s="401"/>
      <c r="L265" s="401"/>
      <c r="N265" s="401"/>
      <c r="O265" s="401"/>
      <c r="P265" s="401"/>
      <c r="Q265" s="401"/>
      <c r="R265" s="401"/>
      <c r="S265" s="401"/>
      <c r="T265" s="401"/>
      <c r="U265" s="401"/>
      <c r="V265" s="401"/>
      <c r="W265" s="401"/>
      <c r="X265" s="401"/>
    </row>
    <row r="266" spans="11:24" ht="19.05" customHeight="1">
      <c r="K266" s="401"/>
      <c r="L266" s="401"/>
      <c r="N266" s="401"/>
      <c r="O266" s="401"/>
      <c r="P266" s="401"/>
      <c r="Q266" s="401"/>
      <c r="R266" s="401"/>
      <c r="S266" s="401"/>
      <c r="T266" s="401"/>
      <c r="U266" s="401"/>
      <c r="V266" s="401"/>
      <c r="W266" s="401"/>
      <c r="X266" s="401"/>
    </row>
    <row r="267" spans="11:24" ht="19.05" customHeight="1">
      <c r="K267" s="401"/>
      <c r="L267" s="401"/>
      <c r="N267" s="401"/>
      <c r="O267" s="401"/>
      <c r="P267" s="401"/>
      <c r="Q267" s="401"/>
      <c r="R267" s="401"/>
      <c r="S267" s="401"/>
      <c r="T267" s="401"/>
      <c r="U267" s="401"/>
      <c r="V267" s="401"/>
      <c r="W267" s="401"/>
      <c r="X267" s="401"/>
    </row>
    <row r="268" spans="11:24" ht="19.05" customHeight="1">
      <c r="K268" s="401"/>
      <c r="L268" s="401"/>
      <c r="N268" s="401"/>
      <c r="O268" s="401"/>
      <c r="P268" s="401"/>
      <c r="Q268" s="401"/>
      <c r="R268" s="401"/>
      <c r="S268" s="401"/>
      <c r="T268" s="401"/>
      <c r="U268" s="401"/>
      <c r="V268" s="401"/>
      <c r="W268" s="401"/>
      <c r="X268" s="401"/>
    </row>
    <row r="269" spans="11:24" ht="19.05" customHeight="1">
      <c r="K269" s="401"/>
      <c r="L269" s="401"/>
      <c r="N269" s="401"/>
      <c r="O269" s="401"/>
      <c r="P269" s="401"/>
      <c r="Q269" s="401"/>
      <c r="R269" s="401"/>
      <c r="S269" s="401"/>
      <c r="T269" s="401"/>
      <c r="U269" s="401"/>
      <c r="V269" s="401"/>
      <c r="W269" s="401"/>
      <c r="X269" s="401"/>
    </row>
    <row r="270" spans="11:24" ht="19.05" customHeight="1">
      <c r="K270" s="401"/>
      <c r="L270" s="401"/>
      <c r="N270" s="401"/>
      <c r="O270" s="401"/>
      <c r="P270" s="401"/>
      <c r="Q270" s="401"/>
      <c r="R270" s="401"/>
      <c r="S270" s="401"/>
      <c r="T270" s="401"/>
      <c r="U270" s="401"/>
      <c r="V270" s="401"/>
      <c r="W270" s="401"/>
      <c r="X270" s="401"/>
    </row>
    <row r="271" spans="11:24" ht="19.05" customHeight="1">
      <c r="K271" s="401"/>
      <c r="L271" s="401"/>
      <c r="N271" s="401"/>
      <c r="O271" s="401"/>
      <c r="P271" s="401"/>
      <c r="Q271" s="401"/>
      <c r="R271" s="401"/>
      <c r="S271" s="401"/>
      <c r="T271" s="401"/>
      <c r="U271" s="401"/>
      <c r="V271" s="401"/>
      <c r="W271" s="401"/>
      <c r="X271" s="401"/>
    </row>
    <row r="272" spans="11:24" ht="19.05" customHeight="1">
      <c r="K272" s="401"/>
      <c r="L272" s="401"/>
      <c r="N272" s="401"/>
      <c r="O272" s="401"/>
      <c r="P272" s="401"/>
      <c r="Q272" s="401"/>
      <c r="R272" s="401"/>
      <c r="S272" s="401"/>
      <c r="T272" s="401"/>
      <c r="U272" s="401"/>
      <c r="V272" s="401"/>
      <c r="W272" s="401"/>
      <c r="X272" s="401"/>
    </row>
    <row r="273" spans="11:24" ht="19.05" customHeight="1">
      <c r="K273" s="401"/>
      <c r="L273" s="401"/>
      <c r="N273" s="401"/>
      <c r="O273" s="401"/>
      <c r="P273" s="401"/>
      <c r="Q273" s="401"/>
      <c r="R273" s="401"/>
      <c r="S273" s="401"/>
      <c r="T273" s="401"/>
      <c r="U273" s="401"/>
      <c r="V273" s="401"/>
      <c r="W273" s="401"/>
      <c r="X273" s="401"/>
    </row>
    <row r="274" spans="11:24" ht="19.05" customHeight="1">
      <c r="K274" s="401"/>
      <c r="L274" s="401"/>
      <c r="N274" s="401"/>
      <c r="O274" s="401"/>
      <c r="P274" s="401"/>
      <c r="Q274" s="401"/>
      <c r="R274" s="401"/>
      <c r="S274" s="401"/>
      <c r="T274" s="401"/>
      <c r="U274" s="401"/>
      <c r="V274" s="401"/>
      <c r="W274" s="401"/>
      <c r="X274" s="401"/>
    </row>
    <row r="275" spans="11:24" ht="19.05" customHeight="1">
      <c r="K275" s="401"/>
      <c r="L275" s="401"/>
      <c r="N275" s="401"/>
      <c r="O275" s="401"/>
      <c r="P275" s="401"/>
      <c r="Q275" s="401"/>
      <c r="R275" s="401"/>
      <c r="S275" s="401"/>
      <c r="T275" s="401"/>
      <c r="U275" s="401"/>
      <c r="V275" s="401"/>
      <c r="W275" s="401"/>
      <c r="X275" s="401"/>
    </row>
    <row r="276" spans="11:24" ht="19.05" customHeight="1">
      <c r="K276" s="401"/>
      <c r="L276" s="401"/>
      <c r="N276" s="401"/>
      <c r="O276" s="401"/>
      <c r="P276" s="401"/>
      <c r="Q276" s="401"/>
      <c r="R276" s="401"/>
      <c r="S276" s="401"/>
      <c r="T276" s="401"/>
      <c r="U276" s="401"/>
      <c r="V276" s="401"/>
      <c r="W276" s="401"/>
      <c r="X276" s="401"/>
    </row>
    <row r="277" spans="11:24" ht="19.05" customHeight="1">
      <c r="K277" s="401"/>
      <c r="L277" s="401"/>
      <c r="N277" s="401"/>
      <c r="O277" s="401"/>
      <c r="P277" s="401"/>
      <c r="Q277" s="401"/>
      <c r="R277" s="401"/>
      <c r="S277" s="401"/>
      <c r="T277" s="401"/>
      <c r="U277" s="401"/>
      <c r="V277" s="401"/>
      <c r="W277" s="401"/>
      <c r="X277" s="401"/>
    </row>
    <row r="278" spans="11:24" ht="19.05" customHeight="1">
      <c r="K278" s="401"/>
      <c r="L278" s="401"/>
      <c r="N278" s="401"/>
      <c r="O278" s="401"/>
      <c r="P278" s="401"/>
      <c r="Q278" s="401"/>
      <c r="R278" s="401"/>
      <c r="S278" s="401"/>
      <c r="T278" s="401"/>
      <c r="U278" s="401"/>
      <c r="V278" s="401"/>
      <c r="W278" s="401"/>
      <c r="X278" s="401"/>
    </row>
    <row r="279" spans="11:24" ht="19.05" customHeight="1">
      <c r="K279" s="401"/>
      <c r="L279" s="401"/>
      <c r="N279" s="401"/>
      <c r="O279" s="401"/>
      <c r="P279" s="401"/>
      <c r="Q279" s="401"/>
      <c r="R279" s="401"/>
      <c r="S279" s="401"/>
      <c r="T279" s="401"/>
      <c r="U279" s="401"/>
      <c r="V279" s="401"/>
      <c r="W279" s="401"/>
      <c r="X279" s="401"/>
    </row>
    <row r="280" spans="11:24" ht="19.05" customHeight="1">
      <c r="K280" s="401"/>
      <c r="L280" s="401"/>
      <c r="N280" s="401"/>
      <c r="O280" s="401"/>
      <c r="P280" s="401"/>
      <c r="Q280" s="401"/>
      <c r="R280" s="401"/>
      <c r="S280" s="401"/>
      <c r="T280" s="401"/>
      <c r="U280" s="401"/>
      <c r="V280" s="401"/>
      <c r="W280" s="401"/>
      <c r="X280" s="401"/>
    </row>
    <row r="281" spans="11:24" ht="19.05" customHeight="1">
      <c r="K281" s="401"/>
      <c r="L281" s="401"/>
      <c r="N281" s="401"/>
      <c r="O281" s="401"/>
      <c r="P281" s="401"/>
      <c r="Q281" s="401"/>
      <c r="R281" s="401"/>
      <c r="S281" s="401"/>
      <c r="T281" s="401"/>
      <c r="U281" s="401"/>
      <c r="V281" s="401"/>
      <c r="W281" s="401"/>
      <c r="X281" s="401"/>
    </row>
    <row r="282" spans="11:24" ht="19.05" customHeight="1">
      <c r="K282" s="401"/>
      <c r="L282" s="401"/>
      <c r="N282" s="401"/>
      <c r="O282" s="401"/>
      <c r="P282" s="401"/>
      <c r="Q282" s="401"/>
      <c r="R282" s="401"/>
      <c r="S282" s="401"/>
      <c r="T282" s="401"/>
      <c r="U282" s="401"/>
      <c r="V282" s="401"/>
      <c r="W282" s="401"/>
      <c r="X282" s="401"/>
    </row>
    <row r="283" spans="11:24" ht="19.05" customHeight="1">
      <c r="K283" s="401"/>
      <c r="L283" s="401"/>
      <c r="N283" s="401"/>
      <c r="O283" s="401"/>
      <c r="P283" s="401"/>
      <c r="Q283" s="401"/>
      <c r="R283" s="401"/>
      <c r="S283" s="401"/>
      <c r="T283" s="401"/>
      <c r="U283" s="401"/>
      <c r="V283" s="401"/>
      <c r="W283" s="401"/>
      <c r="X283" s="401"/>
    </row>
    <row r="284" spans="11:24" ht="19.05" customHeight="1">
      <c r="K284" s="401"/>
      <c r="L284" s="401"/>
      <c r="N284" s="401"/>
      <c r="O284" s="401"/>
      <c r="P284" s="401"/>
      <c r="Q284" s="401"/>
      <c r="R284" s="401"/>
      <c r="S284" s="401"/>
      <c r="T284" s="401"/>
      <c r="U284" s="401"/>
      <c r="V284" s="401"/>
      <c r="W284" s="401"/>
      <c r="X284" s="401"/>
    </row>
    <row r="285" spans="11:24" ht="19.05" customHeight="1">
      <c r="K285" s="401"/>
      <c r="L285" s="401"/>
      <c r="N285" s="401"/>
      <c r="O285" s="401"/>
      <c r="P285" s="401"/>
      <c r="Q285" s="401"/>
      <c r="R285" s="401"/>
      <c r="S285" s="401"/>
      <c r="T285" s="401"/>
      <c r="U285" s="401"/>
      <c r="V285" s="401"/>
      <c r="W285" s="401"/>
      <c r="X285" s="401"/>
    </row>
    <row r="286" spans="11:24" ht="19.05" customHeight="1">
      <c r="K286" s="401"/>
      <c r="L286" s="401"/>
      <c r="N286" s="401"/>
      <c r="O286" s="401"/>
      <c r="P286" s="401"/>
      <c r="Q286" s="401"/>
      <c r="R286" s="401"/>
      <c r="S286" s="401"/>
      <c r="T286" s="401"/>
      <c r="U286" s="401"/>
      <c r="V286" s="401"/>
      <c r="W286" s="401"/>
      <c r="X286" s="401"/>
    </row>
    <row r="287" spans="11:24" ht="19.05" customHeight="1">
      <c r="K287" s="401"/>
      <c r="L287" s="401"/>
      <c r="N287" s="401"/>
      <c r="O287" s="401"/>
      <c r="P287" s="401"/>
      <c r="Q287" s="401"/>
      <c r="R287" s="401"/>
      <c r="S287" s="401"/>
      <c r="T287" s="401"/>
      <c r="U287" s="401"/>
      <c r="V287" s="401"/>
      <c r="W287" s="401"/>
      <c r="X287" s="401"/>
    </row>
    <row r="288" spans="11:24" ht="19.05" customHeight="1">
      <c r="K288" s="401"/>
      <c r="L288" s="401"/>
      <c r="N288" s="401"/>
      <c r="O288" s="401"/>
      <c r="P288" s="401"/>
      <c r="Q288" s="401"/>
      <c r="R288" s="401"/>
      <c r="S288" s="401"/>
      <c r="T288" s="401"/>
      <c r="U288" s="401"/>
      <c r="V288" s="401"/>
      <c r="W288" s="401"/>
      <c r="X288" s="401"/>
    </row>
    <row r="289" spans="11:24" ht="19.05" customHeight="1">
      <c r="K289" s="401"/>
      <c r="L289" s="401"/>
      <c r="N289" s="401"/>
      <c r="O289" s="401"/>
      <c r="P289" s="401"/>
      <c r="Q289" s="401"/>
      <c r="R289" s="401"/>
      <c r="S289" s="401"/>
      <c r="T289" s="401"/>
      <c r="U289" s="401"/>
      <c r="V289" s="401"/>
      <c r="W289" s="401"/>
      <c r="X289" s="401"/>
    </row>
    <row r="290" spans="11:24" ht="19.05" customHeight="1">
      <c r="K290" s="401"/>
      <c r="L290" s="401"/>
      <c r="N290" s="401"/>
      <c r="O290" s="401"/>
      <c r="P290" s="401"/>
      <c r="Q290" s="401"/>
      <c r="R290" s="401"/>
      <c r="S290" s="401"/>
      <c r="T290" s="401"/>
      <c r="U290" s="401"/>
      <c r="V290" s="401"/>
      <c r="W290" s="401"/>
      <c r="X290" s="401"/>
    </row>
    <row r="291" spans="11:24" ht="19.05" customHeight="1">
      <c r="K291" s="401"/>
      <c r="L291" s="401"/>
      <c r="N291" s="401"/>
      <c r="O291" s="401"/>
      <c r="P291" s="401"/>
      <c r="Q291" s="401"/>
      <c r="R291" s="401"/>
      <c r="S291" s="401"/>
      <c r="T291" s="401"/>
      <c r="U291" s="401"/>
      <c r="V291" s="401"/>
      <c r="W291" s="401"/>
      <c r="X291" s="401"/>
    </row>
    <row r="292" spans="11:24" ht="19.05" customHeight="1">
      <c r="K292" s="401"/>
      <c r="L292" s="401"/>
      <c r="N292" s="401"/>
      <c r="O292" s="401"/>
      <c r="P292" s="401"/>
      <c r="Q292" s="401"/>
      <c r="R292" s="401"/>
      <c r="S292" s="401"/>
      <c r="T292" s="401"/>
      <c r="U292" s="401"/>
      <c r="V292" s="401"/>
      <c r="W292" s="401"/>
      <c r="X292" s="401"/>
    </row>
    <row r="293" spans="11:24" ht="19.05" customHeight="1">
      <c r="K293" s="401"/>
      <c r="L293" s="401"/>
      <c r="N293" s="401"/>
      <c r="O293" s="401"/>
      <c r="P293" s="401"/>
      <c r="Q293" s="401"/>
      <c r="R293" s="401"/>
      <c r="S293" s="401"/>
      <c r="T293" s="401"/>
      <c r="U293" s="401"/>
      <c r="V293" s="401"/>
      <c r="W293" s="401"/>
      <c r="X293" s="401"/>
    </row>
    <row r="294" spans="11:24" ht="19.05" customHeight="1">
      <c r="K294" s="401"/>
      <c r="L294" s="401"/>
      <c r="N294" s="401"/>
      <c r="O294" s="401"/>
      <c r="P294" s="401"/>
      <c r="Q294" s="401"/>
      <c r="R294" s="401"/>
      <c r="S294" s="401"/>
      <c r="T294" s="401"/>
      <c r="U294" s="401"/>
      <c r="V294" s="401"/>
      <c r="W294" s="401"/>
      <c r="X294" s="401"/>
    </row>
    <row r="295" spans="11:24" ht="19.05" customHeight="1">
      <c r="K295" s="401"/>
      <c r="L295" s="401"/>
      <c r="N295" s="401"/>
      <c r="O295" s="401"/>
      <c r="P295" s="401"/>
      <c r="Q295" s="401"/>
      <c r="R295" s="401"/>
      <c r="S295" s="401"/>
      <c r="T295" s="401"/>
      <c r="U295" s="401"/>
      <c r="V295" s="401"/>
      <c r="W295" s="401"/>
      <c r="X295" s="401"/>
    </row>
    <row r="296" spans="11:24" ht="19.05" customHeight="1">
      <c r="K296" s="401"/>
      <c r="L296" s="401"/>
      <c r="N296" s="401"/>
      <c r="O296" s="401"/>
      <c r="P296" s="401"/>
      <c r="Q296" s="401"/>
      <c r="R296" s="401"/>
      <c r="S296" s="401"/>
      <c r="T296" s="401"/>
      <c r="U296" s="401"/>
      <c r="V296" s="401"/>
      <c r="W296" s="401"/>
      <c r="X296" s="401"/>
    </row>
    <row r="297" spans="11:24" ht="19.05" customHeight="1">
      <c r="K297" s="401"/>
      <c r="L297" s="401"/>
      <c r="N297" s="401"/>
      <c r="O297" s="401"/>
      <c r="P297" s="401"/>
      <c r="Q297" s="401"/>
      <c r="R297" s="401"/>
      <c r="S297" s="401"/>
      <c r="T297" s="401"/>
      <c r="U297" s="401"/>
      <c r="V297" s="401"/>
      <c r="W297" s="401"/>
      <c r="X297" s="401"/>
    </row>
    <row r="298" spans="11:24" ht="19.05" customHeight="1">
      <c r="K298" s="401"/>
      <c r="L298" s="401"/>
      <c r="N298" s="401"/>
      <c r="O298" s="401"/>
      <c r="P298" s="401"/>
      <c r="Q298" s="401"/>
      <c r="R298" s="401"/>
      <c r="S298" s="401"/>
      <c r="T298" s="401"/>
      <c r="U298" s="401"/>
      <c r="V298" s="401"/>
      <c r="W298" s="401"/>
      <c r="X298" s="401"/>
    </row>
    <row r="299" spans="11:24" ht="19.05" customHeight="1">
      <c r="K299" s="401"/>
      <c r="L299" s="401"/>
      <c r="N299" s="401"/>
      <c r="O299" s="401"/>
      <c r="P299" s="401"/>
      <c r="Q299" s="401"/>
      <c r="R299" s="401"/>
      <c r="S299" s="401"/>
      <c r="T299" s="401"/>
      <c r="U299" s="401"/>
      <c r="V299" s="401"/>
      <c r="W299" s="401"/>
      <c r="X299" s="401"/>
    </row>
    <row r="300" spans="11:24" ht="19.05" customHeight="1">
      <c r="K300" s="401"/>
      <c r="L300" s="401"/>
      <c r="N300" s="401"/>
      <c r="O300" s="401"/>
      <c r="P300" s="401"/>
      <c r="Q300" s="401"/>
      <c r="R300" s="401"/>
      <c r="S300" s="401"/>
      <c r="T300" s="401"/>
      <c r="U300" s="401"/>
      <c r="V300" s="401"/>
      <c r="W300" s="401"/>
      <c r="X300" s="401"/>
    </row>
    <row r="301" spans="11:24" ht="19.05" customHeight="1">
      <c r="K301" s="401"/>
      <c r="L301" s="401"/>
      <c r="N301" s="401"/>
      <c r="O301" s="401"/>
      <c r="P301" s="401"/>
      <c r="Q301" s="401"/>
      <c r="R301" s="401"/>
      <c r="S301" s="401"/>
      <c r="T301" s="401"/>
      <c r="U301" s="401"/>
      <c r="V301" s="401"/>
      <c r="W301" s="401"/>
      <c r="X301" s="401"/>
    </row>
    <row r="302" spans="11:24" ht="19.05" customHeight="1">
      <c r="K302" s="401"/>
      <c r="L302" s="401"/>
      <c r="N302" s="401"/>
      <c r="O302" s="401"/>
      <c r="P302" s="401"/>
      <c r="Q302" s="401"/>
      <c r="R302" s="401"/>
      <c r="S302" s="401"/>
      <c r="T302" s="401"/>
      <c r="U302" s="401"/>
      <c r="V302" s="401"/>
      <c r="W302" s="401"/>
      <c r="X302" s="401"/>
    </row>
    <row r="303" spans="11:24" ht="19.05" customHeight="1">
      <c r="K303" s="401"/>
      <c r="L303" s="401"/>
      <c r="N303" s="401"/>
      <c r="O303" s="401"/>
      <c r="P303" s="401"/>
      <c r="Q303" s="401"/>
      <c r="R303" s="401"/>
      <c r="S303" s="401"/>
      <c r="T303" s="401"/>
      <c r="U303" s="401"/>
      <c r="V303" s="401"/>
      <c r="W303" s="401"/>
      <c r="X303" s="401"/>
    </row>
    <row r="304" spans="11:24" ht="19.05" customHeight="1">
      <c r="K304" s="401"/>
      <c r="L304" s="401"/>
      <c r="N304" s="401"/>
      <c r="O304" s="401"/>
      <c r="P304" s="401"/>
      <c r="Q304" s="401"/>
      <c r="R304" s="401"/>
      <c r="S304" s="401"/>
      <c r="T304" s="401"/>
      <c r="U304" s="401"/>
      <c r="V304" s="401"/>
      <c r="W304" s="401"/>
      <c r="X304" s="401"/>
    </row>
    <row r="305" spans="11:24" ht="19.05" customHeight="1">
      <c r="K305" s="401"/>
      <c r="L305" s="401"/>
      <c r="N305" s="401"/>
      <c r="O305" s="401"/>
      <c r="P305" s="401"/>
      <c r="Q305" s="401"/>
      <c r="R305" s="401"/>
      <c r="S305" s="401"/>
      <c r="T305" s="401"/>
      <c r="U305" s="401"/>
      <c r="V305" s="401"/>
      <c r="W305" s="401"/>
      <c r="X305" s="401"/>
    </row>
    <row r="306" spans="11:24" ht="19.05" customHeight="1">
      <c r="K306" s="401"/>
      <c r="L306" s="401"/>
      <c r="N306" s="401"/>
      <c r="O306" s="401"/>
      <c r="P306" s="401"/>
      <c r="Q306" s="401"/>
      <c r="R306" s="401"/>
      <c r="S306" s="401"/>
      <c r="T306" s="401"/>
      <c r="U306" s="401"/>
      <c r="V306" s="401"/>
      <c r="W306" s="401"/>
      <c r="X306" s="401"/>
    </row>
    <row r="307" spans="11:24" ht="19.05" customHeight="1">
      <c r="K307" s="401"/>
      <c r="L307" s="401"/>
      <c r="N307" s="401"/>
      <c r="O307" s="401"/>
      <c r="P307" s="401"/>
      <c r="Q307" s="401"/>
      <c r="R307" s="401"/>
      <c r="S307" s="401"/>
      <c r="T307" s="401"/>
      <c r="U307" s="401"/>
      <c r="V307" s="401"/>
      <c r="W307" s="401"/>
      <c r="X307" s="401"/>
    </row>
    <row r="308" spans="11:24" ht="19.05" customHeight="1">
      <c r="K308" s="401"/>
      <c r="L308" s="401"/>
      <c r="N308" s="401"/>
      <c r="O308" s="401"/>
      <c r="P308" s="401"/>
      <c r="Q308" s="401"/>
      <c r="R308" s="401"/>
      <c r="S308" s="401"/>
      <c r="T308" s="401"/>
      <c r="U308" s="401"/>
      <c r="V308" s="401"/>
      <c r="W308" s="401"/>
      <c r="X308" s="401"/>
    </row>
    <row r="309" spans="11:24" ht="19.05" customHeight="1">
      <c r="K309" s="401"/>
      <c r="L309" s="401"/>
      <c r="N309" s="401"/>
      <c r="O309" s="401"/>
      <c r="P309" s="401"/>
      <c r="Q309" s="401"/>
      <c r="R309" s="401"/>
      <c r="S309" s="401"/>
      <c r="T309" s="401"/>
      <c r="U309" s="401"/>
      <c r="V309" s="401"/>
      <c r="W309" s="401"/>
      <c r="X309" s="401"/>
    </row>
    <row r="310" spans="11:24" ht="19.05" customHeight="1">
      <c r="K310" s="401"/>
      <c r="L310" s="401"/>
      <c r="N310" s="401"/>
      <c r="O310" s="401"/>
      <c r="P310" s="401"/>
      <c r="Q310" s="401"/>
      <c r="R310" s="401"/>
      <c r="S310" s="401"/>
      <c r="T310" s="401"/>
      <c r="U310" s="401"/>
      <c r="V310" s="401"/>
      <c r="W310" s="401"/>
      <c r="X310" s="401"/>
    </row>
    <row r="311" spans="11:24" ht="19.05" customHeight="1">
      <c r="K311" s="401"/>
      <c r="L311" s="401"/>
      <c r="N311" s="401"/>
      <c r="O311" s="401"/>
      <c r="P311" s="401"/>
      <c r="Q311" s="401"/>
      <c r="R311" s="401"/>
      <c r="S311" s="401"/>
      <c r="T311" s="401"/>
      <c r="U311" s="401"/>
      <c r="V311" s="401"/>
      <c r="W311" s="401"/>
      <c r="X311" s="401"/>
    </row>
    <row r="312" spans="11:24" ht="19.05" customHeight="1">
      <c r="K312" s="401"/>
      <c r="L312" s="401"/>
      <c r="N312" s="401"/>
      <c r="O312" s="401"/>
      <c r="P312" s="401"/>
      <c r="Q312" s="401"/>
      <c r="R312" s="401"/>
      <c r="S312" s="401"/>
      <c r="T312" s="401"/>
      <c r="U312" s="401"/>
      <c r="V312" s="401"/>
      <c r="W312" s="401"/>
      <c r="X312" s="401"/>
    </row>
    <row r="313" spans="11:24" ht="19.05" customHeight="1">
      <c r="K313" s="401"/>
      <c r="L313" s="401"/>
      <c r="N313" s="401"/>
      <c r="O313" s="401"/>
      <c r="P313" s="401"/>
      <c r="Q313" s="401"/>
      <c r="R313" s="401"/>
      <c r="S313" s="401"/>
      <c r="T313" s="401"/>
      <c r="U313" s="401"/>
      <c r="V313" s="401"/>
      <c r="W313" s="401"/>
      <c r="X313" s="401"/>
    </row>
    <row r="314" spans="11:24" ht="19.05" customHeight="1">
      <c r="K314" s="401"/>
      <c r="L314" s="401"/>
      <c r="N314" s="401"/>
      <c r="O314" s="401"/>
      <c r="P314" s="401"/>
      <c r="Q314" s="401"/>
      <c r="R314" s="401"/>
      <c r="S314" s="401"/>
      <c r="T314" s="401"/>
      <c r="U314" s="401"/>
      <c r="V314" s="401"/>
      <c r="W314" s="401"/>
      <c r="X314" s="401"/>
    </row>
    <row r="315" spans="11:24" ht="19.05" customHeight="1">
      <c r="K315" s="401"/>
      <c r="L315" s="401"/>
      <c r="N315" s="401"/>
      <c r="O315" s="401"/>
      <c r="P315" s="401"/>
      <c r="Q315" s="401"/>
      <c r="R315" s="401"/>
      <c r="S315" s="401"/>
      <c r="T315" s="401"/>
      <c r="U315" s="401"/>
      <c r="V315" s="401"/>
      <c r="W315" s="401"/>
      <c r="X315" s="401"/>
    </row>
    <row r="316" spans="11:24" ht="19.05" customHeight="1">
      <c r="K316" s="401"/>
      <c r="L316" s="401"/>
      <c r="N316" s="401"/>
      <c r="O316" s="401"/>
      <c r="P316" s="401"/>
      <c r="Q316" s="401"/>
      <c r="R316" s="401"/>
      <c r="S316" s="401"/>
      <c r="T316" s="401"/>
      <c r="U316" s="401"/>
      <c r="V316" s="401"/>
      <c r="W316" s="401"/>
      <c r="X316" s="401"/>
    </row>
    <row r="317" spans="11:24" ht="19.05" customHeight="1">
      <c r="K317" s="401"/>
      <c r="L317" s="401"/>
      <c r="N317" s="401"/>
      <c r="O317" s="401"/>
      <c r="P317" s="401"/>
      <c r="Q317" s="401"/>
      <c r="R317" s="401"/>
      <c r="S317" s="401"/>
      <c r="T317" s="401"/>
      <c r="U317" s="401"/>
      <c r="V317" s="401"/>
      <c r="W317" s="401"/>
      <c r="X317" s="401"/>
    </row>
    <row r="318" spans="11:24" ht="19.05" customHeight="1">
      <c r="K318" s="401"/>
      <c r="L318" s="401"/>
      <c r="N318" s="401"/>
      <c r="O318" s="401"/>
      <c r="P318" s="401"/>
      <c r="Q318" s="401"/>
      <c r="R318" s="401"/>
      <c r="S318" s="401"/>
      <c r="T318" s="401"/>
      <c r="U318" s="401"/>
      <c r="V318" s="401"/>
      <c r="W318" s="401"/>
      <c r="X318" s="401"/>
    </row>
    <row r="319" spans="11:24" ht="19.05" customHeight="1">
      <c r="K319" s="401"/>
      <c r="L319" s="401"/>
      <c r="N319" s="401"/>
      <c r="O319" s="401"/>
      <c r="P319" s="401"/>
      <c r="Q319" s="401"/>
      <c r="R319" s="401"/>
      <c r="S319" s="401"/>
      <c r="T319" s="401"/>
      <c r="U319" s="401"/>
      <c r="V319" s="401"/>
      <c r="W319" s="401"/>
      <c r="X319" s="401"/>
    </row>
    <row r="320" spans="11:24" ht="19.05" customHeight="1">
      <c r="K320" s="401"/>
      <c r="L320" s="401"/>
      <c r="N320" s="401"/>
      <c r="O320" s="401"/>
      <c r="P320" s="401"/>
      <c r="Q320" s="401"/>
      <c r="R320" s="401"/>
      <c r="S320" s="401"/>
      <c r="T320" s="401"/>
      <c r="U320" s="401"/>
      <c r="V320" s="401"/>
      <c r="W320" s="401"/>
      <c r="X320" s="401"/>
    </row>
    <row r="321" spans="11:24" ht="19.05" customHeight="1">
      <c r="K321" s="401"/>
      <c r="L321" s="401"/>
      <c r="N321" s="401"/>
      <c r="O321" s="401"/>
      <c r="P321" s="401"/>
      <c r="Q321" s="401"/>
      <c r="R321" s="401"/>
      <c r="S321" s="401"/>
      <c r="T321" s="401"/>
      <c r="U321" s="401"/>
      <c r="V321" s="401"/>
      <c r="W321" s="401"/>
      <c r="X321" s="401"/>
    </row>
    <row r="322" spans="11:24" ht="19.05" customHeight="1">
      <c r="K322" s="401"/>
      <c r="L322" s="401"/>
      <c r="N322" s="401"/>
      <c r="O322" s="401"/>
      <c r="P322" s="401"/>
      <c r="Q322" s="401"/>
      <c r="R322" s="401"/>
      <c r="S322" s="401"/>
      <c r="T322" s="401"/>
      <c r="U322" s="401"/>
      <c r="V322" s="401"/>
      <c r="W322" s="401"/>
      <c r="X322" s="401"/>
    </row>
    <row r="323" spans="11:24" ht="19.05" customHeight="1">
      <c r="K323" s="401"/>
      <c r="L323" s="401"/>
      <c r="N323" s="401"/>
      <c r="O323" s="401"/>
      <c r="P323" s="401"/>
      <c r="Q323" s="401"/>
      <c r="R323" s="401"/>
      <c r="S323" s="401"/>
      <c r="T323" s="401"/>
      <c r="U323" s="401"/>
      <c r="V323" s="401"/>
      <c r="W323" s="401"/>
      <c r="X323" s="401"/>
    </row>
    <row r="324" spans="11:24" ht="19.05" customHeight="1">
      <c r="K324" s="401"/>
      <c r="L324" s="401"/>
      <c r="N324" s="401"/>
      <c r="O324" s="401"/>
      <c r="P324" s="401"/>
      <c r="Q324" s="401"/>
      <c r="R324" s="401"/>
      <c r="S324" s="401"/>
      <c r="T324" s="401"/>
      <c r="U324" s="401"/>
      <c r="V324" s="401"/>
      <c r="W324" s="401"/>
      <c r="X324" s="401"/>
    </row>
    <row r="325" spans="11:24" ht="19.05" customHeight="1">
      <c r="K325" s="401"/>
      <c r="L325" s="401"/>
      <c r="N325" s="401"/>
      <c r="O325" s="401"/>
      <c r="P325" s="401"/>
      <c r="Q325" s="401"/>
      <c r="R325" s="401"/>
      <c r="S325" s="401"/>
      <c r="T325" s="401"/>
      <c r="U325" s="401"/>
      <c r="V325" s="401"/>
      <c r="W325" s="401"/>
      <c r="X325" s="401"/>
    </row>
    <row r="326" spans="11:24" ht="19.05" customHeight="1">
      <c r="K326" s="401"/>
      <c r="L326" s="401"/>
      <c r="N326" s="401"/>
      <c r="O326" s="401"/>
      <c r="P326" s="401"/>
      <c r="Q326" s="401"/>
      <c r="R326" s="401"/>
      <c r="S326" s="401"/>
      <c r="T326" s="401"/>
      <c r="U326" s="401"/>
      <c r="V326" s="401"/>
      <c r="W326" s="401"/>
      <c r="X326" s="401"/>
    </row>
    <row r="327" spans="11:24" ht="19.05" customHeight="1">
      <c r="K327" s="401"/>
      <c r="L327" s="401"/>
      <c r="N327" s="401"/>
      <c r="O327" s="401"/>
      <c r="P327" s="401"/>
      <c r="Q327" s="401"/>
      <c r="R327" s="401"/>
      <c r="S327" s="401"/>
      <c r="T327" s="401"/>
      <c r="U327" s="401"/>
      <c r="V327" s="401"/>
      <c r="W327" s="401"/>
      <c r="X327" s="401"/>
    </row>
    <row r="328" spans="11:24" ht="19.05" customHeight="1">
      <c r="K328" s="401"/>
      <c r="L328" s="401"/>
      <c r="N328" s="401"/>
      <c r="O328" s="401"/>
      <c r="P328" s="401"/>
      <c r="Q328" s="401"/>
      <c r="R328" s="401"/>
      <c r="S328" s="401"/>
      <c r="T328" s="401"/>
      <c r="U328" s="401"/>
      <c r="V328" s="401"/>
      <c r="W328" s="401"/>
      <c r="X328" s="401"/>
    </row>
    <row r="329" spans="11:24" ht="19.05" customHeight="1">
      <c r="K329" s="401"/>
      <c r="L329" s="401"/>
      <c r="N329" s="401"/>
      <c r="O329" s="401"/>
      <c r="P329" s="401"/>
      <c r="Q329" s="401"/>
      <c r="R329" s="401"/>
      <c r="S329" s="401"/>
      <c r="T329" s="401"/>
      <c r="U329" s="401"/>
      <c r="V329" s="401"/>
      <c r="W329" s="401"/>
      <c r="X329" s="401"/>
    </row>
    <row r="330" spans="11:24" ht="19.05" customHeight="1">
      <c r="K330" s="401"/>
      <c r="L330" s="401"/>
      <c r="N330" s="401"/>
      <c r="O330" s="401"/>
      <c r="P330" s="401"/>
      <c r="Q330" s="401"/>
      <c r="R330" s="401"/>
      <c r="S330" s="401"/>
      <c r="T330" s="401"/>
      <c r="U330" s="401"/>
      <c r="V330" s="401"/>
      <c r="W330" s="401"/>
      <c r="X330" s="401"/>
    </row>
    <row r="331" spans="11:24" ht="19.05" customHeight="1">
      <c r="K331" s="401"/>
      <c r="L331" s="401"/>
      <c r="N331" s="401"/>
      <c r="O331" s="401"/>
      <c r="P331" s="401"/>
      <c r="Q331" s="401"/>
      <c r="R331" s="401"/>
      <c r="S331" s="401"/>
      <c r="T331" s="401"/>
      <c r="U331" s="401"/>
      <c r="V331" s="401"/>
      <c r="W331" s="401"/>
      <c r="X331" s="401"/>
    </row>
    <row r="332" spans="11:24" ht="19.05" customHeight="1">
      <c r="K332" s="401"/>
      <c r="L332" s="401"/>
      <c r="N332" s="401"/>
      <c r="O332" s="401"/>
      <c r="P332" s="401"/>
      <c r="Q332" s="401"/>
      <c r="R332" s="401"/>
      <c r="S332" s="401"/>
      <c r="T332" s="401"/>
      <c r="U332" s="401"/>
      <c r="V332" s="401"/>
      <c r="W332" s="401"/>
      <c r="X332" s="401"/>
    </row>
    <row r="333" spans="11:24" ht="19.05" customHeight="1">
      <c r="K333" s="401"/>
      <c r="L333" s="401"/>
      <c r="N333" s="401"/>
      <c r="O333" s="401"/>
      <c r="P333" s="401"/>
      <c r="Q333" s="401"/>
      <c r="R333" s="401"/>
      <c r="S333" s="401"/>
      <c r="T333" s="401"/>
      <c r="U333" s="401"/>
      <c r="V333" s="401"/>
      <c r="W333" s="401"/>
      <c r="X333" s="401"/>
    </row>
    <row r="334" spans="11:24" ht="19.05" customHeight="1">
      <c r="K334" s="401"/>
      <c r="L334" s="401"/>
      <c r="N334" s="401"/>
      <c r="O334" s="401"/>
      <c r="P334" s="401"/>
      <c r="Q334" s="401"/>
      <c r="R334" s="401"/>
      <c r="S334" s="401"/>
      <c r="T334" s="401"/>
      <c r="U334" s="401"/>
      <c r="V334" s="401"/>
      <c r="W334" s="401"/>
      <c r="X334" s="401"/>
    </row>
    <row r="335" spans="11:24" ht="19.05" customHeight="1">
      <c r="K335" s="401"/>
      <c r="L335" s="401"/>
      <c r="N335" s="401"/>
      <c r="O335" s="401"/>
      <c r="P335" s="401"/>
      <c r="Q335" s="401"/>
      <c r="R335" s="401"/>
      <c r="S335" s="401"/>
      <c r="T335" s="401"/>
      <c r="U335" s="401"/>
      <c r="V335" s="401"/>
      <c r="W335" s="401"/>
      <c r="X335" s="401"/>
    </row>
    <row r="336" spans="11:24" ht="19.05" customHeight="1">
      <c r="K336" s="401"/>
      <c r="L336" s="401"/>
      <c r="N336" s="401"/>
      <c r="O336" s="401"/>
      <c r="P336" s="401"/>
      <c r="Q336" s="401"/>
      <c r="R336" s="401"/>
      <c r="S336" s="401"/>
      <c r="T336" s="401"/>
      <c r="U336" s="401"/>
      <c r="V336" s="401"/>
      <c r="W336" s="401"/>
      <c r="X336" s="401"/>
    </row>
    <row r="337" spans="11:24" ht="19.05" customHeight="1">
      <c r="K337" s="401"/>
      <c r="L337" s="401"/>
      <c r="N337" s="401"/>
      <c r="O337" s="401"/>
      <c r="P337" s="401"/>
      <c r="Q337" s="401"/>
      <c r="R337" s="401"/>
      <c r="S337" s="401"/>
      <c r="T337" s="401"/>
      <c r="U337" s="401"/>
      <c r="V337" s="401"/>
      <c r="W337" s="401"/>
      <c r="X337" s="401"/>
    </row>
    <row r="338" spans="11:24" ht="19.05" customHeight="1">
      <c r="K338" s="401"/>
      <c r="L338" s="401"/>
      <c r="N338" s="401"/>
      <c r="O338" s="401"/>
      <c r="P338" s="401"/>
      <c r="Q338" s="401"/>
      <c r="R338" s="401"/>
      <c r="S338" s="401"/>
      <c r="T338" s="401"/>
      <c r="U338" s="401"/>
      <c r="V338" s="401"/>
      <c r="W338" s="401"/>
      <c r="X338" s="401"/>
    </row>
    <row r="339" spans="11:24" ht="19.05" customHeight="1">
      <c r="K339" s="401"/>
      <c r="L339" s="401"/>
      <c r="N339" s="401"/>
      <c r="O339" s="401"/>
      <c r="P339" s="401"/>
      <c r="Q339" s="401"/>
      <c r="R339" s="401"/>
      <c r="S339" s="401"/>
      <c r="T339" s="401"/>
      <c r="U339" s="401"/>
      <c r="V339" s="401"/>
      <c r="W339" s="401"/>
      <c r="X339" s="401"/>
    </row>
    <row r="340" spans="11:24" ht="19.05" customHeight="1">
      <c r="K340" s="401"/>
      <c r="L340" s="401"/>
      <c r="N340" s="401"/>
      <c r="O340" s="401"/>
      <c r="P340" s="401"/>
      <c r="Q340" s="401"/>
      <c r="R340" s="401"/>
      <c r="S340" s="401"/>
      <c r="T340" s="401"/>
      <c r="U340" s="401"/>
      <c r="V340" s="401"/>
      <c r="W340" s="401"/>
      <c r="X340" s="401"/>
    </row>
    <row r="341" spans="11:24" ht="19.05" customHeight="1">
      <c r="K341" s="401"/>
      <c r="L341" s="401"/>
      <c r="N341" s="401"/>
      <c r="O341" s="401"/>
      <c r="P341" s="401"/>
      <c r="Q341" s="401"/>
      <c r="R341" s="401"/>
      <c r="S341" s="401"/>
      <c r="T341" s="401"/>
      <c r="U341" s="401"/>
      <c r="V341" s="401"/>
      <c r="W341" s="401"/>
      <c r="X341" s="401"/>
    </row>
    <row r="342" spans="11:24" ht="19.05" customHeight="1">
      <c r="K342" s="401"/>
      <c r="L342" s="401"/>
      <c r="N342" s="401"/>
      <c r="O342" s="401"/>
      <c r="P342" s="401"/>
      <c r="Q342" s="401"/>
      <c r="R342" s="401"/>
      <c r="S342" s="401"/>
      <c r="T342" s="401"/>
      <c r="U342" s="401"/>
      <c r="V342" s="401"/>
      <c r="W342" s="401"/>
      <c r="X342" s="401"/>
    </row>
    <row r="343" spans="11:24" ht="19.05" customHeight="1">
      <c r="K343" s="401"/>
      <c r="L343" s="401"/>
      <c r="N343" s="401"/>
      <c r="O343" s="401"/>
      <c r="P343" s="401"/>
      <c r="Q343" s="401"/>
      <c r="R343" s="401"/>
      <c r="S343" s="401"/>
      <c r="T343" s="401"/>
      <c r="U343" s="401"/>
      <c r="V343" s="401"/>
      <c r="W343" s="401"/>
      <c r="X343" s="401"/>
    </row>
    <row r="344" spans="11:24" ht="19.05" customHeight="1">
      <c r="K344" s="401"/>
      <c r="L344" s="401"/>
      <c r="N344" s="401"/>
      <c r="O344" s="401"/>
      <c r="P344" s="401"/>
      <c r="Q344" s="401"/>
      <c r="R344" s="401"/>
      <c r="S344" s="401"/>
      <c r="T344" s="401"/>
      <c r="U344" s="401"/>
      <c r="V344" s="401"/>
      <c r="W344" s="401"/>
      <c r="X344" s="401"/>
    </row>
    <row r="345" spans="11:24" ht="19.05" customHeight="1">
      <c r="K345" s="401"/>
      <c r="L345" s="401"/>
      <c r="N345" s="401"/>
      <c r="O345" s="401"/>
      <c r="P345" s="401"/>
      <c r="Q345" s="401"/>
      <c r="R345" s="401"/>
      <c r="S345" s="401"/>
      <c r="T345" s="401"/>
      <c r="U345" s="401"/>
      <c r="V345" s="401"/>
      <c r="W345" s="401"/>
      <c r="X345" s="401"/>
    </row>
    <row r="346" spans="11:24" ht="19.05" customHeight="1">
      <c r="K346" s="401"/>
      <c r="L346" s="401"/>
      <c r="N346" s="401"/>
      <c r="O346" s="401"/>
      <c r="P346" s="401"/>
      <c r="Q346" s="401"/>
      <c r="R346" s="401"/>
      <c r="S346" s="401"/>
      <c r="T346" s="401"/>
      <c r="U346" s="401"/>
      <c r="V346" s="401"/>
      <c r="W346" s="401"/>
      <c r="X346" s="401"/>
    </row>
    <row r="347" spans="11:24" ht="19.05" customHeight="1">
      <c r="K347" s="401"/>
      <c r="L347" s="401"/>
      <c r="N347" s="401"/>
      <c r="O347" s="401"/>
      <c r="P347" s="401"/>
      <c r="Q347" s="401"/>
      <c r="R347" s="401"/>
      <c r="S347" s="401"/>
      <c r="T347" s="401"/>
      <c r="U347" s="401"/>
      <c r="V347" s="401"/>
      <c r="W347" s="401"/>
      <c r="X347" s="401"/>
    </row>
    <row r="348" spans="11:24" ht="19.05" customHeight="1">
      <c r="K348" s="401"/>
      <c r="L348" s="401"/>
      <c r="N348" s="401"/>
      <c r="O348" s="401"/>
      <c r="P348" s="401"/>
      <c r="Q348" s="401"/>
      <c r="R348" s="401"/>
      <c r="S348" s="401"/>
      <c r="T348" s="401"/>
      <c r="U348" s="401"/>
      <c r="V348" s="401"/>
      <c r="W348" s="401"/>
      <c r="X348" s="401"/>
    </row>
    <row r="349" spans="11:24" ht="19.05" customHeight="1">
      <c r="K349" s="401"/>
      <c r="L349" s="401"/>
      <c r="N349" s="401"/>
      <c r="O349" s="401"/>
      <c r="P349" s="401"/>
      <c r="Q349" s="401"/>
      <c r="R349" s="401"/>
      <c r="S349" s="401"/>
      <c r="T349" s="401"/>
      <c r="U349" s="401"/>
      <c r="V349" s="401"/>
      <c r="W349" s="401"/>
      <c r="X349" s="401"/>
    </row>
    <row r="350" spans="11:24" ht="19.05" customHeight="1">
      <c r="K350" s="401"/>
      <c r="L350" s="401"/>
      <c r="N350" s="401"/>
      <c r="O350" s="401"/>
      <c r="P350" s="401"/>
      <c r="Q350" s="401"/>
      <c r="R350" s="401"/>
      <c r="S350" s="401"/>
      <c r="T350" s="401"/>
      <c r="U350" s="401"/>
      <c r="V350" s="401"/>
      <c r="W350" s="401"/>
      <c r="X350" s="401"/>
    </row>
    <row r="351" spans="11:24" ht="19.05" customHeight="1">
      <c r="K351" s="401"/>
      <c r="L351" s="401"/>
      <c r="N351" s="401"/>
      <c r="O351" s="401"/>
      <c r="P351" s="401"/>
      <c r="Q351" s="401"/>
      <c r="R351" s="401"/>
      <c r="S351" s="401"/>
      <c r="T351" s="401"/>
      <c r="U351" s="401"/>
      <c r="V351" s="401"/>
      <c r="W351" s="401"/>
      <c r="X351" s="401"/>
    </row>
    <row r="352" spans="11:24" ht="19.05" customHeight="1">
      <c r="K352" s="401"/>
      <c r="L352" s="401"/>
      <c r="N352" s="401"/>
      <c r="O352" s="401"/>
      <c r="P352" s="401"/>
      <c r="Q352" s="401"/>
      <c r="R352" s="401"/>
      <c r="S352" s="401"/>
      <c r="T352" s="401"/>
      <c r="U352" s="401"/>
      <c r="V352" s="401"/>
      <c r="W352" s="401"/>
      <c r="X352" s="401"/>
    </row>
    <row r="353" spans="11:24" ht="19.05" customHeight="1">
      <c r="K353" s="401"/>
      <c r="L353" s="401"/>
      <c r="N353" s="401"/>
      <c r="O353" s="401"/>
      <c r="P353" s="401"/>
      <c r="Q353" s="401"/>
      <c r="R353" s="401"/>
      <c r="S353" s="401"/>
      <c r="T353" s="401"/>
      <c r="U353" s="401"/>
      <c r="V353" s="401"/>
      <c r="W353" s="401"/>
      <c r="X353" s="401"/>
    </row>
    <row r="354" spans="11:24" ht="19.05" customHeight="1">
      <c r="K354" s="401"/>
      <c r="L354" s="401"/>
      <c r="N354" s="401"/>
      <c r="O354" s="401"/>
      <c r="P354" s="401"/>
      <c r="Q354" s="401"/>
      <c r="R354" s="401"/>
      <c r="S354" s="401"/>
      <c r="T354" s="401"/>
      <c r="U354" s="401"/>
      <c r="V354" s="401"/>
      <c r="W354" s="401"/>
      <c r="X354" s="401"/>
    </row>
    <row r="355" spans="11:24" ht="19.05" customHeight="1">
      <c r="K355" s="401"/>
      <c r="L355" s="401"/>
      <c r="N355" s="401"/>
      <c r="O355" s="401"/>
      <c r="P355" s="401"/>
      <c r="Q355" s="401"/>
      <c r="R355" s="401"/>
      <c r="S355" s="401"/>
      <c r="T355" s="401"/>
      <c r="U355" s="401"/>
      <c r="V355" s="401"/>
      <c r="W355" s="401"/>
      <c r="X355" s="401"/>
    </row>
    <row r="356" spans="11:24" ht="19.05" customHeight="1">
      <c r="K356" s="401"/>
      <c r="L356" s="401"/>
      <c r="N356" s="401"/>
      <c r="O356" s="401"/>
      <c r="P356" s="401"/>
      <c r="Q356" s="401"/>
      <c r="R356" s="401"/>
      <c r="S356" s="401"/>
      <c r="T356" s="401"/>
      <c r="U356" s="401"/>
      <c r="V356" s="401"/>
      <c r="W356" s="401"/>
      <c r="X356" s="401"/>
    </row>
    <row r="357" spans="11:24" ht="19.05" customHeight="1">
      <c r="K357" s="401"/>
      <c r="L357" s="401"/>
      <c r="N357" s="401"/>
      <c r="O357" s="401"/>
      <c r="P357" s="401"/>
      <c r="Q357" s="401"/>
      <c r="R357" s="401"/>
      <c r="S357" s="401"/>
      <c r="T357" s="401"/>
      <c r="U357" s="401"/>
      <c r="V357" s="401"/>
      <c r="W357" s="401"/>
      <c r="X357" s="401"/>
    </row>
    <row r="358" spans="11:24" ht="19.05" customHeight="1">
      <c r="K358" s="401"/>
      <c r="L358" s="401"/>
      <c r="N358" s="401"/>
      <c r="O358" s="401"/>
      <c r="P358" s="401"/>
      <c r="Q358" s="401"/>
      <c r="R358" s="401"/>
      <c r="S358" s="401"/>
      <c r="T358" s="401"/>
      <c r="U358" s="401"/>
      <c r="V358" s="401"/>
      <c r="W358" s="401"/>
      <c r="X358" s="401"/>
    </row>
    <row r="359" spans="11:24" ht="19.05" customHeight="1">
      <c r="K359" s="401"/>
      <c r="L359" s="401"/>
      <c r="N359" s="401"/>
      <c r="O359" s="401"/>
      <c r="P359" s="401"/>
      <c r="Q359" s="401"/>
      <c r="R359" s="401"/>
      <c r="S359" s="401"/>
      <c r="T359" s="401"/>
      <c r="U359" s="401"/>
      <c r="V359" s="401"/>
      <c r="W359" s="401"/>
      <c r="X359" s="401"/>
    </row>
    <row r="360" spans="11:24" ht="19.05" customHeight="1">
      <c r="K360" s="401"/>
      <c r="L360" s="401"/>
      <c r="N360" s="401"/>
      <c r="O360" s="401"/>
      <c r="P360" s="401"/>
      <c r="Q360" s="401"/>
      <c r="R360" s="401"/>
      <c r="S360" s="401"/>
      <c r="T360" s="401"/>
      <c r="U360" s="401"/>
      <c r="V360" s="401"/>
      <c r="W360" s="401"/>
      <c r="X360" s="401"/>
    </row>
    <row r="361" spans="11:24" ht="19.05" customHeight="1">
      <c r="K361" s="401"/>
      <c r="L361" s="401"/>
      <c r="N361" s="401"/>
      <c r="O361" s="401"/>
      <c r="P361" s="401"/>
      <c r="Q361" s="401"/>
      <c r="R361" s="401"/>
      <c r="S361" s="401"/>
      <c r="T361" s="401"/>
      <c r="U361" s="401"/>
      <c r="V361" s="401"/>
      <c r="W361" s="401"/>
      <c r="X361" s="401"/>
    </row>
    <row r="362" spans="11:24" ht="19.05" customHeight="1">
      <c r="K362" s="401"/>
      <c r="L362" s="401"/>
      <c r="N362" s="401"/>
      <c r="O362" s="401"/>
      <c r="P362" s="401"/>
      <c r="Q362" s="401"/>
      <c r="R362" s="401"/>
      <c r="S362" s="401"/>
      <c r="T362" s="401"/>
      <c r="U362" s="401"/>
      <c r="V362" s="401"/>
      <c r="W362" s="401"/>
      <c r="X362" s="401"/>
    </row>
    <row r="363" spans="11:24" ht="19.05" customHeight="1">
      <c r="K363" s="401"/>
      <c r="L363" s="401"/>
      <c r="N363" s="401"/>
      <c r="O363" s="401"/>
      <c r="P363" s="401"/>
      <c r="Q363" s="401"/>
      <c r="R363" s="401"/>
      <c r="S363" s="401"/>
      <c r="T363" s="401"/>
      <c r="U363" s="401"/>
      <c r="V363" s="401"/>
      <c r="W363" s="401"/>
      <c r="X363" s="401"/>
    </row>
    <row r="364" spans="11:24" ht="19.05" customHeight="1">
      <c r="K364" s="401"/>
      <c r="L364" s="401"/>
      <c r="N364" s="401"/>
      <c r="O364" s="401"/>
      <c r="P364" s="401"/>
      <c r="Q364" s="401"/>
      <c r="R364" s="401"/>
      <c r="S364" s="401"/>
      <c r="T364" s="401"/>
      <c r="U364" s="401"/>
      <c r="V364" s="401"/>
      <c r="W364" s="401"/>
      <c r="X364" s="401"/>
    </row>
    <row r="365" spans="11:24" ht="19.05" customHeight="1">
      <c r="K365" s="401"/>
      <c r="L365" s="401"/>
      <c r="N365" s="401"/>
      <c r="O365" s="401"/>
      <c r="P365" s="401"/>
      <c r="Q365" s="401"/>
      <c r="R365" s="401"/>
      <c r="S365" s="401"/>
      <c r="T365" s="401"/>
      <c r="U365" s="401"/>
      <c r="V365" s="401"/>
      <c r="W365" s="401"/>
      <c r="X365" s="401"/>
    </row>
    <row r="366" spans="11:24" ht="19.05" customHeight="1">
      <c r="K366" s="401"/>
      <c r="L366" s="401"/>
      <c r="N366" s="401"/>
      <c r="O366" s="401"/>
      <c r="P366" s="401"/>
      <c r="Q366" s="401"/>
      <c r="R366" s="401"/>
      <c r="S366" s="401"/>
      <c r="T366" s="401"/>
      <c r="U366" s="401"/>
      <c r="V366" s="401"/>
      <c r="W366" s="401"/>
      <c r="X366" s="401"/>
    </row>
    <row r="367" spans="11:24" ht="19.05" customHeight="1">
      <c r="K367" s="401"/>
      <c r="L367" s="401"/>
      <c r="N367" s="401"/>
      <c r="O367" s="401"/>
      <c r="P367" s="401"/>
      <c r="Q367" s="401"/>
      <c r="R367" s="401"/>
      <c r="S367" s="401"/>
      <c r="T367" s="401"/>
      <c r="U367" s="401"/>
      <c r="V367" s="401"/>
      <c r="W367" s="401"/>
      <c r="X367" s="401"/>
    </row>
    <row r="368" spans="11:24" ht="19.05" customHeight="1">
      <c r="K368" s="401"/>
      <c r="L368" s="401"/>
      <c r="N368" s="401"/>
      <c r="O368" s="401"/>
      <c r="P368" s="401"/>
      <c r="Q368" s="401"/>
      <c r="R368" s="401"/>
      <c r="S368" s="401"/>
      <c r="T368" s="401"/>
      <c r="U368" s="401"/>
      <c r="V368" s="401"/>
      <c r="W368" s="401"/>
      <c r="X368" s="401"/>
    </row>
    <row r="369" spans="11:24" ht="19.05" customHeight="1">
      <c r="K369" s="401"/>
      <c r="L369" s="401"/>
      <c r="N369" s="401"/>
      <c r="O369" s="401"/>
      <c r="P369" s="401"/>
      <c r="Q369" s="401"/>
      <c r="R369" s="401"/>
      <c r="S369" s="401"/>
      <c r="T369" s="401"/>
      <c r="U369" s="401"/>
      <c r="V369" s="401"/>
      <c r="W369" s="401"/>
      <c r="X369" s="401"/>
    </row>
    <row r="370" spans="11:24" ht="19.05" customHeight="1">
      <c r="K370" s="401"/>
      <c r="L370" s="401"/>
      <c r="N370" s="401"/>
      <c r="O370" s="401"/>
      <c r="P370" s="401"/>
      <c r="Q370" s="401"/>
      <c r="R370" s="401"/>
      <c r="S370" s="401"/>
      <c r="T370" s="401"/>
      <c r="U370" s="401"/>
      <c r="V370" s="401"/>
      <c r="W370" s="401"/>
      <c r="X370" s="401"/>
    </row>
    <row r="371" spans="11:24" ht="19.05" customHeight="1">
      <c r="K371" s="401"/>
      <c r="L371" s="401"/>
      <c r="N371" s="401"/>
      <c r="O371" s="401"/>
      <c r="P371" s="401"/>
      <c r="Q371" s="401"/>
      <c r="R371" s="401"/>
      <c r="S371" s="401"/>
      <c r="T371" s="401"/>
      <c r="U371" s="401"/>
      <c r="V371" s="401"/>
      <c r="W371" s="401"/>
      <c r="X371" s="401"/>
    </row>
    <row r="372" spans="11:24" ht="19.05" customHeight="1">
      <c r="K372" s="401"/>
      <c r="L372" s="401"/>
      <c r="N372" s="401"/>
      <c r="O372" s="401"/>
      <c r="P372" s="401"/>
      <c r="Q372" s="401"/>
      <c r="R372" s="401"/>
      <c r="S372" s="401"/>
      <c r="T372" s="401"/>
      <c r="U372" s="401"/>
      <c r="V372" s="401"/>
      <c r="W372" s="401"/>
      <c r="X372" s="401"/>
    </row>
    <row r="373" spans="11:24" ht="19.05" customHeight="1">
      <c r="K373" s="401"/>
      <c r="L373" s="401"/>
      <c r="N373" s="401"/>
      <c r="O373" s="401"/>
      <c r="P373" s="401"/>
      <c r="Q373" s="401"/>
      <c r="R373" s="401"/>
      <c r="S373" s="401"/>
      <c r="T373" s="401"/>
      <c r="U373" s="401"/>
      <c r="V373" s="401"/>
      <c r="W373" s="401"/>
      <c r="X373" s="401"/>
    </row>
    <row r="374" spans="11:24" ht="19.05" customHeight="1">
      <c r="K374" s="401"/>
      <c r="L374" s="401"/>
      <c r="N374" s="401"/>
      <c r="O374" s="401"/>
      <c r="P374" s="401"/>
      <c r="Q374" s="401"/>
      <c r="R374" s="401"/>
      <c r="S374" s="401"/>
      <c r="T374" s="401"/>
      <c r="U374" s="401"/>
      <c r="V374" s="401"/>
      <c r="W374" s="401"/>
      <c r="X374" s="401"/>
    </row>
    <row r="375" spans="11:24" ht="19.05" customHeight="1">
      <c r="K375" s="401"/>
      <c r="L375" s="401"/>
      <c r="N375" s="401"/>
      <c r="O375" s="401"/>
      <c r="P375" s="401"/>
      <c r="Q375" s="401"/>
      <c r="R375" s="401"/>
      <c r="S375" s="401"/>
      <c r="T375" s="401"/>
      <c r="U375" s="401"/>
      <c r="V375" s="401"/>
      <c r="W375" s="401"/>
      <c r="X375" s="401"/>
    </row>
    <row r="376" spans="11:24" ht="19.05" customHeight="1">
      <c r="K376" s="401"/>
      <c r="L376" s="401"/>
      <c r="N376" s="401"/>
      <c r="O376" s="401"/>
      <c r="P376" s="401"/>
      <c r="Q376" s="401"/>
      <c r="R376" s="401"/>
      <c r="S376" s="401"/>
      <c r="T376" s="401"/>
      <c r="U376" s="401"/>
      <c r="V376" s="401"/>
      <c r="W376" s="401"/>
      <c r="X376" s="401"/>
    </row>
    <row r="377" spans="11:24" ht="19.05" customHeight="1">
      <c r="K377" s="401"/>
      <c r="L377" s="401"/>
      <c r="N377" s="401"/>
      <c r="O377" s="401"/>
      <c r="P377" s="401"/>
      <c r="Q377" s="401"/>
      <c r="R377" s="401"/>
      <c r="S377" s="401"/>
      <c r="T377" s="401"/>
      <c r="U377" s="401"/>
      <c r="V377" s="401"/>
      <c r="W377" s="401"/>
      <c r="X377" s="401"/>
    </row>
    <row r="378" spans="11:24" ht="19.05" customHeight="1">
      <c r="K378" s="401"/>
      <c r="L378" s="401"/>
      <c r="N378" s="401"/>
      <c r="O378" s="401"/>
      <c r="P378" s="401"/>
      <c r="Q378" s="401"/>
      <c r="R378" s="401"/>
      <c r="S378" s="401"/>
      <c r="T378" s="401"/>
      <c r="U378" s="401"/>
      <c r="V378" s="401"/>
      <c r="W378" s="401"/>
      <c r="X378" s="401"/>
    </row>
    <row r="379" spans="11:24" ht="19.05" customHeight="1">
      <c r="K379" s="401"/>
      <c r="L379" s="401"/>
      <c r="N379" s="401"/>
      <c r="O379" s="401"/>
      <c r="P379" s="401"/>
      <c r="Q379" s="401"/>
      <c r="R379" s="401"/>
      <c r="S379" s="401"/>
      <c r="T379" s="401"/>
      <c r="U379" s="401"/>
      <c r="V379" s="401"/>
      <c r="W379" s="401"/>
      <c r="X379" s="401"/>
    </row>
    <row r="380" spans="11:24" ht="19.05" customHeight="1">
      <c r="K380" s="401"/>
      <c r="L380" s="401"/>
      <c r="N380" s="401"/>
      <c r="O380" s="401"/>
      <c r="P380" s="401"/>
      <c r="Q380" s="401"/>
      <c r="R380" s="401"/>
      <c r="S380" s="401"/>
      <c r="T380" s="401"/>
      <c r="U380" s="401"/>
      <c r="V380" s="401"/>
      <c r="W380" s="401"/>
      <c r="X380" s="401"/>
    </row>
    <row r="381" spans="11:24" ht="19.05" customHeight="1">
      <c r="K381" s="401"/>
      <c r="L381" s="401"/>
      <c r="N381" s="401"/>
      <c r="O381" s="401"/>
      <c r="P381" s="401"/>
      <c r="Q381" s="401"/>
      <c r="R381" s="401"/>
      <c r="S381" s="401"/>
      <c r="T381" s="401"/>
      <c r="U381" s="401"/>
      <c r="V381" s="401"/>
      <c r="W381" s="401"/>
      <c r="X381" s="401"/>
    </row>
    <row r="382" spans="11:24" ht="19.05" customHeight="1">
      <c r="K382" s="401"/>
      <c r="L382" s="401"/>
      <c r="N382" s="401"/>
      <c r="O382" s="401"/>
      <c r="P382" s="401"/>
      <c r="Q382" s="401"/>
      <c r="R382" s="401"/>
      <c r="S382" s="401"/>
      <c r="T382" s="401"/>
      <c r="U382" s="401"/>
      <c r="V382" s="401"/>
      <c r="W382" s="401"/>
      <c r="X382" s="401"/>
    </row>
    <row r="383" spans="11:24" ht="19.05" customHeight="1">
      <c r="K383" s="401"/>
      <c r="L383" s="401"/>
      <c r="N383" s="401"/>
      <c r="O383" s="401"/>
      <c r="P383" s="401"/>
      <c r="Q383" s="401"/>
      <c r="R383" s="401"/>
      <c r="S383" s="401"/>
      <c r="T383" s="401"/>
      <c r="U383" s="401"/>
      <c r="V383" s="401"/>
      <c r="W383" s="401"/>
      <c r="X383" s="401"/>
    </row>
    <row r="384" spans="11:24" ht="19.05" customHeight="1">
      <c r="K384" s="401"/>
      <c r="L384" s="401"/>
      <c r="N384" s="401"/>
      <c r="O384" s="401"/>
      <c r="P384" s="401"/>
      <c r="Q384" s="401"/>
      <c r="R384" s="401"/>
      <c r="S384" s="401"/>
      <c r="T384" s="401"/>
      <c r="U384" s="401"/>
      <c r="V384" s="401"/>
      <c r="W384" s="401"/>
      <c r="X384" s="401"/>
    </row>
    <row r="385" spans="11:24" ht="19.05" customHeight="1">
      <c r="K385" s="401"/>
      <c r="L385" s="401"/>
      <c r="N385" s="401"/>
      <c r="O385" s="401"/>
      <c r="P385" s="401"/>
      <c r="Q385" s="401"/>
      <c r="R385" s="401"/>
      <c r="S385" s="401"/>
      <c r="T385" s="401"/>
      <c r="U385" s="401"/>
      <c r="V385" s="401"/>
      <c r="W385" s="401"/>
      <c r="X385" s="401"/>
    </row>
    <row r="386" spans="11:24" ht="19.05" customHeight="1">
      <c r="K386" s="401"/>
      <c r="L386" s="401"/>
      <c r="N386" s="401"/>
      <c r="O386" s="401"/>
      <c r="P386" s="401"/>
      <c r="Q386" s="401"/>
      <c r="R386" s="401"/>
      <c r="S386" s="401"/>
      <c r="T386" s="401"/>
      <c r="U386" s="401"/>
      <c r="V386" s="401"/>
      <c r="W386" s="401"/>
      <c r="X386" s="401"/>
    </row>
    <row r="387" spans="11:24" ht="19.05" customHeight="1">
      <c r="K387" s="401"/>
      <c r="L387" s="401"/>
      <c r="N387" s="401"/>
      <c r="O387" s="401"/>
      <c r="P387" s="401"/>
      <c r="Q387" s="401"/>
      <c r="R387" s="401"/>
      <c r="S387" s="401"/>
      <c r="T387" s="401"/>
      <c r="U387" s="401"/>
      <c r="V387" s="401"/>
      <c r="W387" s="401"/>
      <c r="X387" s="401"/>
    </row>
    <row r="388" spans="11:24" ht="19.05" customHeight="1">
      <c r="K388" s="401"/>
      <c r="L388" s="401"/>
      <c r="N388" s="401"/>
      <c r="O388" s="401"/>
      <c r="P388" s="401"/>
      <c r="Q388" s="401"/>
      <c r="R388" s="401"/>
      <c r="S388" s="401"/>
      <c r="T388" s="401"/>
      <c r="U388" s="401"/>
      <c r="V388" s="401"/>
      <c r="W388" s="401"/>
      <c r="X388" s="401"/>
    </row>
    <row r="389" spans="11:24" ht="19.05" customHeight="1">
      <c r="K389" s="401"/>
      <c r="L389" s="401"/>
      <c r="N389" s="401"/>
      <c r="O389" s="401"/>
      <c r="P389" s="401"/>
      <c r="Q389" s="401"/>
      <c r="R389" s="401"/>
      <c r="S389" s="401"/>
      <c r="T389" s="401"/>
      <c r="U389" s="401"/>
      <c r="V389" s="401"/>
      <c r="W389" s="401"/>
      <c r="X389" s="401"/>
    </row>
    <row r="390" spans="11:24" ht="19.05" customHeight="1">
      <c r="K390" s="401"/>
      <c r="L390" s="401"/>
      <c r="N390" s="401"/>
      <c r="O390" s="401"/>
      <c r="P390" s="401"/>
      <c r="Q390" s="401"/>
      <c r="R390" s="401"/>
      <c r="S390" s="401"/>
      <c r="T390" s="401"/>
      <c r="U390" s="401"/>
      <c r="V390" s="401"/>
      <c r="W390" s="401"/>
      <c r="X390" s="401"/>
    </row>
    <row r="391" spans="11:24" ht="19.05" customHeight="1">
      <c r="K391" s="401"/>
      <c r="L391" s="401"/>
      <c r="N391" s="401"/>
      <c r="O391" s="401"/>
      <c r="P391" s="401"/>
      <c r="Q391" s="401"/>
      <c r="R391" s="401"/>
      <c r="S391" s="401"/>
      <c r="T391" s="401"/>
      <c r="U391" s="401"/>
      <c r="V391" s="401"/>
      <c r="W391" s="401"/>
      <c r="X391" s="401"/>
    </row>
    <row r="392" spans="11:24" ht="19.05" customHeight="1">
      <c r="K392" s="401"/>
      <c r="L392" s="401"/>
      <c r="N392" s="401"/>
      <c r="O392" s="401"/>
      <c r="P392" s="401"/>
      <c r="Q392" s="401"/>
      <c r="R392" s="401"/>
      <c r="S392" s="401"/>
      <c r="T392" s="401"/>
      <c r="U392" s="401"/>
      <c r="V392" s="401"/>
      <c r="W392" s="401"/>
      <c r="X392" s="401"/>
    </row>
    <row r="393" spans="11:24" ht="19.05" customHeight="1">
      <c r="K393" s="401"/>
      <c r="L393" s="401"/>
      <c r="N393" s="401"/>
      <c r="O393" s="401"/>
      <c r="P393" s="401"/>
      <c r="Q393" s="401"/>
      <c r="R393" s="401"/>
      <c r="S393" s="401"/>
      <c r="T393" s="401"/>
      <c r="U393" s="401"/>
      <c r="V393" s="401"/>
      <c r="W393" s="401"/>
      <c r="X393" s="401"/>
    </row>
    <row r="394" spans="11:24" ht="19.05" customHeight="1">
      <c r="K394" s="401"/>
      <c r="L394" s="401"/>
      <c r="N394" s="401"/>
      <c r="O394" s="401"/>
      <c r="P394" s="401"/>
      <c r="Q394" s="401"/>
      <c r="R394" s="401"/>
      <c r="S394" s="401"/>
      <c r="T394" s="401"/>
      <c r="U394" s="401"/>
      <c r="V394" s="401"/>
      <c r="W394" s="401"/>
      <c r="X394" s="401"/>
    </row>
    <row r="395" spans="11:24" ht="19.05" customHeight="1">
      <c r="K395" s="401"/>
      <c r="L395" s="401"/>
      <c r="N395" s="401"/>
      <c r="O395" s="401"/>
      <c r="P395" s="401"/>
      <c r="Q395" s="401"/>
      <c r="R395" s="401"/>
      <c r="S395" s="401"/>
      <c r="T395" s="401"/>
      <c r="U395" s="401"/>
      <c r="V395" s="401"/>
      <c r="W395" s="401"/>
      <c r="X395" s="401"/>
    </row>
    <row r="396" spans="11:24" ht="19.05" customHeight="1">
      <c r="K396" s="401"/>
      <c r="L396" s="401"/>
      <c r="N396" s="401"/>
      <c r="O396" s="401"/>
      <c r="P396" s="401"/>
      <c r="Q396" s="401"/>
      <c r="R396" s="401"/>
      <c r="S396" s="401"/>
      <c r="T396" s="401"/>
      <c r="U396" s="401"/>
      <c r="V396" s="401"/>
      <c r="W396" s="401"/>
      <c r="X396" s="401"/>
    </row>
    <row r="397" spans="11:24" ht="19.05" customHeight="1">
      <c r="K397" s="401"/>
      <c r="L397" s="401"/>
      <c r="N397" s="401"/>
      <c r="O397" s="401"/>
      <c r="P397" s="401"/>
      <c r="Q397" s="401"/>
      <c r="R397" s="401"/>
      <c r="S397" s="401"/>
      <c r="T397" s="401"/>
      <c r="U397" s="401"/>
      <c r="V397" s="401"/>
      <c r="W397" s="401"/>
      <c r="X397" s="401"/>
    </row>
    <row r="398" spans="11:24" ht="19.05" customHeight="1">
      <c r="K398" s="401"/>
      <c r="L398" s="401"/>
      <c r="N398" s="401"/>
      <c r="O398" s="401"/>
      <c r="P398" s="401"/>
      <c r="Q398" s="401"/>
      <c r="R398" s="401"/>
      <c r="S398" s="401"/>
      <c r="T398" s="401"/>
      <c r="U398" s="401"/>
      <c r="V398" s="401"/>
      <c r="W398" s="401"/>
      <c r="X398" s="401"/>
    </row>
    <row r="399" spans="11:24" ht="19.05" customHeight="1">
      <c r="K399" s="401"/>
      <c r="L399" s="401"/>
      <c r="N399" s="401"/>
      <c r="O399" s="401"/>
      <c r="P399" s="401"/>
      <c r="Q399" s="401"/>
      <c r="R399" s="401"/>
      <c r="S399" s="401"/>
      <c r="T399" s="401"/>
      <c r="U399" s="401"/>
      <c r="V399" s="401"/>
      <c r="W399" s="401"/>
      <c r="X399" s="401"/>
    </row>
    <row r="400" spans="11:24" ht="19.05" customHeight="1">
      <c r="K400" s="401"/>
      <c r="L400" s="401"/>
      <c r="N400" s="401"/>
      <c r="O400" s="401"/>
      <c r="P400" s="401"/>
      <c r="Q400" s="401"/>
      <c r="R400" s="401"/>
      <c r="S400" s="401"/>
      <c r="T400" s="401"/>
      <c r="U400" s="401"/>
      <c r="V400" s="401"/>
      <c r="W400" s="401"/>
      <c r="X400" s="401"/>
    </row>
    <row r="401" spans="11:24" ht="19.05" customHeight="1">
      <c r="K401" s="401"/>
      <c r="L401" s="401"/>
      <c r="N401" s="401"/>
      <c r="O401" s="401"/>
      <c r="P401" s="401"/>
      <c r="Q401" s="401"/>
      <c r="R401" s="401"/>
      <c r="S401" s="401"/>
      <c r="T401" s="401"/>
      <c r="U401" s="401"/>
      <c r="V401" s="401"/>
      <c r="W401" s="401"/>
      <c r="X401" s="401"/>
    </row>
    <row r="402" spans="11:24" ht="19.05" customHeight="1">
      <c r="K402" s="401"/>
      <c r="L402" s="401"/>
      <c r="N402" s="401"/>
      <c r="O402" s="401"/>
      <c r="P402" s="401"/>
      <c r="Q402" s="401"/>
      <c r="R402" s="401"/>
      <c r="S402" s="401"/>
      <c r="T402" s="401"/>
      <c r="U402" s="401"/>
      <c r="V402" s="401"/>
      <c r="W402" s="401"/>
      <c r="X402" s="401"/>
    </row>
    <row r="403" spans="11:24" ht="19.05" customHeight="1">
      <c r="K403" s="401"/>
      <c r="L403" s="401"/>
      <c r="N403" s="401"/>
      <c r="O403" s="401"/>
      <c r="P403" s="401"/>
      <c r="Q403" s="401"/>
      <c r="R403" s="401"/>
      <c r="S403" s="401"/>
      <c r="T403" s="401"/>
      <c r="U403" s="401"/>
      <c r="V403" s="401"/>
      <c r="W403" s="401"/>
      <c r="X403" s="401"/>
    </row>
    <row r="404" spans="11:24" ht="19.05" customHeight="1">
      <c r="K404" s="401"/>
      <c r="L404" s="401"/>
      <c r="N404" s="401"/>
      <c r="O404" s="401"/>
      <c r="P404" s="401"/>
      <c r="Q404" s="401"/>
      <c r="R404" s="401"/>
      <c r="S404" s="401"/>
      <c r="T404" s="401"/>
      <c r="U404" s="401"/>
      <c r="V404" s="401"/>
      <c r="W404" s="401"/>
      <c r="X404" s="401"/>
    </row>
    <row r="405" spans="11:24" ht="19.05" customHeight="1">
      <c r="K405" s="401"/>
      <c r="L405" s="401"/>
      <c r="N405" s="401"/>
      <c r="O405" s="401"/>
      <c r="P405" s="401"/>
      <c r="Q405" s="401"/>
      <c r="R405" s="401"/>
      <c r="S405" s="401"/>
      <c r="T405" s="401"/>
      <c r="U405" s="401"/>
      <c r="V405" s="401"/>
      <c r="W405" s="401"/>
      <c r="X405" s="401"/>
    </row>
    <row r="406" spans="11:24" ht="19.05" customHeight="1">
      <c r="K406" s="401"/>
      <c r="L406" s="401"/>
      <c r="N406" s="401"/>
      <c r="O406" s="401"/>
      <c r="P406" s="401"/>
      <c r="Q406" s="401"/>
      <c r="R406" s="401"/>
      <c r="S406" s="401"/>
      <c r="T406" s="401"/>
      <c r="U406" s="401"/>
      <c r="V406" s="401"/>
      <c r="W406" s="401"/>
      <c r="X406" s="401"/>
    </row>
    <row r="407" spans="11:24" ht="19.05" customHeight="1">
      <c r="K407" s="401"/>
      <c r="L407" s="401"/>
      <c r="N407" s="401"/>
      <c r="O407" s="401"/>
      <c r="P407" s="401"/>
      <c r="Q407" s="401"/>
      <c r="R407" s="401"/>
      <c r="S407" s="401"/>
      <c r="T407" s="401"/>
      <c r="U407" s="401"/>
      <c r="V407" s="401"/>
      <c r="W407" s="401"/>
      <c r="X407" s="401"/>
    </row>
    <row r="408" spans="11:24" ht="19.05" customHeight="1">
      <c r="K408" s="401"/>
      <c r="L408" s="401"/>
      <c r="N408" s="401"/>
      <c r="O408" s="401"/>
      <c r="P408" s="401"/>
      <c r="Q408" s="401"/>
      <c r="R408" s="401"/>
      <c r="S408" s="401"/>
      <c r="T408" s="401"/>
      <c r="U408" s="401"/>
      <c r="V408" s="401"/>
      <c r="W408" s="401"/>
      <c r="X408" s="401"/>
    </row>
    <row r="409" spans="11:24" ht="19.05" customHeight="1">
      <c r="K409" s="401"/>
      <c r="L409" s="401"/>
      <c r="N409" s="401"/>
      <c r="O409" s="401"/>
      <c r="P409" s="401"/>
      <c r="Q409" s="401"/>
      <c r="R409" s="401"/>
      <c r="S409" s="401"/>
      <c r="T409" s="401"/>
      <c r="U409" s="401"/>
      <c r="V409" s="401"/>
      <c r="W409" s="401"/>
      <c r="X409" s="401"/>
    </row>
    <row r="410" spans="11:24" ht="19.05" customHeight="1">
      <c r="K410" s="401"/>
      <c r="L410" s="401"/>
      <c r="N410" s="401"/>
      <c r="O410" s="401"/>
      <c r="P410" s="401"/>
      <c r="Q410" s="401"/>
      <c r="R410" s="401"/>
      <c r="S410" s="401"/>
      <c r="T410" s="401"/>
      <c r="U410" s="401"/>
      <c r="V410" s="401"/>
      <c r="W410" s="401"/>
      <c r="X410" s="401"/>
    </row>
    <row r="411" spans="11:24" ht="19.05" customHeight="1">
      <c r="K411" s="401"/>
      <c r="L411" s="401"/>
      <c r="N411" s="401"/>
      <c r="O411" s="401"/>
      <c r="P411" s="401"/>
      <c r="Q411" s="401"/>
      <c r="R411" s="401"/>
      <c r="S411" s="401"/>
      <c r="T411" s="401"/>
      <c r="U411" s="401"/>
      <c r="V411" s="401"/>
      <c r="W411" s="401"/>
      <c r="X411" s="401"/>
    </row>
    <row r="412" spans="11:24" ht="19.05" customHeight="1">
      <c r="K412" s="401"/>
      <c r="L412" s="401"/>
      <c r="N412" s="401"/>
      <c r="O412" s="401"/>
      <c r="P412" s="401"/>
      <c r="Q412" s="401"/>
      <c r="R412" s="401"/>
      <c r="S412" s="401"/>
      <c r="T412" s="401"/>
      <c r="U412" s="401"/>
      <c r="V412" s="401"/>
      <c r="W412" s="401"/>
      <c r="X412" s="401"/>
    </row>
    <row r="413" spans="11:24" ht="19.05" customHeight="1">
      <c r="K413" s="401"/>
      <c r="L413" s="401"/>
      <c r="N413" s="401"/>
      <c r="O413" s="401"/>
      <c r="P413" s="401"/>
      <c r="Q413" s="401"/>
      <c r="R413" s="401"/>
      <c r="S413" s="401"/>
      <c r="T413" s="401"/>
      <c r="U413" s="401"/>
      <c r="V413" s="401"/>
      <c r="W413" s="401"/>
      <c r="X413" s="401"/>
    </row>
    <row r="414" spans="11:24" ht="19.05" customHeight="1">
      <c r="K414" s="401"/>
      <c r="L414" s="401"/>
      <c r="N414" s="401"/>
      <c r="O414" s="401"/>
      <c r="P414" s="401"/>
      <c r="Q414" s="401"/>
      <c r="R414" s="401"/>
      <c r="S414" s="401"/>
      <c r="T414" s="401"/>
      <c r="U414" s="401"/>
      <c r="V414" s="401"/>
      <c r="W414" s="401"/>
      <c r="X414" s="401"/>
    </row>
    <row r="415" spans="11:24" ht="19.05" customHeight="1">
      <c r="K415" s="401"/>
      <c r="L415" s="401"/>
      <c r="N415" s="401"/>
      <c r="O415" s="401"/>
      <c r="P415" s="401"/>
      <c r="Q415" s="401"/>
      <c r="R415" s="401"/>
      <c r="S415" s="401"/>
      <c r="T415" s="401"/>
      <c r="U415" s="401"/>
      <c r="V415" s="401"/>
      <c r="W415" s="401"/>
      <c r="X415" s="401"/>
    </row>
    <row r="416" spans="11:24" ht="19.05" customHeight="1">
      <c r="K416" s="401"/>
      <c r="L416" s="401"/>
      <c r="N416" s="401"/>
      <c r="O416" s="401"/>
      <c r="P416" s="401"/>
      <c r="Q416" s="401"/>
      <c r="R416" s="401"/>
      <c r="S416" s="401"/>
      <c r="T416" s="401"/>
      <c r="U416" s="401"/>
      <c r="V416" s="401"/>
      <c r="W416" s="401"/>
      <c r="X416" s="401"/>
    </row>
    <row r="417" spans="11:24" ht="19.05" customHeight="1">
      <c r="K417" s="401"/>
      <c r="L417" s="401"/>
      <c r="N417" s="401"/>
      <c r="O417" s="401"/>
      <c r="P417" s="401"/>
      <c r="Q417" s="401"/>
      <c r="R417" s="401"/>
      <c r="S417" s="401"/>
      <c r="T417" s="401"/>
      <c r="U417" s="401"/>
      <c r="V417" s="401"/>
      <c r="W417" s="401"/>
      <c r="X417" s="401"/>
    </row>
    <row r="418" spans="11:24" ht="19.05" customHeight="1">
      <c r="K418" s="401"/>
      <c r="L418" s="401"/>
      <c r="N418" s="401"/>
      <c r="O418" s="401"/>
      <c r="P418" s="401"/>
      <c r="Q418" s="401"/>
      <c r="R418" s="401"/>
      <c r="S418" s="401"/>
      <c r="T418" s="401"/>
      <c r="U418" s="401"/>
      <c r="V418" s="401"/>
      <c r="W418" s="401"/>
      <c r="X418" s="401"/>
    </row>
    <row r="419" spans="11:24" ht="19.05" customHeight="1">
      <c r="K419" s="401"/>
      <c r="L419" s="401"/>
      <c r="N419" s="401"/>
      <c r="O419" s="401"/>
      <c r="P419" s="401"/>
      <c r="Q419" s="401"/>
      <c r="R419" s="401"/>
      <c r="S419" s="401"/>
      <c r="T419" s="401"/>
      <c r="U419" s="401"/>
      <c r="V419" s="401"/>
      <c r="W419" s="401"/>
      <c r="X419" s="401"/>
    </row>
    <row r="420" spans="11:24" ht="19.05" customHeight="1">
      <c r="K420" s="401"/>
      <c r="L420" s="401"/>
      <c r="N420" s="401"/>
      <c r="O420" s="401"/>
      <c r="P420" s="401"/>
      <c r="Q420" s="401"/>
      <c r="R420" s="401"/>
      <c r="S420" s="401"/>
      <c r="T420" s="401"/>
      <c r="U420" s="401"/>
      <c r="V420" s="401"/>
      <c r="W420" s="401"/>
      <c r="X420" s="401"/>
    </row>
    <row r="421" spans="11:24" ht="19.05" customHeight="1">
      <c r="K421" s="401"/>
      <c r="L421" s="401"/>
      <c r="N421" s="401"/>
      <c r="O421" s="401"/>
      <c r="P421" s="401"/>
      <c r="Q421" s="401"/>
      <c r="R421" s="401"/>
      <c r="S421" s="401"/>
      <c r="T421" s="401"/>
      <c r="U421" s="401"/>
      <c r="V421" s="401"/>
      <c r="W421" s="401"/>
      <c r="X421" s="401"/>
    </row>
    <row r="422" spans="11:24" ht="19.05" customHeight="1">
      <c r="K422" s="401"/>
      <c r="L422" s="401"/>
      <c r="N422" s="401"/>
      <c r="O422" s="401"/>
      <c r="P422" s="401"/>
      <c r="Q422" s="401"/>
      <c r="R422" s="401"/>
      <c r="S422" s="401"/>
      <c r="T422" s="401"/>
      <c r="U422" s="401"/>
      <c r="V422" s="401"/>
      <c r="W422" s="401"/>
      <c r="X422" s="401"/>
    </row>
    <row r="423" spans="11:24" ht="19.05" customHeight="1">
      <c r="K423" s="401"/>
      <c r="L423" s="401"/>
      <c r="N423" s="401"/>
      <c r="O423" s="401"/>
      <c r="P423" s="401"/>
      <c r="Q423" s="401"/>
      <c r="R423" s="401"/>
      <c r="S423" s="401"/>
      <c r="T423" s="401"/>
      <c r="U423" s="401"/>
      <c r="V423" s="401"/>
      <c r="W423" s="401"/>
      <c r="X423" s="401"/>
    </row>
    <row r="424" spans="11:24" ht="19.05" customHeight="1">
      <c r="K424" s="401"/>
      <c r="L424" s="401"/>
      <c r="N424" s="401"/>
      <c r="O424" s="401"/>
      <c r="P424" s="401"/>
      <c r="Q424" s="401"/>
      <c r="R424" s="401"/>
      <c r="S424" s="401"/>
      <c r="T424" s="401"/>
      <c r="U424" s="401"/>
      <c r="V424" s="401"/>
      <c r="W424" s="401"/>
      <c r="X424" s="401"/>
    </row>
    <row r="425" spans="11:24" ht="19.05" customHeight="1">
      <c r="K425" s="401"/>
      <c r="L425" s="401"/>
      <c r="N425" s="401"/>
      <c r="O425" s="401"/>
      <c r="P425" s="401"/>
      <c r="Q425" s="401"/>
      <c r="R425" s="401"/>
      <c r="S425" s="401"/>
      <c r="T425" s="401"/>
      <c r="U425" s="401"/>
      <c r="V425" s="401"/>
      <c r="W425" s="401"/>
      <c r="X425" s="401"/>
    </row>
    <row r="426" spans="11:24" ht="19.05" customHeight="1">
      <c r="K426" s="401"/>
      <c r="L426" s="401"/>
      <c r="N426" s="401"/>
      <c r="O426" s="401"/>
      <c r="P426" s="401"/>
      <c r="Q426" s="401"/>
      <c r="R426" s="401"/>
      <c r="S426" s="401"/>
      <c r="T426" s="401"/>
      <c r="U426" s="401"/>
      <c r="V426" s="401"/>
      <c r="W426" s="401"/>
      <c r="X426" s="401"/>
    </row>
    <row r="427" spans="11:24" ht="19.05" customHeight="1">
      <c r="K427" s="401"/>
      <c r="L427" s="401"/>
      <c r="N427" s="401"/>
      <c r="O427" s="401"/>
      <c r="P427" s="401"/>
      <c r="Q427" s="401"/>
      <c r="R427" s="401"/>
      <c r="S427" s="401"/>
      <c r="T427" s="401"/>
      <c r="U427" s="401"/>
      <c r="V427" s="401"/>
      <c r="W427" s="401"/>
      <c r="X427" s="401"/>
    </row>
    <row r="428" spans="11:24" ht="19.05" customHeight="1">
      <c r="K428" s="401"/>
      <c r="L428" s="401"/>
      <c r="N428" s="401"/>
      <c r="O428" s="401"/>
      <c r="P428" s="401"/>
      <c r="Q428" s="401"/>
      <c r="R428" s="401"/>
      <c r="S428" s="401"/>
      <c r="T428" s="401"/>
      <c r="U428" s="401"/>
      <c r="V428" s="401"/>
      <c r="W428" s="401"/>
      <c r="X428" s="401"/>
    </row>
    <row r="429" spans="11:24" ht="19.05" customHeight="1">
      <c r="K429" s="401"/>
      <c r="L429" s="401"/>
      <c r="N429" s="401"/>
      <c r="O429" s="401"/>
      <c r="P429" s="401"/>
      <c r="Q429" s="401"/>
      <c r="R429" s="401"/>
      <c r="S429" s="401"/>
      <c r="T429" s="401"/>
      <c r="U429" s="401"/>
      <c r="V429" s="401"/>
      <c r="W429" s="401"/>
      <c r="X429" s="401"/>
    </row>
    <row r="430" spans="11:24" ht="19.05" customHeight="1">
      <c r="K430" s="401"/>
      <c r="L430" s="401"/>
      <c r="N430" s="401"/>
      <c r="O430" s="401"/>
      <c r="P430" s="401"/>
      <c r="Q430" s="401"/>
      <c r="R430" s="401"/>
      <c r="S430" s="401"/>
      <c r="T430" s="401"/>
      <c r="U430" s="401"/>
      <c r="V430" s="401"/>
      <c r="W430" s="401"/>
      <c r="X430" s="401"/>
    </row>
    <row r="431" spans="11:24" ht="19.05" customHeight="1">
      <c r="K431" s="401"/>
      <c r="L431" s="401"/>
      <c r="N431" s="401"/>
      <c r="O431" s="401"/>
      <c r="P431" s="401"/>
      <c r="Q431" s="401"/>
      <c r="R431" s="401"/>
      <c r="S431" s="401"/>
      <c r="T431" s="401"/>
      <c r="U431" s="401"/>
      <c r="V431" s="401"/>
      <c r="W431" s="401"/>
      <c r="X431" s="401"/>
    </row>
    <row r="432" spans="11:24" ht="19.05" customHeight="1">
      <c r="K432" s="401"/>
      <c r="L432" s="401"/>
      <c r="N432" s="401"/>
      <c r="O432" s="401"/>
      <c r="P432" s="401"/>
      <c r="Q432" s="401"/>
      <c r="R432" s="401"/>
      <c r="S432" s="401"/>
      <c r="T432" s="401"/>
      <c r="U432" s="401"/>
      <c r="V432" s="401"/>
      <c r="W432" s="401"/>
      <c r="X432" s="401"/>
    </row>
    <row r="433" spans="11:24" ht="19.05" customHeight="1">
      <c r="K433" s="401"/>
      <c r="L433" s="401"/>
      <c r="N433" s="401"/>
      <c r="O433" s="401"/>
      <c r="P433" s="401"/>
      <c r="Q433" s="401"/>
      <c r="R433" s="401"/>
      <c r="S433" s="401"/>
      <c r="T433" s="401"/>
      <c r="U433" s="401"/>
      <c r="V433" s="401"/>
      <c r="W433" s="401"/>
      <c r="X433" s="401"/>
    </row>
    <row r="434" spans="11:24" ht="19.05" customHeight="1">
      <c r="K434" s="401"/>
      <c r="L434" s="401"/>
      <c r="N434" s="401"/>
      <c r="O434" s="401"/>
      <c r="P434" s="401"/>
      <c r="Q434" s="401"/>
      <c r="R434" s="401"/>
      <c r="S434" s="401"/>
      <c r="T434" s="401"/>
      <c r="U434" s="401"/>
      <c r="V434" s="401"/>
      <c r="W434" s="401"/>
      <c r="X434" s="401"/>
    </row>
    <row r="435" spans="11:24" ht="19.05" customHeight="1">
      <c r="K435" s="401"/>
      <c r="L435" s="401"/>
      <c r="N435" s="401"/>
      <c r="O435" s="401"/>
      <c r="P435" s="401"/>
      <c r="Q435" s="401"/>
      <c r="R435" s="401"/>
      <c r="S435" s="401"/>
      <c r="T435" s="401"/>
      <c r="U435" s="401"/>
      <c r="V435" s="401"/>
      <c r="W435" s="401"/>
      <c r="X435" s="401"/>
    </row>
    <row r="436" spans="11:24" ht="19.05" customHeight="1">
      <c r="K436" s="401"/>
      <c r="L436" s="401"/>
      <c r="N436" s="401"/>
      <c r="O436" s="401"/>
      <c r="P436" s="401"/>
      <c r="Q436" s="401"/>
      <c r="R436" s="401"/>
      <c r="S436" s="401"/>
      <c r="T436" s="401"/>
      <c r="U436" s="401"/>
      <c r="V436" s="401"/>
      <c r="W436" s="401"/>
      <c r="X436" s="401"/>
    </row>
    <row r="437" spans="11:24" ht="19.05" customHeight="1">
      <c r="K437" s="401"/>
      <c r="L437" s="401"/>
      <c r="N437" s="401"/>
      <c r="O437" s="401"/>
      <c r="P437" s="401"/>
      <c r="Q437" s="401"/>
      <c r="R437" s="401"/>
      <c r="S437" s="401"/>
      <c r="T437" s="401"/>
      <c r="U437" s="401"/>
      <c r="V437" s="401"/>
      <c r="W437" s="401"/>
      <c r="X437" s="401"/>
    </row>
    <row r="438" spans="11:24" ht="19.05" customHeight="1">
      <c r="K438" s="401"/>
      <c r="L438" s="401"/>
      <c r="N438" s="401"/>
      <c r="O438" s="401"/>
      <c r="P438" s="401"/>
      <c r="Q438" s="401"/>
      <c r="R438" s="401"/>
      <c r="S438" s="401"/>
      <c r="T438" s="401"/>
      <c r="U438" s="401"/>
      <c r="V438" s="401"/>
      <c r="W438" s="401"/>
      <c r="X438" s="401"/>
    </row>
    <row r="439" spans="11:24" ht="19.05" customHeight="1">
      <c r="K439" s="401"/>
      <c r="L439" s="401"/>
      <c r="N439" s="401"/>
      <c r="O439" s="401"/>
      <c r="P439" s="401"/>
      <c r="Q439" s="401"/>
      <c r="R439" s="401"/>
      <c r="S439" s="401"/>
      <c r="T439" s="401"/>
      <c r="U439" s="401"/>
      <c r="V439" s="401"/>
      <c r="W439" s="401"/>
      <c r="X439" s="401"/>
    </row>
    <row r="440" spans="11:24" ht="19.05" customHeight="1">
      <c r="K440" s="401"/>
      <c r="L440" s="401"/>
      <c r="N440" s="401"/>
      <c r="O440" s="401"/>
      <c r="P440" s="401"/>
      <c r="Q440" s="401"/>
      <c r="R440" s="401"/>
      <c r="S440" s="401"/>
      <c r="T440" s="401"/>
      <c r="U440" s="401"/>
      <c r="V440" s="401"/>
      <c r="W440" s="401"/>
      <c r="X440" s="401"/>
    </row>
    <row r="441" spans="11:24" ht="19.05" customHeight="1">
      <c r="K441" s="401"/>
      <c r="L441" s="401"/>
      <c r="N441" s="401"/>
      <c r="O441" s="401"/>
      <c r="P441" s="401"/>
      <c r="Q441" s="401"/>
      <c r="R441" s="401"/>
      <c r="S441" s="401"/>
      <c r="T441" s="401"/>
      <c r="U441" s="401"/>
      <c r="V441" s="401"/>
      <c r="W441" s="401"/>
      <c r="X441" s="401"/>
    </row>
    <row r="442" spans="11:24" ht="19.05" customHeight="1">
      <c r="K442" s="401"/>
      <c r="L442" s="401"/>
      <c r="N442" s="401"/>
      <c r="O442" s="401"/>
      <c r="P442" s="401"/>
      <c r="Q442" s="401"/>
      <c r="R442" s="401"/>
      <c r="S442" s="401"/>
      <c r="T442" s="401"/>
      <c r="U442" s="401"/>
      <c r="V442" s="401"/>
      <c r="W442" s="401"/>
      <c r="X442" s="401"/>
    </row>
    <row r="443" spans="11:24" ht="19.05" customHeight="1">
      <c r="K443" s="401"/>
      <c r="L443" s="401"/>
      <c r="N443" s="401"/>
      <c r="O443" s="401"/>
      <c r="P443" s="401"/>
      <c r="Q443" s="401"/>
      <c r="R443" s="401"/>
      <c r="S443" s="401"/>
      <c r="T443" s="401"/>
      <c r="U443" s="401"/>
      <c r="V443" s="401"/>
      <c r="W443" s="401"/>
      <c r="X443" s="401"/>
    </row>
    <row r="444" spans="11:24" ht="19.05" customHeight="1">
      <c r="K444" s="401"/>
      <c r="L444" s="401"/>
      <c r="N444" s="401"/>
      <c r="O444" s="401"/>
      <c r="P444" s="401"/>
      <c r="Q444" s="401"/>
      <c r="R444" s="401"/>
      <c r="S444" s="401"/>
      <c r="T444" s="401"/>
      <c r="U444" s="401"/>
      <c r="V444" s="401"/>
      <c r="W444" s="401"/>
      <c r="X444" s="401"/>
    </row>
    <row r="445" spans="11:24" ht="19.05" customHeight="1">
      <c r="K445" s="401"/>
      <c r="L445" s="401"/>
      <c r="N445" s="401"/>
      <c r="O445" s="401"/>
      <c r="P445" s="401"/>
      <c r="Q445" s="401"/>
      <c r="R445" s="401"/>
      <c r="S445" s="401"/>
      <c r="T445" s="401"/>
      <c r="U445" s="401"/>
      <c r="V445" s="401"/>
      <c r="W445" s="401"/>
      <c r="X445" s="401"/>
    </row>
    <row r="446" spans="11:24" ht="19.05" customHeight="1">
      <c r="K446" s="401"/>
      <c r="L446" s="401"/>
      <c r="N446" s="401"/>
      <c r="O446" s="401"/>
      <c r="P446" s="401"/>
      <c r="Q446" s="401"/>
      <c r="R446" s="401"/>
      <c r="S446" s="401"/>
      <c r="T446" s="401"/>
      <c r="U446" s="401"/>
      <c r="V446" s="401"/>
      <c r="W446" s="401"/>
      <c r="X446" s="401"/>
    </row>
    <row r="447" spans="11:24" ht="19.05" customHeight="1">
      <c r="K447" s="401"/>
      <c r="L447" s="401"/>
      <c r="N447" s="401"/>
      <c r="O447" s="401"/>
      <c r="P447" s="401"/>
      <c r="Q447" s="401"/>
      <c r="R447" s="401"/>
      <c r="S447" s="401"/>
      <c r="T447" s="401"/>
      <c r="U447" s="401"/>
      <c r="V447" s="401"/>
      <c r="W447" s="401"/>
      <c r="X447" s="401"/>
    </row>
    <row r="448" spans="11:24" ht="19.05" customHeight="1">
      <c r="K448" s="401"/>
      <c r="L448" s="401"/>
      <c r="N448" s="401"/>
      <c r="O448" s="401"/>
      <c r="P448" s="401"/>
      <c r="Q448" s="401"/>
      <c r="R448" s="401"/>
      <c r="S448" s="401"/>
      <c r="T448" s="401"/>
      <c r="U448" s="401"/>
      <c r="V448" s="401"/>
      <c r="W448" s="401"/>
      <c r="X448" s="401"/>
    </row>
    <row r="449" spans="11:24" ht="19.05" customHeight="1">
      <c r="K449" s="401"/>
      <c r="L449" s="401"/>
      <c r="N449" s="401"/>
      <c r="O449" s="401"/>
      <c r="P449" s="401"/>
      <c r="Q449" s="401"/>
      <c r="R449" s="401"/>
      <c r="S449" s="401"/>
      <c r="T449" s="401"/>
      <c r="U449" s="401"/>
      <c r="V449" s="401"/>
      <c r="W449" s="401"/>
      <c r="X449" s="401"/>
    </row>
    <row r="450" spans="11:24" ht="19.05" customHeight="1">
      <c r="K450" s="401"/>
      <c r="L450" s="401"/>
      <c r="N450" s="401"/>
      <c r="O450" s="401"/>
      <c r="P450" s="401"/>
      <c r="Q450" s="401"/>
      <c r="R450" s="401"/>
      <c r="S450" s="401"/>
      <c r="T450" s="401"/>
      <c r="U450" s="401"/>
      <c r="V450" s="401"/>
      <c r="W450" s="401"/>
      <c r="X450" s="401"/>
    </row>
    <row r="451" spans="11:24" ht="19.05" customHeight="1">
      <c r="K451" s="401"/>
      <c r="L451" s="401"/>
      <c r="N451" s="401"/>
      <c r="O451" s="401"/>
      <c r="P451" s="401"/>
      <c r="Q451" s="401"/>
      <c r="R451" s="401"/>
      <c r="S451" s="401"/>
      <c r="T451" s="401"/>
      <c r="U451" s="401"/>
      <c r="V451" s="401"/>
      <c r="W451" s="401"/>
      <c r="X451" s="401"/>
    </row>
    <row r="452" spans="11:24" ht="19.05" customHeight="1">
      <c r="K452" s="401"/>
      <c r="L452" s="401"/>
      <c r="N452" s="401"/>
      <c r="O452" s="401"/>
      <c r="P452" s="401"/>
      <c r="Q452" s="401"/>
      <c r="R452" s="401"/>
      <c r="S452" s="401"/>
      <c r="T452" s="401"/>
      <c r="U452" s="401"/>
      <c r="V452" s="401"/>
      <c r="W452" s="401"/>
      <c r="X452" s="401"/>
    </row>
    <row r="453" spans="11:24" ht="19.05" customHeight="1">
      <c r="K453" s="401"/>
      <c r="L453" s="401"/>
      <c r="N453" s="401"/>
      <c r="O453" s="401"/>
      <c r="P453" s="401"/>
      <c r="Q453" s="401"/>
      <c r="R453" s="401"/>
      <c r="S453" s="401"/>
      <c r="T453" s="401"/>
      <c r="U453" s="401"/>
      <c r="V453" s="401"/>
      <c r="W453" s="401"/>
      <c r="X453" s="401"/>
    </row>
    <row r="454" spans="11:24" ht="19.05" customHeight="1">
      <c r="K454" s="401"/>
      <c r="L454" s="401"/>
      <c r="N454" s="401"/>
      <c r="O454" s="401"/>
      <c r="P454" s="401"/>
      <c r="Q454" s="401"/>
      <c r="R454" s="401"/>
      <c r="S454" s="401"/>
      <c r="T454" s="401"/>
      <c r="U454" s="401"/>
      <c r="V454" s="401"/>
      <c r="W454" s="401"/>
      <c r="X454" s="401"/>
    </row>
    <row r="455" spans="11:24" ht="19.05" customHeight="1">
      <c r="K455" s="401"/>
      <c r="L455" s="401"/>
      <c r="N455" s="401"/>
      <c r="O455" s="401"/>
      <c r="P455" s="401"/>
      <c r="Q455" s="401"/>
      <c r="R455" s="401"/>
      <c r="S455" s="401"/>
      <c r="T455" s="401"/>
      <c r="U455" s="401"/>
      <c r="V455" s="401"/>
      <c r="W455" s="401"/>
      <c r="X455" s="401"/>
    </row>
    <row r="456" spans="11:24" ht="19.05" customHeight="1">
      <c r="K456" s="401"/>
      <c r="L456" s="401"/>
      <c r="N456" s="401"/>
      <c r="O456" s="401"/>
      <c r="P456" s="401"/>
      <c r="Q456" s="401"/>
      <c r="R456" s="401"/>
      <c r="S456" s="401"/>
      <c r="T456" s="401"/>
      <c r="U456" s="401"/>
      <c r="V456" s="401"/>
      <c r="W456" s="401"/>
      <c r="X456" s="401"/>
    </row>
    <row r="457" spans="11:24" ht="19.05" customHeight="1">
      <c r="K457" s="401"/>
      <c r="L457" s="401"/>
      <c r="N457" s="401"/>
      <c r="O457" s="401"/>
      <c r="P457" s="401"/>
      <c r="Q457" s="401"/>
      <c r="R457" s="401"/>
      <c r="S457" s="401"/>
      <c r="T457" s="401"/>
      <c r="U457" s="401"/>
      <c r="V457" s="401"/>
      <c r="W457" s="401"/>
      <c r="X457" s="401"/>
    </row>
    <row r="458" spans="11:24" ht="19.05" customHeight="1">
      <c r="K458" s="401"/>
      <c r="L458" s="401"/>
      <c r="N458" s="401"/>
      <c r="O458" s="401"/>
      <c r="P458" s="401"/>
      <c r="Q458" s="401"/>
      <c r="R458" s="401"/>
      <c r="S458" s="401"/>
      <c r="T458" s="401"/>
      <c r="U458" s="401"/>
      <c r="V458" s="401"/>
      <c r="W458" s="401"/>
      <c r="X458" s="401"/>
    </row>
    <row r="459" spans="11:24" ht="19.05" customHeight="1">
      <c r="K459" s="401"/>
      <c r="L459" s="401"/>
      <c r="N459" s="401"/>
      <c r="O459" s="401"/>
      <c r="P459" s="401"/>
      <c r="Q459" s="401"/>
      <c r="R459" s="401"/>
      <c r="S459" s="401"/>
      <c r="T459" s="401"/>
      <c r="U459" s="401"/>
      <c r="V459" s="401"/>
      <c r="W459" s="401"/>
      <c r="X459" s="401"/>
    </row>
    <row r="460" spans="11:24" ht="19.05" customHeight="1">
      <c r="K460" s="401"/>
      <c r="L460" s="401"/>
      <c r="N460" s="401"/>
      <c r="O460" s="401"/>
      <c r="P460" s="401"/>
      <c r="Q460" s="401"/>
      <c r="R460" s="401"/>
      <c r="S460" s="401"/>
      <c r="T460" s="401"/>
      <c r="U460" s="401"/>
      <c r="V460" s="401"/>
      <c r="W460" s="401"/>
      <c r="X460" s="401"/>
    </row>
    <row r="461" spans="11:24" ht="19.05" customHeight="1">
      <c r="K461" s="401"/>
      <c r="L461" s="401"/>
      <c r="N461" s="401"/>
      <c r="O461" s="401"/>
      <c r="P461" s="401"/>
      <c r="Q461" s="401"/>
      <c r="R461" s="401"/>
      <c r="S461" s="401"/>
      <c r="T461" s="401"/>
      <c r="U461" s="401"/>
      <c r="V461" s="401"/>
      <c r="W461" s="401"/>
      <c r="X461" s="401"/>
    </row>
    <row r="462" spans="11:24" ht="19.05" customHeight="1">
      <c r="K462" s="401"/>
      <c r="L462" s="401"/>
      <c r="N462" s="401"/>
      <c r="O462" s="401"/>
      <c r="P462" s="401"/>
      <c r="Q462" s="401"/>
      <c r="R462" s="401"/>
      <c r="S462" s="401"/>
      <c r="T462" s="401"/>
      <c r="U462" s="401"/>
      <c r="V462" s="401"/>
      <c r="W462" s="401"/>
      <c r="X462" s="401"/>
    </row>
    <row r="463" spans="11:24" ht="19.05" customHeight="1">
      <c r="K463" s="401"/>
      <c r="L463" s="401"/>
      <c r="N463" s="401"/>
      <c r="O463" s="401"/>
      <c r="P463" s="401"/>
      <c r="Q463" s="401"/>
      <c r="R463" s="401"/>
      <c r="S463" s="401"/>
      <c r="T463" s="401"/>
      <c r="U463" s="401"/>
      <c r="V463" s="401"/>
      <c r="W463" s="401"/>
      <c r="X463" s="401"/>
    </row>
    <row r="464" spans="11:24" ht="19.05" customHeight="1">
      <c r="K464" s="401"/>
      <c r="L464" s="401"/>
      <c r="N464" s="401"/>
      <c r="O464" s="401"/>
      <c r="P464" s="401"/>
      <c r="Q464" s="401"/>
      <c r="R464" s="401"/>
      <c r="S464" s="401"/>
      <c r="T464" s="401"/>
      <c r="U464" s="401"/>
      <c r="V464" s="401"/>
      <c r="W464" s="401"/>
      <c r="X464" s="401"/>
    </row>
    <row r="465" spans="11:24" ht="19.05" customHeight="1">
      <c r="K465" s="401"/>
      <c r="L465" s="401"/>
      <c r="N465" s="401"/>
      <c r="O465" s="401"/>
      <c r="P465" s="401"/>
      <c r="Q465" s="401"/>
      <c r="R465" s="401"/>
      <c r="S465" s="401"/>
      <c r="T465" s="401"/>
      <c r="U465" s="401"/>
      <c r="V465" s="401"/>
      <c r="W465" s="401"/>
      <c r="X465" s="401"/>
    </row>
    <row r="466" spans="11:24" ht="19.05" customHeight="1">
      <c r="K466" s="401"/>
      <c r="L466" s="401"/>
      <c r="N466" s="401"/>
      <c r="O466" s="401"/>
      <c r="P466" s="401"/>
      <c r="Q466" s="401"/>
      <c r="R466" s="401"/>
      <c r="S466" s="401"/>
      <c r="T466" s="401"/>
      <c r="U466" s="401"/>
      <c r="V466" s="401"/>
      <c r="W466" s="401"/>
      <c r="X466" s="401"/>
    </row>
    <row r="467" spans="11:24" ht="19.05" customHeight="1">
      <c r="K467" s="401"/>
      <c r="L467" s="401"/>
      <c r="N467" s="401"/>
      <c r="O467" s="401"/>
      <c r="P467" s="401"/>
      <c r="Q467" s="401"/>
      <c r="R467" s="401"/>
      <c r="S467" s="401"/>
      <c r="T467" s="401"/>
      <c r="U467" s="401"/>
      <c r="V467" s="401"/>
      <c r="W467" s="401"/>
      <c r="X467" s="401"/>
    </row>
    <row r="468" spans="11:24" ht="19.05" customHeight="1">
      <c r="K468" s="401"/>
      <c r="L468" s="401"/>
      <c r="N468" s="401"/>
      <c r="O468" s="401"/>
      <c r="P468" s="401"/>
      <c r="Q468" s="401"/>
      <c r="R468" s="401"/>
      <c r="S468" s="401"/>
      <c r="T468" s="401"/>
      <c r="U468" s="401"/>
      <c r="V468" s="401"/>
      <c r="W468" s="401"/>
      <c r="X468" s="401"/>
    </row>
    <row r="469" spans="11:24" ht="19.05" customHeight="1">
      <c r="K469" s="401"/>
      <c r="L469" s="401"/>
      <c r="N469" s="401"/>
      <c r="O469" s="401"/>
      <c r="P469" s="401"/>
      <c r="Q469" s="401"/>
      <c r="R469" s="401"/>
      <c r="S469" s="401"/>
      <c r="T469" s="401"/>
      <c r="U469" s="401"/>
      <c r="V469" s="401"/>
      <c r="W469" s="401"/>
      <c r="X469" s="401"/>
    </row>
    <row r="470" spans="11:24" ht="19.05" customHeight="1">
      <c r="K470" s="401"/>
      <c r="L470" s="401"/>
      <c r="N470" s="401"/>
      <c r="O470" s="401"/>
      <c r="P470" s="401"/>
      <c r="Q470" s="401"/>
      <c r="R470" s="401"/>
      <c r="S470" s="401"/>
      <c r="T470" s="401"/>
      <c r="U470" s="401"/>
      <c r="V470" s="401"/>
      <c r="W470" s="401"/>
      <c r="X470" s="401"/>
    </row>
    <row r="471" spans="11:24" ht="19.05" customHeight="1">
      <c r="K471" s="401"/>
      <c r="L471" s="401"/>
      <c r="N471" s="401"/>
      <c r="O471" s="401"/>
      <c r="P471" s="401"/>
      <c r="Q471" s="401"/>
      <c r="R471" s="401"/>
      <c r="S471" s="401"/>
      <c r="T471" s="401"/>
      <c r="U471" s="401"/>
      <c r="V471" s="401"/>
      <c r="W471" s="401"/>
      <c r="X471" s="401"/>
    </row>
    <row r="472" spans="11:24" ht="19.05" customHeight="1">
      <c r="K472" s="401"/>
      <c r="L472" s="401"/>
      <c r="N472" s="401"/>
      <c r="O472" s="401"/>
      <c r="P472" s="401"/>
      <c r="Q472" s="401"/>
      <c r="R472" s="401"/>
      <c r="S472" s="401"/>
      <c r="T472" s="401"/>
      <c r="U472" s="401"/>
      <c r="V472" s="401"/>
      <c r="W472" s="401"/>
      <c r="X472" s="401"/>
    </row>
    <row r="473" spans="11:24" ht="19.05" customHeight="1">
      <c r="K473" s="401"/>
      <c r="L473" s="401"/>
      <c r="N473" s="401"/>
      <c r="O473" s="401"/>
      <c r="P473" s="401"/>
      <c r="Q473" s="401"/>
      <c r="R473" s="401"/>
      <c r="S473" s="401"/>
      <c r="T473" s="401"/>
      <c r="U473" s="401"/>
      <c r="V473" s="401"/>
      <c r="W473" s="401"/>
      <c r="X473" s="401"/>
    </row>
    <row r="474" spans="11:24" ht="19.05" customHeight="1">
      <c r="K474" s="401"/>
      <c r="L474" s="401"/>
      <c r="N474" s="401"/>
      <c r="O474" s="401"/>
      <c r="P474" s="401"/>
      <c r="Q474" s="401"/>
      <c r="R474" s="401"/>
      <c r="S474" s="401"/>
      <c r="T474" s="401"/>
      <c r="U474" s="401"/>
      <c r="V474" s="401"/>
      <c r="W474" s="401"/>
      <c r="X474" s="401"/>
    </row>
    <row r="475" spans="11:24" ht="19.05" customHeight="1">
      <c r="K475" s="401"/>
      <c r="L475" s="401"/>
      <c r="N475" s="401"/>
      <c r="O475" s="401"/>
      <c r="P475" s="401"/>
      <c r="Q475" s="401"/>
      <c r="R475" s="401"/>
      <c r="S475" s="401"/>
      <c r="T475" s="401"/>
      <c r="U475" s="401"/>
      <c r="V475" s="401"/>
      <c r="W475" s="401"/>
      <c r="X475" s="401"/>
    </row>
    <row r="476" spans="11:24" ht="19.05" customHeight="1">
      <c r="K476" s="401"/>
      <c r="L476" s="401"/>
      <c r="N476" s="401"/>
      <c r="O476" s="401"/>
      <c r="P476" s="401"/>
      <c r="Q476" s="401"/>
      <c r="R476" s="401"/>
      <c r="S476" s="401"/>
      <c r="T476" s="401"/>
      <c r="U476" s="401"/>
      <c r="V476" s="401"/>
      <c r="W476" s="401"/>
      <c r="X476" s="401"/>
    </row>
    <row r="477" spans="11:24" ht="19.05" customHeight="1">
      <c r="K477" s="401"/>
      <c r="L477" s="401"/>
      <c r="N477" s="401"/>
      <c r="O477" s="401"/>
      <c r="P477" s="401"/>
      <c r="Q477" s="401"/>
      <c r="R477" s="401"/>
      <c r="S477" s="401"/>
      <c r="T477" s="401"/>
      <c r="U477" s="401"/>
      <c r="V477" s="401"/>
      <c r="W477" s="401"/>
      <c r="X477" s="401"/>
    </row>
    <row r="478" spans="11:24" ht="19.05" customHeight="1">
      <c r="K478" s="401"/>
      <c r="L478" s="401"/>
      <c r="N478" s="401"/>
      <c r="O478" s="401"/>
      <c r="P478" s="401"/>
      <c r="Q478" s="401"/>
      <c r="R478" s="401"/>
      <c r="S478" s="401"/>
      <c r="T478" s="401"/>
      <c r="U478" s="401"/>
      <c r="V478" s="401"/>
      <c r="W478" s="401"/>
      <c r="X478" s="401"/>
    </row>
    <row r="479" spans="11:24" ht="19.05" customHeight="1">
      <c r="K479" s="401"/>
      <c r="L479" s="401"/>
      <c r="N479" s="401"/>
      <c r="O479" s="401"/>
      <c r="P479" s="401"/>
      <c r="Q479" s="401"/>
      <c r="R479" s="401"/>
      <c r="S479" s="401"/>
      <c r="T479" s="401"/>
      <c r="U479" s="401"/>
      <c r="V479" s="401"/>
      <c r="W479" s="401"/>
      <c r="X479" s="401"/>
    </row>
    <row r="480" spans="11:24" ht="19.05" customHeight="1">
      <c r="K480" s="401"/>
      <c r="L480" s="401"/>
      <c r="N480" s="401"/>
      <c r="O480" s="401"/>
      <c r="P480" s="401"/>
      <c r="Q480" s="401"/>
      <c r="R480" s="401"/>
      <c r="S480" s="401"/>
      <c r="T480" s="401"/>
      <c r="U480" s="401"/>
      <c r="V480" s="401"/>
      <c r="W480" s="401"/>
      <c r="X480" s="401"/>
    </row>
    <row r="481" spans="11:24" ht="19.05" customHeight="1">
      <c r="K481" s="401"/>
      <c r="L481" s="401"/>
      <c r="N481" s="401"/>
      <c r="O481" s="401"/>
      <c r="P481" s="401"/>
      <c r="Q481" s="401"/>
      <c r="R481" s="401"/>
      <c r="S481" s="401"/>
      <c r="T481" s="401"/>
      <c r="U481" s="401"/>
      <c r="V481" s="401"/>
      <c r="W481" s="401"/>
      <c r="X481" s="401"/>
    </row>
    <row r="482" spans="11:24" ht="19.05" customHeight="1">
      <c r="K482" s="401"/>
      <c r="L482" s="401"/>
      <c r="N482" s="401"/>
      <c r="O482" s="401"/>
      <c r="P482" s="401"/>
      <c r="Q482" s="401"/>
      <c r="R482" s="401"/>
      <c r="S482" s="401"/>
      <c r="T482" s="401"/>
      <c r="U482" s="401"/>
      <c r="V482" s="401"/>
      <c r="W482" s="401"/>
      <c r="X482" s="401"/>
    </row>
    <row r="483" spans="11:24" ht="19.05" customHeight="1">
      <c r="K483" s="401"/>
      <c r="L483" s="401"/>
      <c r="N483" s="401"/>
      <c r="O483" s="401"/>
      <c r="P483" s="401"/>
      <c r="Q483" s="401"/>
      <c r="R483" s="401"/>
      <c r="S483" s="401"/>
      <c r="T483" s="401"/>
      <c r="U483" s="401"/>
      <c r="V483" s="401"/>
      <c r="W483" s="401"/>
      <c r="X483" s="401"/>
    </row>
    <row r="484" spans="11:24" ht="19.05" customHeight="1">
      <c r="K484" s="401"/>
      <c r="L484" s="401"/>
      <c r="N484" s="401"/>
      <c r="O484" s="401"/>
      <c r="P484" s="401"/>
      <c r="Q484" s="401"/>
      <c r="R484" s="401"/>
      <c r="S484" s="401"/>
      <c r="T484" s="401"/>
      <c r="U484" s="401"/>
      <c r="V484" s="401"/>
      <c r="W484" s="401"/>
      <c r="X484" s="401"/>
    </row>
    <row r="485" spans="11:24" ht="19.05" customHeight="1">
      <c r="K485" s="401"/>
      <c r="L485" s="401"/>
      <c r="N485" s="401"/>
      <c r="O485" s="401"/>
      <c r="P485" s="401"/>
      <c r="Q485" s="401"/>
      <c r="R485" s="401"/>
      <c r="S485" s="401"/>
      <c r="T485" s="401"/>
      <c r="U485" s="401"/>
      <c r="V485" s="401"/>
      <c r="W485" s="401"/>
      <c r="X485" s="401"/>
    </row>
    <row r="486" spans="11:24" ht="19.05" customHeight="1">
      <c r="K486" s="401"/>
      <c r="L486" s="401"/>
      <c r="N486" s="401"/>
      <c r="O486" s="401"/>
      <c r="P486" s="401"/>
      <c r="Q486" s="401"/>
      <c r="R486" s="401"/>
      <c r="S486" s="401"/>
      <c r="T486" s="401"/>
      <c r="U486" s="401"/>
      <c r="V486" s="401"/>
      <c r="W486" s="401"/>
      <c r="X486" s="401"/>
    </row>
    <row r="487" spans="11:24" ht="19.05" customHeight="1">
      <c r="K487" s="401"/>
      <c r="L487" s="401"/>
      <c r="N487" s="401"/>
      <c r="O487" s="401"/>
      <c r="P487" s="401"/>
      <c r="Q487" s="401"/>
      <c r="R487" s="401"/>
      <c r="S487" s="401"/>
      <c r="T487" s="401"/>
      <c r="U487" s="401"/>
      <c r="V487" s="401"/>
      <c r="W487" s="401"/>
      <c r="X487" s="401"/>
    </row>
    <row r="488" spans="11:24" ht="19.05" customHeight="1">
      <c r="K488" s="401"/>
      <c r="L488" s="401"/>
      <c r="N488" s="401"/>
      <c r="O488" s="401"/>
      <c r="P488" s="401"/>
      <c r="Q488" s="401"/>
      <c r="R488" s="401"/>
      <c r="S488" s="401"/>
      <c r="T488" s="401"/>
      <c r="U488" s="401"/>
      <c r="V488" s="401"/>
      <c r="W488" s="401"/>
      <c r="X488" s="401"/>
    </row>
    <row r="489" spans="11:24" ht="19.05" customHeight="1">
      <c r="K489" s="401"/>
      <c r="L489" s="401"/>
      <c r="N489" s="401"/>
      <c r="O489" s="401"/>
      <c r="P489" s="401"/>
      <c r="Q489" s="401"/>
      <c r="R489" s="401"/>
      <c r="S489" s="401"/>
      <c r="T489" s="401"/>
      <c r="U489" s="401"/>
      <c r="V489" s="401"/>
      <c r="W489" s="401"/>
      <c r="X489" s="401"/>
    </row>
    <row r="490" spans="11:24" ht="19.05" customHeight="1">
      <c r="K490" s="401"/>
      <c r="L490" s="401"/>
      <c r="N490" s="401"/>
      <c r="O490" s="401"/>
      <c r="P490" s="401"/>
      <c r="Q490" s="401"/>
      <c r="R490" s="401"/>
      <c r="S490" s="401"/>
      <c r="T490" s="401"/>
      <c r="U490" s="401"/>
      <c r="V490" s="401"/>
      <c r="W490" s="401"/>
      <c r="X490" s="401"/>
    </row>
    <row r="491" spans="11:24" ht="19.05" customHeight="1">
      <c r="K491" s="401"/>
      <c r="L491" s="401"/>
      <c r="N491" s="401"/>
      <c r="O491" s="401"/>
      <c r="P491" s="401"/>
      <c r="Q491" s="401"/>
      <c r="R491" s="401"/>
      <c r="S491" s="401"/>
      <c r="T491" s="401"/>
      <c r="U491" s="401"/>
      <c r="V491" s="401"/>
      <c r="W491" s="401"/>
      <c r="X491" s="401"/>
    </row>
    <row r="492" spans="11:24" ht="19.05" customHeight="1">
      <c r="K492" s="401"/>
      <c r="L492" s="401"/>
      <c r="N492" s="401"/>
      <c r="O492" s="401"/>
      <c r="P492" s="401"/>
      <c r="Q492" s="401"/>
      <c r="R492" s="401"/>
      <c r="S492" s="401"/>
      <c r="T492" s="401"/>
      <c r="U492" s="401"/>
      <c r="V492" s="401"/>
      <c r="W492" s="401"/>
      <c r="X492" s="401"/>
    </row>
    <row r="493" spans="11:24" ht="19.05" customHeight="1">
      <c r="K493" s="401"/>
      <c r="L493" s="401"/>
      <c r="N493" s="401"/>
      <c r="O493" s="401"/>
      <c r="P493" s="401"/>
      <c r="Q493" s="401"/>
      <c r="R493" s="401"/>
      <c r="S493" s="401"/>
      <c r="T493" s="401"/>
      <c r="U493" s="401"/>
      <c r="V493" s="401"/>
      <c r="W493" s="401"/>
      <c r="X493" s="401"/>
    </row>
    <row r="494" spans="11:24" ht="19.05" customHeight="1">
      <c r="K494" s="401"/>
      <c r="L494" s="401"/>
      <c r="N494" s="401"/>
      <c r="O494" s="401"/>
      <c r="P494" s="401"/>
      <c r="Q494" s="401"/>
      <c r="R494" s="401"/>
      <c r="S494" s="401"/>
      <c r="T494" s="401"/>
      <c r="U494" s="401"/>
      <c r="V494" s="401"/>
      <c r="W494" s="401"/>
      <c r="X494" s="401"/>
    </row>
    <row r="495" spans="11:24" ht="19.05" customHeight="1">
      <c r="K495" s="401"/>
      <c r="L495" s="401"/>
      <c r="N495" s="401"/>
      <c r="O495" s="401"/>
      <c r="P495" s="401"/>
      <c r="Q495" s="401"/>
      <c r="R495" s="401"/>
      <c r="S495" s="401"/>
      <c r="T495" s="401"/>
      <c r="U495" s="401"/>
      <c r="V495" s="401"/>
      <c r="W495" s="401"/>
      <c r="X495" s="401"/>
    </row>
    <row r="496" spans="11:24" ht="19.05" customHeight="1">
      <c r="K496" s="401"/>
      <c r="L496" s="401"/>
      <c r="N496" s="401"/>
      <c r="O496" s="401"/>
      <c r="P496" s="401"/>
      <c r="Q496" s="401"/>
      <c r="R496" s="401"/>
      <c r="S496" s="401"/>
      <c r="T496" s="401"/>
      <c r="U496" s="401"/>
      <c r="V496" s="401"/>
      <c r="W496" s="401"/>
      <c r="X496" s="401"/>
    </row>
    <row r="497" spans="11:24" ht="19.05" customHeight="1">
      <c r="K497" s="401"/>
      <c r="L497" s="401"/>
      <c r="N497" s="401"/>
      <c r="O497" s="401"/>
      <c r="P497" s="401"/>
      <c r="Q497" s="401"/>
      <c r="R497" s="401"/>
      <c r="S497" s="401"/>
      <c r="T497" s="401"/>
      <c r="U497" s="401"/>
      <c r="V497" s="401"/>
      <c r="W497" s="401"/>
      <c r="X497" s="401"/>
    </row>
    <row r="498" spans="11:24" ht="19.05" customHeight="1">
      <c r="K498" s="401"/>
      <c r="L498" s="401"/>
      <c r="N498" s="401"/>
      <c r="O498" s="401"/>
      <c r="P498" s="401"/>
      <c r="Q498" s="401"/>
      <c r="R498" s="401"/>
      <c r="S498" s="401"/>
      <c r="T498" s="401"/>
      <c r="U498" s="401"/>
      <c r="V498" s="401"/>
      <c r="W498" s="401"/>
      <c r="X498" s="401"/>
    </row>
    <row r="499" spans="11:24" ht="19.05" customHeight="1">
      <c r="K499" s="401"/>
      <c r="L499" s="401"/>
      <c r="N499" s="401"/>
      <c r="O499" s="401"/>
      <c r="P499" s="401"/>
      <c r="Q499" s="401"/>
      <c r="R499" s="401"/>
      <c r="S499" s="401"/>
      <c r="T499" s="401"/>
      <c r="U499" s="401"/>
      <c r="V499" s="401"/>
      <c r="W499" s="401"/>
      <c r="X499" s="401"/>
    </row>
    <row r="500" spans="11:24" ht="19.05" customHeight="1">
      <c r="K500" s="401"/>
      <c r="L500" s="401"/>
      <c r="N500" s="401"/>
      <c r="O500" s="401"/>
      <c r="P500" s="401"/>
      <c r="Q500" s="401"/>
      <c r="R500" s="401"/>
      <c r="S500" s="401"/>
      <c r="T500" s="401"/>
      <c r="U500" s="401"/>
      <c r="V500" s="401"/>
      <c r="W500" s="401"/>
      <c r="X500" s="401"/>
    </row>
    <row r="501" spans="11:24" ht="19.05" customHeight="1">
      <c r="K501" s="401"/>
      <c r="L501" s="401"/>
      <c r="N501" s="401"/>
      <c r="O501" s="401"/>
      <c r="P501" s="401"/>
      <c r="Q501" s="401"/>
      <c r="R501" s="401"/>
      <c r="S501" s="401"/>
      <c r="T501" s="401"/>
      <c r="U501" s="401"/>
      <c r="V501" s="401"/>
      <c r="W501" s="401"/>
      <c r="X501" s="401"/>
    </row>
    <row r="502" spans="11:24" ht="19.05" customHeight="1">
      <c r="K502" s="401"/>
      <c r="L502" s="401"/>
      <c r="N502" s="401"/>
      <c r="O502" s="401"/>
      <c r="P502" s="401"/>
      <c r="Q502" s="401"/>
      <c r="R502" s="401"/>
      <c r="S502" s="401"/>
      <c r="T502" s="401"/>
      <c r="U502" s="401"/>
      <c r="V502" s="401"/>
      <c r="W502" s="401"/>
      <c r="X502" s="401"/>
    </row>
    <row r="503" spans="11:24" ht="19.05" customHeight="1">
      <c r="K503" s="401"/>
      <c r="L503" s="401"/>
      <c r="N503" s="401"/>
      <c r="O503" s="401"/>
      <c r="P503" s="401"/>
      <c r="Q503" s="401"/>
      <c r="R503" s="401"/>
      <c r="S503" s="401"/>
      <c r="T503" s="401"/>
      <c r="U503" s="401"/>
      <c r="V503" s="401"/>
      <c r="W503" s="401"/>
      <c r="X503" s="401"/>
    </row>
    <row r="504" spans="11:24" ht="19.05" customHeight="1">
      <c r="K504" s="401"/>
      <c r="L504" s="401"/>
      <c r="N504" s="401"/>
      <c r="O504" s="401"/>
      <c r="P504" s="401"/>
      <c r="Q504" s="401"/>
      <c r="R504" s="401"/>
      <c r="S504" s="401"/>
      <c r="T504" s="401"/>
      <c r="U504" s="401"/>
      <c r="V504" s="401"/>
      <c r="W504" s="401"/>
      <c r="X504" s="401"/>
    </row>
    <row r="505" spans="11:24" ht="19.05" customHeight="1">
      <c r="K505" s="401"/>
      <c r="L505" s="401"/>
      <c r="N505" s="401"/>
      <c r="O505" s="401"/>
      <c r="P505" s="401"/>
      <c r="Q505" s="401"/>
      <c r="R505" s="401"/>
      <c r="S505" s="401"/>
      <c r="T505" s="401"/>
      <c r="U505" s="401"/>
      <c r="V505" s="401"/>
      <c r="W505" s="401"/>
      <c r="X505" s="401"/>
    </row>
    <row r="506" spans="11:24" ht="19.05" customHeight="1">
      <c r="K506" s="401"/>
      <c r="L506" s="401"/>
      <c r="N506" s="401"/>
      <c r="O506" s="401"/>
      <c r="P506" s="401"/>
      <c r="Q506" s="401"/>
      <c r="R506" s="401"/>
      <c r="S506" s="401"/>
      <c r="T506" s="401"/>
      <c r="U506" s="401"/>
      <c r="V506" s="401"/>
      <c r="W506" s="401"/>
      <c r="X506" s="401"/>
    </row>
    <row r="507" spans="11:24" ht="19.05" customHeight="1">
      <c r="K507" s="401"/>
      <c r="L507" s="401"/>
      <c r="N507" s="401"/>
      <c r="O507" s="401"/>
      <c r="P507" s="401"/>
      <c r="Q507" s="401"/>
      <c r="R507" s="401"/>
      <c r="S507" s="401"/>
      <c r="T507" s="401"/>
      <c r="U507" s="401"/>
      <c r="V507" s="401"/>
      <c r="W507" s="401"/>
      <c r="X507" s="401"/>
    </row>
    <row r="508" spans="11:24" ht="19.05" customHeight="1">
      <c r="K508" s="401"/>
      <c r="L508" s="401"/>
      <c r="N508" s="401"/>
      <c r="O508" s="401"/>
      <c r="P508" s="401"/>
      <c r="Q508" s="401"/>
      <c r="R508" s="401"/>
      <c r="S508" s="401"/>
      <c r="T508" s="401"/>
      <c r="U508" s="401"/>
      <c r="V508" s="401"/>
      <c r="W508" s="401"/>
      <c r="X508" s="401"/>
    </row>
    <row r="509" spans="11:24" ht="19.05" customHeight="1">
      <c r="K509" s="401"/>
      <c r="L509" s="401"/>
      <c r="N509" s="401"/>
      <c r="O509" s="401"/>
      <c r="P509" s="401"/>
      <c r="Q509" s="401"/>
      <c r="R509" s="401"/>
      <c r="S509" s="401"/>
      <c r="T509" s="401"/>
      <c r="U509" s="401"/>
      <c r="V509" s="401"/>
      <c r="W509" s="401"/>
      <c r="X509" s="401"/>
    </row>
    <row r="510" spans="11:24" ht="19.05" customHeight="1">
      <c r="K510" s="401"/>
      <c r="L510" s="401"/>
      <c r="N510" s="401"/>
      <c r="O510" s="401"/>
      <c r="P510" s="401"/>
      <c r="Q510" s="401"/>
      <c r="R510" s="401"/>
      <c r="S510" s="401"/>
      <c r="T510" s="401"/>
      <c r="U510" s="401"/>
      <c r="V510" s="401"/>
      <c r="W510" s="401"/>
      <c r="X510" s="401"/>
    </row>
    <row r="511" spans="11:24" ht="19.05" customHeight="1">
      <c r="K511" s="401"/>
      <c r="L511" s="401"/>
      <c r="N511" s="401"/>
      <c r="O511" s="401"/>
      <c r="P511" s="401"/>
      <c r="Q511" s="401"/>
      <c r="R511" s="401"/>
      <c r="S511" s="401"/>
      <c r="T511" s="401"/>
      <c r="U511" s="401"/>
      <c r="V511" s="401"/>
      <c r="W511" s="401"/>
      <c r="X511" s="401"/>
    </row>
    <row r="512" spans="11:24" ht="19.05" customHeight="1">
      <c r="K512" s="401"/>
      <c r="L512" s="401"/>
      <c r="N512" s="401"/>
      <c r="O512" s="401"/>
      <c r="P512" s="401"/>
      <c r="Q512" s="401"/>
      <c r="R512" s="401"/>
      <c r="S512" s="401"/>
      <c r="T512" s="401"/>
      <c r="U512" s="401"/>
      <c r="V512" s="401"/>
      <c r="W512" s="401"/>
      <c r="X512" s="401"/>
    </row>
    <row r="513" spans="11:24" ht="19.05" customHeight="1">
      <c r="K513" s="401"/>
      <c r="L513" s="401"/>
      <c r="N513" s="401"/>
      <c r="O513" s="401"/>
      <c r="P513" s="401"/>
      <c r="Q513" s="401"/>
      <c r="R513" s="401"/>
      <c r="S513" s="401"/>
      <c r="T513" s="401"/>
      <c r="U513" s="401"/>
      <c r="V513" s="401"/>
      <c r="W513" s="401"/>
      <c r="X513" s="401"/>
    </row>
    <row r="514" spans="11:24" ht="19.05" customHeight="1">
      <c r="K514" s="401"/>
      <c r="L514" s="401"/>
      <c r="N514" s="401"/>
      <c r="O514" s="401"/>
      <c r="P514" s="401"/>
      <c r="Q514" s="401"/>
      <c r="R514" s="401"/>
      <c r="S514" s="401"/>
      <c r="T514" s="401"/>
      <c r="U514" s="401"/>
      <c r="V514" s="401"/>
      <c r="W514" s="401"/>
      <c r="X514" s="401"/>
    </row>
    <row r="515" spans="11:24" ht="19.05" customHeight="1">
      <c r="K515" s="401"/>
      <c r="L515" s="401"/>
      <c r="N515" s="401"/>
      <c r="O515" s="401"/>
      <c r="P515" s="401"/>
      <c r="Q515" s="401"/>
      <c r="R515" s="401"/>
      <c r="S515" s="401"/>
      <c r="T515" s="401"/>
      <c r="U515" s="401"/>
      <c r="V515" s="401"/>
      <c r="W515" s="401"/>
      <c r="X515" s="401"/>
    </row>
    <row r="516" spans="11:24" ht="19.05" customHeight="1">
      <c r="K516" s="401"/>
      <c r="L516" s="401"/>
      <c r="N516" s="401"/>
      <c r="O516" s="401"/>
      <c r="P516" s="401"/>
      <c r="Q516" s="401"/>
      <c r="R516" s="401"/>
      <c r="S516" s="401"/>
      <c r="T516" s="401"/>
      <c r="U516" s="401"/>
      <c r="V516" s="401"/>
      <c r="W516" s="401"/>
      <c r="X516" s="401"/>
    </row>
    <row r="517" spans="11:24" ht="19.05" customHeight="1">
      <c r="K517" s="401"/>
      <c r="L517" s="401"/>
      <c r="N517" s="401"/>
      <c r="O517" s="401"/>
      <c r="P517" s="401"/>
      <c r="Q517" s="401"/>
      <c r="R517" s="401"/>
      <c r="S517" s="401"/>
      <c r="T517" s="401"/>
      <c r="U517" s="401"/>
      <c r="V517" s="401"/>
      <c r="W517" s="401"/>
      <c r="X517" s="401"/>
    </row>
    <row r="518" spans="11:24" ht="19.05" customHeight="1">
      <c r="K518" s="401"/>
      <c r="L518" s="401"/>
      <c r="N518" s="401"/>
      <c r="O518" s="401"/>
      <c r="P518" s="401"/>
      <c r="Q518" s="401"/>
      <c r="R518" s="401"/>
      <c r="S518" s="401"/>
      <c r="T518" s="401"/>
      <c r="U518" s="401"/>
      <c r="V518" s="401"/>
      <c r="W518" s="401"/>
      <c r="X518" s="401"/>
    </row>
    <row r="519" spans="11:24" ht="19.05" customHeight="1">
      <c r="K519" s="401"/>
      <c r="L519" s="401"/>
      <c r="N519" s="401"/>
      <c r="O519" s="401"/>
      <c r="P519" s="401"/>
      <c r="Q519" s="401"/>
      <c r="R519" s="401"/>
      <c r="S519" s="401"/>
      <c r="T519" s="401"/>
      <c r="U519" s="401"/>
      <c r="V519" s="401"/>
      <c r="W519" s="401"/>
      <c r="X519" s="401"/>
    </row>
    <row r="520" spans="11:24" ht="19.05" customHeight="1">
      <c r="K520" s="401"/>
      <c r="L520" s="401"/>
      <c r="N520" s="401"/>
      <c r="O520" s="401"/>
      <c r="P520" s="401"/>
      <c r="Q520" s="401"/>
      <c r="R520" s="401"/>
      <c r="S520" s="401"/>
      <c r="T520" s="401"/>
      <c r="U520" s="401"/>
      <c r="V520" s="401"/>
      <c r="W520" s="401"/>
      <c r="X520" s="401"/>
    </row>
    <row r="521" spans="11:24" ht="19.05" customHeight="1">
      <c r="K521" s="401"/>
      <c r="L521" s="401"/>
      <c r="N521" s="401"/>
      <c r="O521" s="401"/>
      <c r="P521" s="401"/>
      <c r="Q521" s="401"/>
      <c r="R521" s="401"/>
      <c r="S521" s="401"/>
      <c r="T521" s="401"/>
      <c r="U521" s="401"/>
      <c r="V521" s="401"/>
      <c r="W521" s="401"/>
      <c r="X521" s="401"/>
    </row>
    <row r="522" spans="11:24" ht="19.05" customHeight="1">
      <c r="K522" s="401"/>
      <c r="L522" s="401"/>
      <c r="N522" s="401"/>
      <c r="O522" s="401"/>
      <c r="P522" s="401"/>
      <c r="Q522" s="401"/>
      <c r="R522" s="401"/>
      <c r="S522" s="401"/>
      <c r="T522" s="401"/>
      <c r="U522" s="401"/>
      <c r="V522" s="401"/>
      <c r="W522" s="401"/>
      <c r="X522" s="401"/>
    </row>
    <row r="523" spans="11:24" ht="19.05" customHeight="1">
      <c r="K523" s="401"/>
      <c r="L523" s="401"/>
      <c r="N523" s="401"/>
      <c r="O523" s="401"/>
      <c r="P523" s="401"/>
      <c r="Q523" s="401"/>
      <c r="R523" s="401"/>
      <c r="S523" s="401"/>
      <c r="T523" s="401"/>
      <c r="U523" s="401"/>
      <c r="V523" s="401"/>
      <c r="W523" s="401"/>
      <c r="X523" s="401"/>
    </row>
    <row r="524" spans="11:24" ht="19.05" customHeight="1">
      <c r="K524" s="401"/>
      <c r="L524" s="401"/>
      <c r="N524" s="401"/>
      <c r="O524" s="401"/>
      <c r="P524" s="401"/>
      <c r="Q524" s="401"/>
      <c r="R524" s="401"/>
      <c r="S524" s="401"/>
      <c r="T524" s="401"/>
      <c r="U524" s="401"/>
      <c r="V524" s="401"/>
      <c r="W524" s="401"/>
      <c r="X524" s="401"/>
    </row>
    <row r="525" spans="11:24" ht="19.05" customHeight="1">
      <c r="K525" s="401"/>
      <c r="L525" s="401"/>
      <c r="N525" s="401"/>
      <c r="O525" s="401"/>
      <c r="P525" s="401"/>
      <c r="Q525" s="401"/>
      <c r="R525" s="401"/>
      <c r="S525" s="401"/>
      <c r="T525" s="401"/>
      <c r="U525" s="401"/>
      <c r="V525" s="401"/>
      <c r="W525" s="401"/>
      <c r="X525" s="401"/>
    </row>
    <row r="526" spans="11:24" ht="19.05" customHeight="1">
      <c r="K526" s="401"/>
      <c r="L526" s="401"/>
      <c r="N526" s="401"/>
      <c r="O526" s="401"/>
      <c r="P526" s="401"/>
      <c r="Q526" s="401"/>
      <c r="R526" s="401"/>
      <c r="S526" s="401"/>
      <c r="T526" s="401"/>
      <c r="U526" s="401"/>
      <c r="V526" s="401"/>
      <c r="W526" s="401"/>
      <c r="X526" s="401"/>
    </row>
    <row r="527" spans="11:24" ht="19.05" customHeight="1">
      <c r="K527" s="401"/>
      <c r="L527" s="401"/>
      <c r="N527" s="401"/>
      <c r="O527" s="401"/>
      <c r="P527" s="401"/>
      <c r="Q527" s="401"/>
      <c r="R527" s="401"/>
      <c r="S527" s="401"/>
      <c r="T527" s="401"/>
      <c r="U527" s="401"/>
      <c r="V527" s="401"/>
      <c r="W527" s="401"/>
      <c r="X527" s="401"/>
    </row>
    <row r="528" spans="11:24" ht="19.05" customHeight="1">
      <c r="K528" s="401"/>
      <c r="L528" s="401"/>
      <c r="N528" s="401"/>
      <c r="O528" s="401"/>
      <c r="P528" s="401"/>
      <c r="Q528" s="401"/>
      <c r="R528" s="401"/>
      <c r="S528" s="401"/>
      <c r="T528" s="401"/>
      <c r="U528" s="401"/>
      <c r="V528" s="401"/>
      <c r="W528" s="401"/>
      <c r="X528" s="401"/>
    </row>
    <row r="529" spans="11:24" ht="19.05" customHeight="1">
      <c r="K529" s="401"/>
      <c r="L529" s="401"/>
      <c r="N529" s="401"/>
      <c r="O529" s="401"/>
      <c r="P529" s="401"/>
      <c r="Q529" s="401"/>
      <c r="R529" s="401"/>
      <c r="S529" s="401"/>
      <c r="T529" s="401"/>
      <c r="U529" s="401"/>
      <c r="V529" s="401"/>
      <c r="W529" s="401"/>
      <c r="X529" s="401"/>
    </row>
    <row r="530" spans="11:24" ht="19.05" customHeight="1">
      <c r="K530" s="401"/>
      <c r="L530" s="401"/>
      <c r="N530" s="401"/>
      <c r="O530" s="401"/>
      <c r="P530" s="401"/>
      <c r="Q530" s="401"/>
      <c r="R530" s="401"/>
      <c r="S530" s="401"/>
      <c r="T530" s="401"/>
      <c r="U530" s="401"/>
      <c r="V530" s="401"/>
      <c r="W530" s="401"/>
      <c r="X530" s="401"/>
    </row>
    <row r="531" spans="11:24" ht="19.05" customHeight="1">
      <c r="K531" s="401"/>
      <c r="L531" s="401"/>
      <c r="N531" s="401"/>
      <c r="O531" s="401"/>
      <c r="P531" s="401"/>
      <c r="Q531" s="401"/>
      <c r="R531" s="401"/>
      <c r="S531" s="401"/>
      <c r="T531" s="401"/>
      <c r="U531" s="401"/>
      <c r="V531" s="401"/>
      <c r="W531" s="401"/>
      <c r="X531" s="401"/>
    </row>
    <row r="532" spans="11:24" ht="19.05" customHeight="1">
      <c r="K532" s="401"/>
      <c r="L532" s="401"/>
      <c r="N532" s="401"/>
      <c r="O532" s="401"/>
      <c r="P532" s="401"/>
      <c r="Q532" s="401"/>
      <c r="R532" s="401"/>
      <c r="S532" s="401"/>
      <c r="T532" s="401"/>
      <c r="U532" s="401"/>
      <c r="V532" s="401"/>
      <c r="W532" s="401"/>
      <c r="X532" s="401"/>
    </row>
    <row r="533" spans="11:24" ht="19.05" customHeight="1">
      <c r="K533" s="401"/>
      <c r="L533" s="401"/>
      <c r="N533" s="401"/>
      <c r="O533" s="401"/>
      <c r="P533" s="401"/>
      <c r="Q533" s="401"/>
      <c r="R533" s="401"/>
      <c r="S533" s="401"/>
      <c r="T533" s="401"/>
      <c r="U533" s="401"/>
      <c r="V533" s="401"/>
      <c r="W533" s="401"/>
      <c r="X533" s="401"/>
    </row>
    <row r="534" spans="11:24" ht="19.05" customHeight="1">
      <c r="K534" s="401"/>
      <c r="L534" s="401"/>
      <c r="N534" s="401"/>
      <c r="O534" s="401"/>
      <c r="P534" s="401"/>
      <c r="Q534" s="401"/>
      <c r="R534" s="401"/>
      <c r="S534" s="401"/>
      <c r="T534" s="401"/>
      <c r="U534" s="401"/>
      <c r="V534" s="401"/>
      <c r="W534" s="401"/>
      <c r="X534" s="401"/>
    </row>
    <row r="535" spans="11:24" ht="19.05" customHeight="1">
      <c r="K535" s="401"/>
      <c r="L535" s="401"/>
      <c r="N535" s="401"/>
      <c r="O535" s="401"/>
      <c r="P535" s="401"/>
      <c r="Q535" s="401"/>
      <c r="R535" s="401"/>
      <c r="S535" s="401"/>
      <c r="T535" s="401"/>
      <c r="U535" s="401"/>
      <c r="V535" s="401"/>
      <c r="W535" s="401"/>
      <c r="X535" s="401"/>
    </row>
    <row r="536" spans="11:24" ht="19.05" customHeight="1">
      <c r="K536" s="401"/>
      <c r="L536" s="401"/>
      <c r="N536" s="401"/>
      <c r="O536" s="401"/>
      <c r="P536" s="401"/>
      <c r="Q536" s="401"/>
      <c r="R536" s="401"/>
      <c r="S536" s="401"/>
      <c r="T536" s="401"/>
      <c r="U536" s="401"/>
      <c r="V536" s="401"/>
      <c r="W536" s="401"/>
      <c r="X536" s="401"/>
    </row>
    <row r="537" spans="11:24" ht="19.05" customHeight="1">
      <c r="K537" s="401"/>
      <c r="L537" s="401"/>
      <c r="N537" s="401"/>
      <c r="O537" s="401"/>
      <c r="P537" s="401"/>
      <c r="Q537" s="401"/>
      <c r="R537" s="401"/>
      <c r="S537" s="401"/>
      <c r="T537" s="401"/>
      <c r="U537" s="401"/>
      <c r="V537" s="401"/>
      <c r="W537" s="401"/>
      <c r="X537" s="401"/>
    </row>
    <row r="538" spans="11:24" ht="19.05" customHeight="1">
      <c r="K538" s="401"/>
      <c r="L538" s="401"/>
      <c r="N538" s="401"/>
      <c r="O538" s="401"/>
      <c r="P538" s="401"/>
      <c r="Q538" s="401"/>
      <c r="R538" s="401"/>
      <c r="S538" s="401"/>
      <c r="T538" s="401"/>
      <c r="U538" s="401"/>
      <c r="V538" s="401"/>
      <c r="W538" s="401"/>
      <c r="X538" s="401"/>
    </row>
    <row r="539" spans="11:24" ht="19.05" customHeight="1">
      <c r="K539" s="401"/>
      <c r="L539" s="401"/>
      <c r="N539" s="401"/>
      <c r="O539" s="401"/>
      <c r="P539" s="401"/>
      <c r="Q539" s="401"/>
      <c r="R539" s="401"/>
      <c r="S539" s="401"/>
      <c r="T539" s="401"/>
      <c r="U539" s="401"/>
      <c r="V539" s="401"/>
      <c r="W539" s="401"/>
      <c r="X539" s="401"/>
    </row>
    <row r="540" spans="11:24" ht="19.05" customHeight="1">
      <c r="K540" s="401"/>
      <c r="L540" s="401"/>
      <c r="N540" s="401"/>
      <c r="O540" s="401"/>
      <c r="P540" s="401"/>
      <c r="Q540" s="401"/>
      <c r="R540" s="401"/>
      <c r="S540" s="401"/>
      <c r="T540" s="401"/>
      <c r="U540" s="401"/>
      <c r="V540" s="401"/>
      <c r="W540" s="401"/>
      <c r="X540" s="401"/>
    </row>
    <row r="541" spans="11:24" ht="19.05" customHeight="1">
      <c r="K541" s="401"/>
      <c r="L541" s="401"/>
      <c r="N541" s="401"/>
      <c r="O541" s="401"/>
      <c r="P541" s="401"/>
      <c r="Q541" s="401"/>
      <c r="R541" s="401"/>
      <c r="S541" s="401"/>
      <c r="T541" s="401"/>
      <c r="U541" s="401"/>
      <c r="V541" s="401"/>
      <c r="W541" s="401"/>
      <c r="X541" s="401"/>
    </row>
    <row r="542" spans="11:24" ht="19.05" customHeight="1">
      <c r="K542" s="401"/>
      <c r="L542" s="401"/>
      <c r="N542" s="401"/>
      <c r="O542" s="401"/>
      <c r="P542" s="401"/>
      <c r="Q542" s="401"/>
      <c r="R542" s="401"/>
      <c r="S542" s="401"/>
      <c r="T542" s="401"/>
      <c r="U542" s="401"/>
      <c r="V542" s="401"/>
      <c r="W542" s="401"/>
      <c r="X542" s="401"/>
    </row>
    <row r="543" spans="11:24" ht="19.05" customHeight="1">
      <c r="K543" s="401"/>
      <c r="L543" s="401"/>
      <c r="N543" s="401"/>
      <c r="O543" s="401"/>
      <c r="P543" s="401"/>
      <c r="Q543" s="401"/>
      <c r="R543" s="401"/>
      <c r="S543" s="401"/>
      <c r="T543" s="401"/>
      <c r="U543" s="401"/>
      <c r="V543" s="401"/>
      <c r="W543" s="401"/>
      <c r="X543" s="401"/>
    </row>
    <row r="544" spans="11:24" ht="19.05" customHeight="1">
      <c r="K544" s="401"/>
      <c r="L544" s="401"/>
      <c r="N544" s="401"/>
      <c r="O544" s="401"/>
      <c r="P544" s="401"/>
      <c r="Q544" s="401"/>
      <c r="R544" s="401"/>
      <c r="S544" s="401"/>
      <c r="T544" s="401"/>
      <c r="U544" s="401"/>
      <c r="V544" s="401"/>
      <c r="W544" s="401"/>
      <c r="X544" s="401"/>
    </row>
    <row r="545" spans="11:24" ht="19.05" customHeight="1">
      <c r="K545" s="401"/>
      <c r="L545" s="401"/>
      <c r="N545" s="401"/>
      <c r="O545" s="401"/>
      <c r="P545" s="401"/>
      <c r="Q545" s="401"/>
      <c r="R545" s="401"/>
      <c r="S545" s="401"/>
      <c r="T545" s="401"/>
      <c r="U545" s="401"/>
      <c r="V545" s="401"/>
      <c r="W545" s="401"/>
      <c r="X545" s="401"/>
    </row>
    <row r="546" spans="11:24" ht="19.05" customHeight="1">
      <c r="K546" s="401"/>
      <c r="L546" s="401"/>
      <c r="N546" s="401"/>
      <c r="O546" s="401"/>
      <c r="P546" s="401"/>
      <c r="Q546" s="401"/>
      <c r="R546" s="401"/>
      <c r="S546" s="401"/>
      <c r="T546" s="401"/>
      <c r="U546" s="401"/>
      <c r="V546" s="401"/>
      <c r="W546" s="401"/>
      <c r="X546" s="401"/>
    </row>
    <row r="547" spans="11:24" ht="19.05" customHeight="1">
      <c r="K547" s="401"/>
      <c r="L547" s="401"/>
      <c r="N547" s="401"/>
      <c r="O547" s="401"/>
      <c r="P547" s="401"/>
      <c r="Q547" s="401"/>
      <c r="R547" s="401"/>
      <c r="S547" s="401"/>
      <c r="T547" s="401"/>
      <c r="U547" s="401"/>
      <c r="V547" s="401"/>
      <c r="W547" s="401"/>
      <c r="X547" s="401"/>
    </row>
    <row r="548" spans="11:24" ht="19.05" customHeight="1">
      <c r="K548" s="401"/>
      <c r="L548" s="401"/>
      <c r="N548" s="401"/>
      <c r="O548" s="401"/>
      <c r="P548" s="401"/>
      <c r="Q548" s="401"/>
      <c r="R548" s="401"/>
      <c r="S548" s="401"/>
      <c r="T548" s="401"/>
      <c r="U548" s="401"/>
      <c r="V548" s="401"/>
      <c r="W548" s="401"/>
      <c r="X548" s="401"/>
    </row>
    <row r="549" spans="11:24" ht="19.05" customHeight="1">
      <c r="K549" s="401"/>
      <c r="L549" s="401"/>
      <c r="N549" s="401"/>
      <c r="O549" s="401"/>
      <c r="P549" s="401"/>
      <c r="Q549" s="401"/>
      <c r="R549" s="401"/>
      <c r="S549" s="401"/>
      <c r="T549" s="401"/>
      <c r="U549" s="401"/>
      <c r="V549" s="401"/>
      <c r="W549" s="401"/>
      <c r="X549" s="401"/>
    </row>
    <row r="550" spans="11:24" ht="19.05" customHeight="1">
      <c r="K550" s="401"/>
      <c r="L550" s="401"/>
      <c r="N550" s="401"/>
      <c r="O550" s="401"/>
      <c r="P550" s="401"/>
      <c r="Q550" s="401"/>
      <c r="R550" s="401"/>
      <c r="S550" s="401"/>
      <c r="T550" s="401"/>
      <c r="U550" s="401"/>
      <c r="V550" s="401"/>
      <c r="W550" s="401"/>
      <c r="X550" s="401"/>
    </row>
    <row r="551" spans="11:24" ht="19.05" customHeight="1">
      <c r="K551" s="401"/>
      <c r="L551" s="401"/>
      <c r="N551" s="401"/>
      <c r="O551" s="401"/>
      <c r="P551" s="401"/>
      <c r="Q551" s="401"/>
      <c r="R551" s="401"/>
      <c r="S551" s="401"/>
      <c r="T551" s="401"/>
      <c r="U551" s="401"/>
      <c r="V551" s="401"/>
      <c r="W551" s="401"/>
      <c r="X551" s="401"/>
    </row>
    <row r="552" spans="11:24" ht="19.05" customHeight="1">
      <c r="K552" s="401"/>
      <c r="L552" s="401"/>
      <c r="N552" s="401"/>
      <c r="O552" s="401"/>
      <c r="P552" s="401"/>
      <c r="Q552" s="401"/>
      <c r="R552" s="401"/>
      <c r="S552" s="401"/>
      <c r="T552" s="401"/>
      <c r="U552" s="401"/>
      <c r="V552" s="401"/>
      <c r="W552" s="401"/>
      <c r="X552" s="401"/>
    </row>
    <row r="553" spans="11:24" ht="19.05" customHeight="1">
      <c r="K553" s="401"/>
      <c r="L553" s="401"/>
      <c r="N553" s="401"/>
      <c r="O553" s="401"/>
      <c r="P553" s="401"/>
      <c r="Q553" s="401"/>
      <c r="R553" s="401"/>
      <c r="S553" s="401"/>
      <c r="T553" s="401"/>
      <c r="U553" s="401"/>
      <c r="V553" s="401"/>
      <c r="W553" s="401"/>
      <c r="X553" s="401"/>
    </row>
    <row r="554" spans="11:24" ht="19.05" customHeight="1">
      <c r="K554" s="401"/>
      <c r="L554" s="401"/>
      <c r="N554" s="401"/>
      <c r="O554" s="401"/>
      <c r="P554" s="401"/>
      <c r="Q554" s="401"/>
      <c r="R554" s="401"/>
      <c r="S554" s="401"/>
      <c r="T554" s="401"/>
      <c r="U554" s="401"/>
      <c r="V554" s="401"/>
      <c r="W554" s="401"/>
      <c r="X554" s="401"/>
    </row>
    <row r="555" spans="11:24" ht="19.05" customHeight="1">
      <c r="K555" s="401"/>
      <c r="L555" s="401"/>
      <c r="N555" s="401"/>
      <c r="O555" s="401"/>
      <c r="P555" s="401"/>
      <c r="Q555" s="401"/>
      <c r="R555" s="401"/>
      <c r="S555" s="401"/>
      <c r="T555" s="401"/>
      <c r="U555" s="401"/>
      <c r="V555" s="401"/>
      <c r="W555" s="401"/>
      <c r="X555" s="401"/>
    </row>
    <row r="556" spans="11:24" ht="19.05" customHeight="1">
      <c r="K556" s="401"/>
      <c r="L556" s="401"/>
      <c r="N556" s="401"/>
      <c r="O556" s="401"/>
      <c r="P556" s="401"/>
      <c r="Q556" s="401"/>
      <c r="R556" s="401"/>
      <c r="S556" s="401"/>
      <c r="T556" s="401"/>
      <c r="U556" s="401"/>
      <c r="V556" s="401"/>
      <c r="W556" s="401"/>
      <c r="X556" s="401"/>
    </row>
    <row r="557" spans="11:24" ht="19.05" customHeight="1">
      <c r="K557" s="401"/>
      <c r="L557" s="401"/>
      <c r="N557" s="401"/>
      <c r="O557" s="401"/>
      <c r="P557" s="401"/>
      <c r="Q557" s="401"/>
      <c r="R557" s="401"/>
      <c r="S557" s="401"/>
      <c r="T557" s="401"/>
      <c r="U557" s="401"/>
      <c r="V557" s="401"/>
      <c r="W557" s="401"/>
      <c r="X557" s="401"/>
    </row>
    <row r="558" spans="11:24" ht="19.05" customHeight="1">
      <c r="K558" s="401"/>
      <c r="L558" s="401"/>
      <c r="N558" s="401"/>
      <c r="O558" s="401"/>
      <c r="P558" s="401"/>
      <c r="Q558" s="401"/>
      <c r="R558" s="401"/>
      <c r="S558" s="401"/>
      <c r="T558" s="401"/>
      <c r="U558" s="401"/>
      <c r="V558" s="401"/>
      <c r="W558" s="401"/>
      <c r="X558" s="401"/>
    </row>
    <row r="559" spans="11:24" ht="19.05" customHeight="1">
      <c r="K559" s="401"/>
      <c r="L559" s="401"/>
      <c r="N559" s="401"/>
      <c r="O559" s="401"/>
      <c r="P559" s="401"/>
      <c r="Q559" s="401"/>
      <c r="R559" s="401"/>
      <c r="S559" s="401"/>
      <c r="T559" s="401"/>
      <c r="U559" s="401"/>
      <c r="V559" s="401"/>
      <c r="W559" s="401"/>
      <c r="X559" s="401"/>
    </row>
    <row r="560" spans="11:24" ht="19.05" customHeight="1">
      <c r="K560" s="401"/>
      <c r="L560" s="401"/>
      <c r="N560" s="401"/>
      <c r="O560" s="401"/>
      <c r="P560" s="401"/>
      <c r="Q560" s="401"/>
      <c r="R560" s="401"/>
      <c r="S560" s="401"/>
      <c r="T560" s="401"/>
      <c r="U560" s="401"/>
      <c r="V560" s="401"/>
      <c r="W560" s="401"/>
      <c r="X560" s="401"/>
    </row>
    <row r="561" spans="11:24" ht="19.05" customHeight="1">
      <c r="K561" s="401"/>
      <c r="L561" s="401"/>
      <c r="N561" s="401"/>
      <c r="O561" s="401"/>
      <c r="P561" s="401"/>
      <c r="Q561" s="401"/>
      <c r="R561" s="401"/>
      <c r="S561" s="401"/>
      <c r="T561" s="401"/>
      <c r="U561" s="401"/>
      <c r="V561" s="401"/>
      <c r="W561" s="401"/>
      <c r="X561" s="401"/>
    </row>
    <row r="562" spans="11:24" ht="19.05" customHeight="1">
      <c r="K562" s="401"/>
      <c r="L562" s="401"/>
      <c r="N562" s="401"/>
      <c r="O562" s="401"/>
      <c r="P562" s="401"/>
      <c r="Q562" s="401"/>
      <c r="R562" s="401"/>
      <c r="S562" s="401"/>
      <c r="T562" s="401"/>
      <c r="U562" s="401"/>
      <c r="V562" s="401"/>
      <c r="W562" s="401"/>
      <c r="X562" s="401"/>
    </row>
    <row r="563" spans="11:24" ht="19.05" customHeight="1">
      <c r="K563" s="401"/>
      <c r="L563" s="401"/>
      <c r="N563" s="401"/>
      <c r="O563" s="401"/>
      <c r="P563" s="401"/>
      <c r="Q563" s="401"/>
      <c r="R563" s="401"/>
      <c r="S563" s="401"/>
      <c r="T563" s="401"/>
      <c r="U563" s="401"/>
      <c r="V563" s="401"/>
      <c r="W563" s="401"/>
      <c r="X563" s="401"/>
    </row>
    <row r="564" spans="11:24" ht="19.05" customHeight="1">
      <c r="K564" s="401"/>
      <c r="L564" s="401"/>
      <c r="N564" s="401"/>
      <c r="O564" s="401"/>
      <c r="P564" s="401"/>
      <c r="Q564" s="401"/>
      <c r="R564" s="401"/>
      <c r="S564" s="401"/>
      <c r="T564" s="401"/>
      <c r="U564" s="401"/>
      <c r="V564" s="401"/>
      <c r="W564" s="401"/>
      <c r="X564" s="401"/>
    </row>
    <row r="565" spans="11:24" ht="19.05" customHeight="1">
      <c r="K565" s="401"/>
      <c r="L565" s="401"/>
      <c r="N565" s="401"/>
      <c r="O565" s="401"/>
      <c r="P565" s="401"/>
      <c r="Q565" s="401"/>
      <c r="R565" s="401"/>
      <c r="S565" s="401"/>
      <c r="T565" s="401"/>
      <c r="U565" s="401"/>
      <c r="V565" s="401"/>
      <c r="W565" s="401"/>
      <c r="X565" s="401"/>
    </row>
    <row r="566" spans="11:24" ht="19.05" customHeight="1">
      <c r="K566" s="401"/>
      <c r="L566" s="401"/>
      <c r="N566" s="401"/>
      <c r="O566" s="401"/>
      <c r="P566" s="401"/>
      <c r="Q566" s="401"/>
      <c r="R566" s="401"/>
      <c r="S566" s="401"/>
      <c r="T566" s="401"/>
      <c r="U566" s="401"/>
      <c r="V566" s="401"/>
      <c r="W566" s="401"/>
      <c r="X566" s="401"/>
    </row>
    <row r="567" spans="11:24" ht="19.05" customHeight="1">
      <c r="K567" s="401"/>
      <c r="L567" s="401"/>
      <c r="N567" s="401"/>
      <c r="O567" s="401"/>
      <c r="P567" s="401"/>
      <c r="Q567" s="401"/>
      <c r="R567" s="401"/>
      <c r="S567" s="401"/>
      <c r="T567" s="401"/>
      <c r="U567" s="401"/>
      <c r="V567" s="401"/>
      <c r="W567" s="401"/>
      <c r="X567" s="401"/>
    </row>
    <row r="568" spans="11:24" ht="19.05" customHeight="1">
      <c r="K568" s="401"/>
      <c r="L568" s="401"/>
      <c r="N568" s="401"/>
      <c r="O568" s="401"/>
      <c r="P568" s="401"/>
      <c r="Q568" s="401"/>
      <c r="R568" s="401"/>
      <c r="S568" s="401"/>
      <c r="T568" s="401"/>
      <c r="U568" s="401"/>
      <c r="V568" s="401"/>
      <c r="W568" s="401"/>
      <c r="X568" s="401"/>
    </row>
    <row r="569" spans="11:24" ht="19.05" customHeight="1">
      <c r="K569" s="401"/>
      <c r="L569" s="401"/>
      <c r="N569" s="401"/>
      <c r="O569" s="401"/>
      <c r="P569" s="401"/>
      <c r="Q569" s="401"/>
      <c r="R569" s="401"/>
      <c r="S569" s="401"/>
      <c r="T569" s="401"/>
      <c r="U569" s="401"/>
      <c r="V569" s="401"/>
      <c r="W569" s="401"/>
      <c r="X569" s="401"/>
    </row>
    <row r="570" spans="11:24" ht="19.05" customHeight="1">
      <c r="K570" s="401"/>
      <c r="L570" s="401"/>
      <c r="N570" s="401"/>
      <c r="O570" s="401"/>
      <c r="P570" s="401"/>
      <c r="Q570" s="401"/>
      <c r="R570" s="401"/>
      <c r="S570" s="401"/>
      <c r="T570" s="401"/>
      <c r="U570" s="401"/>
      <c r="V570" s="401"/>
      <c r="W570" s="401"/>
      <c r="X570" s="401"/>
    </row>
    <row r="571" spans="11:24" ht="19.05" customHeight="1">
      <c r="K571" s="401"/>
      <c r="L571" s="401"/>
      <c r="N571" s="401"/>
      <c r="O571" s="401"/>
      <c r="P571" s="401"/>
      <c r="Q571" s="401"/>
      <c r="R571" s="401"/>
      <c r="S571" s="401"/>
      <c r="T571" s="401"/>
      <c r="U571" s="401"/>
      <c r="V571" s="401"/>
      <c r="W571" s="401"/>
      <c r="X571" s="401"/>
    </row>
    <row r="572" spans="11:24" ht="19.05" customHeight="1">
      <c r="K572" s="401"/>
      <c r="L572" s="401"/>
      <c r="N572" s="401"/>
      <c r="O572" s="401"/>
      <c r="P572" s="401"/>
      <c r="Q572" s="401"/>
      <c r="R572" s="401"/>
      <c r="S572" s="401"/>
      <c r="T572" s="401"/>
      <c r="U572" s="401"/>
      <c r="V572" s="401"/>
      <c r="W572" s="401"/>
      <c r="X572" s="401"/>
    </row>
    <row r="573" spans="11:24" ht="19.05" customHeight="1">
      <c r="K573" s="401"/>
      <c r="L573" s="401"/>
      <c r="N573" s="401"/>
      <c r="O573" s="401"/>
      <c r="P573" s="401"/>
      <c r="Q573" s="401"/>
      <c r="R573" s="401"/>
      <c r="S573" s="401"/>
      <c r="T573" s="401"/>
      <c r="U573" s="401"/>
      <c r="V573" s="401"/>
      <c r="W573" s="401"/>
      <c r="X573" s="401"/>
    </row>
    <row r="574" spans="11:24" ht="19.05" customHeight="1">
      <c r="K574" s="401"/>
      <c r="L574" s="401"/>
      <c r="N574" s="401"/>
      <c r="O574" s="401"/>
      <c r="P574" s="401"/>
      <c r="Q574" s="401"/>
      <c r="R574" s="401"/>
      <c r="S574" s="401"/>
      <c r="T574" s="401"/>
      <c r="U574" s="401"/>
      <c r="V574" s="401"/>
      <c r="W574" s="401"/>
      <c r="X574" s="401"/>
    </row>
    <row r="575" spans="11:24" ht="19.05" customHeight="1">
      <c r="K575" s="401"/>
      <c r="L575" s="401"/>
      <c r="N575" s="401"/>
      <c r="O575" s="401"/>
      <c r="P575" s="401"/>
      <c r="Q575" s="401"/>
      <c r="R575" s="401"/>
      <c r="S575" s="401"/>
      <c r="T575" s="401"/>
      <c r="U575" s="401"/>
      <c r="V575" s="401"/>
      <c r="W575" s="401"/>
      <c r="X575" s="401"/>
    </row>
    <row r="576" spans="11:24" ht="19.05" customHeight="1">
      <c r="K576" s="401"/>
      <c r="L576" s="401"/>
      <c r="N576" s="401"/>
      <c r="O576" s="401"/>
      <c r="P576" s="401"/>
      <c r="Q576" s="401"/>
      <c r="R576" s="401"/>
      <c r="S576" s="401"/>
      <c r="T576" s="401"/>
      <c r="U576" s="401"/>
      <c r="V576" s="401"/>
      <c r="W576" s="401"/>
      <c r="X576" s="401"/>
    </row>
    <row r="577" spans="11:24" ht="19.05" customHeight="1">
      <c r="K577" s="401"/>
      <c r="L577" s="401"/>
      <c r="N577" s="401"/>
      <c r="O577" s="401"/>
      <c r="P577" s="401"/>
      <c r="Q577" s="401"/>
      <c r="R577" s="401"/>
      <c r="S577" s="401"/>
      <c r="T577" s="401"/>
      <c r="U577" s="401"/>
      <c r="V577" s="401"/>
      <c r="W577" s="401"/>
      <c r="X577" s="401"/>
    </row>
    <row r="578" spans="11:24" ht="19.05" customHeight="1">
      <c r="K578" s="401"/>
      <c r="L578" s="401"/>
      <c r="N578" s="401"/>
      <c r="O578" s="401"/>
      <c r="P578" s="401"/>
      <c r="Q578" s="401"/>
      <c r="R578" s="401"/>
      <c r="S578" s="401"/>
      <c r="T578" s="401"/>
      <c r="U578" s="401"/>
      <c r="V578" s="401"/>
      <c r="W578" s="401"/>
      <c r="X578" s="401"/>
    </row>
    <row r="579" spans="11:24" ht="19.05" customHeight="1">
      <c r="K579" s="401"/>
      <c r="L579" s="401"/>
      <c r="N579" s="401"/>
      <c r="O579" s="401"/>
      <c r="P579" s="401"/>
      <c r="Q579" s="401"/>
      <c r="R579" s="401"/>
      <c r="S579" s="401"/>
      <c r="T579" s="401"/>
      <c r="U579" s="401"/>
      <c r="V579" s="401"/>
      <c r="W579" s="401"/>
      <c r="X579" s="401"/>
    </row>
    <row r="580" spans="11:24" ht="19.05" customHeight="1">
      <c r="K580" s="401"/>
      <c r="L580" s="401"/>
      <c r="N580" s="401"/>
      <c r="O580" s="401"/>
      <c r="P580" s="401"/>
      <c r="Q580" s="401"/>
      <c r="R580" s="401"/>
      <c r="S580" s="401"/>
      <c r="T580" s="401"/>
      <c r="U580" s="401"/>
      <c r="V580" s="401"/>
      <c r="W580" s="401"/>
      <c r="X580" s="401"/>
    </row>
    <row r="581" spans="11:24" ht="19.05" customHeight="1">
      <c r="K581" s="401"/>
      <c r="L581" s="401"/>
      <c r="N581" s="401"/>
      <c r="O581" s="401"/>
      <c r="P581" s="401"/>
      <c r="Q581" s="401"/>
      <c r="R581" s="401"/>
      <c r="S581" s="401"/>
      <c r="T581" s="401"/>
      <c r="U581" s="401"/>
      <c r="V581" s="401"/>
      <c r="W581" s="401"/>
      <c r="X581" s="401"/>
    </row>
    <row r="582" spans="11:24" ht="19.05" customHeight="1">
      <c r="K582" s="401"/>
      <c r="L582" s="401"/>
      <c r="N582" s="401"/>
      <c r="O582" s="401"/>
      <c r="P582" s="401"/>
      <c r="Q582" s="401"/>
      <c r="R582" s="401"/>
      <c r="S582" s="401"/>
      <c r="T582" s="401"/>
      <c r="U582" s="401"/>
      <c r="V582" s="401"/>
      <c r="W582" s="401"/>
      <c r="X582" s="401"/>
    </row>
    <row r="583" spans="11:24" ht="19.05" customHeight="1">
      <c r="K583" s="401"/>
      <c r="L583" s="401"/>
      <c r="N583" s="401"/>
      <c r="O583" s="401"/>
      <c r="P583" s="401"/>
      <c r="Q583" s="401"/>
      <c r="R583" s="401"/>
      <c r="S583" s="401"/>
      <c r="T583" s="401"/>
      <c r="U583" s="401"/>
      <c r="V583" s="401"/>
      <c r="W583" s="401"/>
      <c r="X583" s="401"/>
    </row>
    <row r="584" spans="11:24" ht="19.05" customHeight="1">
      <c r="K584" s="401"/>
      <c r="L584" s="401"/>
      <c r="N584" s="401"/>
      <c r="O584" s="401"/>
      <c r="P584" s="401"/>
      <c r="Q584" s="401"/>
      <c r="R584" s="401"/>
      <c r="S584" s="401"/>
      <c r="T584" s="401"/>
      <c r="U584" s="401"/>
      <c r="V584" s="401"/>
      <c r="W584" s="401"/>
      <c r="X584" s="401"/>
    </row>
    <row r="585" spans="11:24" ht="19.05" customHeight="1">
      <c r="K585" s="401"/>
      <c r="L585" s="401"/>
      <c r="N585" s="401"/>
      <c r="O585" s="401"/>
      <c r="P585" s="401"/>
      <c r="Q585" s="401"/>
      <c r="R585" s="401"/>
      <c r="S585" s="401"/>
      <c r="T585" s="401"/>
      <c r="U585" s="401"/>
      <c r="V585" s="401"/>
      <c r="W585" s="401"/>
      <c r="X585" s="401"/>
    </row>
    <row r="586" spans="11:24" ht="19.05" customHeight="1">
      <c r="K586" s="401"/>
      <c r="L586" s="401"/>
      <c r="N586" s="401"/>
      <c r="O586" s="401"/>
      <c r="P586" s="401"/>
      <c r="Q586" s="401"/>
      <c r="R586" s="401"/>
      <c r="S586" s="401"/>
      <c r="T586" s="401"/>
      <c r="U586" s="401"/>
      <c r="V586" s="401"/>
      <c r="W586" s="401"/>
      <c r="X586" s="401"/>
    </row>
    <row r="587" spans="11:24" ht="19.05" customHeight="1">
      <c r="K587" s="401"/>
      <c r="L587" s="401"/>
      <c r="N587" s="401"/>
      <c r="O587" s="401"/>
      <c r="P587" s="401"/>
      <c r="Q587" s="401"/>
      <c r="R587" s="401"/>
      <c r="S587" s="401"/>
      <c r="T587" s="401"/>
      <c r="U587" s="401"/>
      <c r="V587" s="401"/>
      <c r="W587" s="401"/>
      <c r="X587" s="401"/>
    </row>
    <row r="588" spans="11:24" ht="19.05" customHeight="1">
      <c r="K588" s="401"/>
      <c r="L588" s="401"/>
      <c r="N588" s="401"/>
      <c r="O588" s="401"/>
      <c r="P588" s="401"/>
      <c r="Q588" s="401"/>
      <c r="R588" s="401"/>
      <c r="S588" s="401"/>
      <c r="T588" s="401"/>
      <c r="U588" s="401"/>
      <c r="V588" s="401"/>
      <c r="W588" s="401"/>
      <c r="X588" s="401"/>
    </row>
    <row r="589" spans="11:24" ht="19.05" customHeight="1">
      <c r="K589" s="401"/>
      <c r="L589" s="401"/>
      <c r="N589" s="401"/>
      <c r="O589" s="401"/>
      <c r="P589" s="401"/>
      <c r="Q589" s="401"/>
      <c r="R589" s="401"/>
      <c r="S589" s="401"/>
      <c r="T589" s="401"/>
      <c r="U589" s="401"/>
      <c r="V589" s="401"/>
      <c r="W589" s="401"/>
      <c r="X589" s="401"/>
    </row>
    <row r="590" spans="11:24" ht="19.05" customHeight="1">
      <c r="K590" s="401"/>
      <c r="L590" s="401"/>
      <c r="N590" s="401"/>
      <c r="O590" s="401"/>
      <c r="P590" s="401"/>
      <c r="Q590" s="401"/>
      <c r="R590" s="401"/>
      <c r="S590" s="401"/>
      <c r="T590" s="401"/>
      <c r="U590" s="401"/>
      <c r="V590" s="401"/>
      <c r="W590" s="401"/>
      <c r="X590" s="401"/>
    </row>
    <row r="591" spans="11:24" ht="19.05" customHeight="1">
      <c r="K591" s="401"/>
      <c r="L591" s="401"/>
      <c r="N591" s="401"/>
      <c r="O591" s="401"/>
      <c r="P591" s="401"/>
      <c r="Q591" s="401"/>
      <c r="R591" s="401"/>
      <c r="S591" s="401"/>
      <c r="T591" s="401"/>
      <c r="U591" s="401"/>
      <c r="V591" s="401"/>
      <c r="W591" s="401"/>
      <c r="X591" s="401"/>
    </row>
    <row r="592" spans="11:24" ht="19.05" customHeight="1">
      <c r="K592" s="401"/>
      <c r="L592" s="401"/>
      <c r="N592" s="401"/>
      <c r="O592" s="401"/>
      <c r="P592" s="401"/>
      <c r="Q592" s="401"/>
      <c r="R592" s="401"/>
      <c r="S592" s="401"/>
      <c r="T592" s="401"/>
      <c r="U592" s="401"/>
      <c r="V592" s="401"/>
      <c r="W592" s="401"/>
      <c r="X592" s="401"/>
    </row>
    <row r="593" spans="11:24" ht="19.05" customHeight="1">
      <c r="K593" s="401"/>
      <c r="L593" s="401"/>
      <c r="N593" s="401"/>
      <c r="O593" s="401"/>
      <c r="P593" s="401"/>
      <c r="Q593" s="401"/>
      <c r="R593" s="401"/>
      <c r="S593" s="401"/>
      <c r="T593" s="401"/>
      <c r="U593" s="401"/>
      <c r="V593" s="401"/>
      <c r="W593" s="401"/>
      <c r="X593" s="401"/>
    </row>
    <row r="594" spans="11:24" ht="19.05" customHeight="1">
      <c r="K594" s="401"/>
      <c r="L594" s="401"/>
      <c r="N594" s="401"/>
      <c r="O594" s="401"/>
      <c r="P594" s="401"/>
      <c r="Q594" s="401"/>
      <c r="R594" s="401"/>
      <c r="S594" s="401"/>
      <c r="T594" s="401"/>
      <c r="U594" s="401"/>
      <c r="V594" s="401"/>
      <c r="W594" s="401"/>
      <c r="X594" s="401"/>
    </row>
    <row r="595" spans="11:24" ht="19.05" customHeight="1">
      <c r="K595" s="401"/>
      <c r="L595" s="401"/>
      <c r="N595" s="401"/>
      <c r="O595" s="401"/>
      <c r="P595" s="401"/>
      <c r="Q595" s="401"/>
      <c r="R595" s="401"/>
      <c r="S595" s="401"/>
      <c r="T595" s="401"/>
      <c r="U595" s="401"/>
      <c r="V595" s="401"/>
      <c r="W595" s="401"/>
      <c r="X595" s="401"/>
    </row>
    <row r="596" spans="11:24" ht="19.05" customHeight="1">
      <c r="K596" s="401"/>
      <c r="L596" s="401"/>
      <c r="N596" s="401"/>
      <c r="O596" s="401"/>
      <c r="P596" s="401"/>
      <c r="Q596" s="401"/>
      <c r="R596" s="401"/>
      <c r="S596" s="401"/>
      <c r="T596" s="401"/>
      <c r="U596" s="401"/>
      <c r="V596" s="401"/>
      <c r="W596" s="401"/>
      <c r="X596" s="401"/>
    </row>
    <row r="597" spans="11:24" ht="19.05" customHeight="1">
      <c r="K597" s="401"/>
      <c r="L597" s="401"/>
      <c r="N597" s="401"/>
      <c r="O597" s="401"/>
      <c r="P597" s="401"/>
      <c r="Q597" s="401"/>
      <c r="R597" s="401"/>
      <c r="S597" s="401"/>
      <c r="T597" s="401"/>
      <c r="U597" s="401"/>
      <c r="V597" s="401"/>
      <c r="W597" s="401"/>
      <c r="X597" s="401"/>
    </row>
    <row r="598" spans="11:24" ht="19.05" customHeight="1">
      <c r="K598" s="401"/>
      <c r="L598" s="401"/>
      <c r="N598" s="401"/>
      <c r="O598" s="401"/>
      <c r="P598" s="401"/>
      <c r="Q598" s="401"/>
      <c r="R598" s="401"/>
      <c r="S598" s="401"/>
      <c r="T598" s="401"/>
      <c r="U598" s="401"/>
      <c r="V598" s="401"/>
      <c r="W598" s="401"/>
      <c r="X598" s="401"/>
    </row>
    <row r="599" spans="11:24" ht="19.05" customHeight="1">
      <c r="K599" s="401"/>
      <c r="L599" s="401"/>
      <c r="N599" s="401"/>
      <c r="O599" s="401"/>
      <c r="P599" s="401"/>
      <c r="Q599" s="401"/>
      <c r="R599" s="401"/>
      <c r="S599" s="401"/>
      <c r="T599" s="401"/>
      <c r="U599" s="401"/>
      <c r="V599" s="401"/>
      <c r="W599" s="401"/>
      <c r="X599" s="401"/>
    </row>
    <row r="600" spans="11:24" ht="19.05" customHeight="1">
      <c r="K600" s="401"/>
      <c r="L600" s="401"/>
      <c r="N600" s="401"/>
      <c r="O600" s="401"/>
      <c r="P600" s="401"/>
      <c r="Q600" s="401"/>
      <c r="R600" s="401"/>
      <c r="S600" s="401"/>
      <c r="T600" s="401"/>
      <c r="U600" s="401"/>
      <c r="V600" s="401"/>
      <c r="W600" s="401"/>
      <c r="X600" s="401"/>
    </row>
    <row r="601" spans="11:24" ht="19.05" customHeight="1">
      <c r="K601" s="401"/>
      <c r="L601" s="401"/>
      <c r="N601" s="401"/>
      <c r="O601" s="401"/>
      <c r="P601" s="401"/>
      <c r="Q601" s="401"/>
      <c r="R601" s="401"/>
      <c r="S601" s="401"/>
      <c r="T601" s="401"/>
      <c r="U601" s="401"/>
      <c r="V601" s="401"/>
      <c r="W601" s="401"/>
      <c r="X601" s="401"/>
    </row>
    <row r="602" spans="11:24" ht="19.05" customHeight="1">
      <c r="K602" s="401"/>
      <c r="L602" s="401"/>
      <c r="N602" s="401"/>
      <c r="O602" s="401"/>
      <c r="P602" s="401"/>
      <c r="Q602" s="401"/>
      <c r="R602" s="401"/>
      <c r="S602" s="401"/>
      <c r="T602" s="401"/>
      <c r="U602" s="401"/>
      <c r="V602" s="401"/>
      <c r="W602" s="401"/>
      <c r="X602" s="401"/>
    </row>
    <row r="603" spans="11:24" ht="19.05" customHeight="1">
      <c r="K603" s="401"/>
      <c r="L603" s="401"/>
      <c r="N603" s="401"/>
      <c r="O603" s="401"/>
      <c r="P603" s="401"/>
      <c r="Q603" s="401"/>
      <c r="R603" s="401"/>
      <c r="S603" s="401"/>
      <c r="T603" s="401"/>
      <c r="U603" s="401"/>
      <c r="V603" s="401"/>
      <c r="W603" s="401"/>
      <c r="X603" s="401"/>
    </row>
    <row r="604" spans="11:24" ht="19.05" customHeight="1">
      <c r="K604" s="401"/>
      <c r="L604" s="401"/>
      <c r="N604" s="401"/>
      <c r="O604" s="401"/>
      <c r="P604" s="401"/>
      <c r="Q604" s="401"/>
      <c r="R604" s="401"/>
      <c r="S604" s="401"/>
      <c r="T604" s="401"/>
      <c r="U604" s="401"/>
      <c r="V604" s="401"/>
      <c r="W604" s="401"/>
      <c r="X604" s="401"/>
    </row>
    <row r="605" spans="11:24" ht="19.05" customHeight="1">
      <c r="K605" s="401"/>
      <c r="L605" s="401"/>
      <c r="N605" s="401"/>
      <c r="O605" s="401"/>
      <c r="P605" s="401"/>
      <c r="Q605" s="401"/>
      <c r="R605" s="401"/>
      <c r="S605" s="401"/>
      <c r="T605" s="401"/>
      <c r="U605" s="401"/>
      <c r="V605" s="401"/>
      <c r="W605" s="401"/>
      <c r="X605" s="401"/>
    </row>
    <row r="606" spans="11:24" ht="19.05" customHeight="1">
      <c r="K606" s="401"/>
      <c r="L606" s="401"/>
      <c r="N606" s="401"/>
      <c r="O606" s="401"/>
      <c r="P606" s="401"/>
      <c r="Q606" s="401"/>
      <c r="R606" s="401"/>
      <c r="S606" s="401"/>
      <c r="T606" s="401"/>
      <c r="U606" s="401"/>
      <c r="V606" s="401"/>
      <c r="W606" s="401"/>
      <c r="X606" s="401"/>
    </row>
    <row r="607" spans="11:24" ht="19.05" customHeight="1">
      <c r="K607" s="401"/>
      <c r="L607" s="401"/>
      <c r="N607" s="401"/>
      <c r="O607" s="401"/>
      <c r="P607" s="401"/>
      <c r="Q607" s="401"/>
      <c r="R607" s="401"/>
      <c r="S607" s="401"/>
      <c r="T607" s="401"/>
      <c r="U607" s="401"/>
      <c r="V607" s="401"/>
      <c r="W607" s="401"/>
      <c r="X607" s="401"/>
    </row>
    <row r="608" spans="11:24" ht="19.05" customHeight="1">
      <c r="K608" s="401"/>
      <c r="L608" s="401"/>
      <c r="N608" s="401"/>
      <c r="O608" s="401"/>
      <c r="P608" s="401"/>
      <c r="Q608" s="401"/>
      <c r="R608" s="401"/>
      <c r="S608" s="401"/>
      <c r="T608" s="401"/>
      <c r="U608" s="401"/>
      <c r="V608" s="401"/>
      <c r="W608" s="401"/>
      <c r="X608" s="401"/>
    </row>
    <row r="609" spans="11:24" ht="19.05" customHeight="1">
      <c r="K609" s="401"/>
      <c r="L609" s="401"/>
      <c r="N609" s="401"/>
      <c r="O609" s="401"/>
      <c r="P609" s="401"/>
      <c r="Q609" s="401"/>
      <c r="R609" s="401"/>
      <c r="S609" s="401"/>
      <c r="T609" s="401"/>
      <c r="U609" s="401"/>
      <c r="V609" s="401"/>
      <c r="W609" s="401"/>
      <c r="X609" s="401"/>
    </row>
    <row r="610" spans="11:24" ht="19.05" customHeight="1">
      <c r="K610" s="401"/>
      <c r="L610" s="401"/>
      <c r="N610" s="401"/>
      <c r="O610" s="401"/>
      <c r="P610" s="401"/>
      <c r="Q610" s="401"/>
      <c r="R610" s="401"/>
      <c r="S610" s="401"/>
      <c r="T610" s="401"/>
      <c r="U610" s="401"/>
      <c r="V610" s="401"/>
      <c r="W610" s="401"/>
      <c r="X610" s="401"/>
    </row>
    <row r="611" spans="11:24" ht="19.05" customHeight="1">
      <c r="K611" s="401"/>
      <c r="L611" s="401"/>
      <c r="N611" s="401"/>
      <c r="O611" s="401"/>
      <c r="P611" s="401"/>
      <c r="Q611" s="401"/>
      <c r="R611" s="401"/>
      <c r="S611" s="401"/>
      <c r="T611" s="401"/>
      <c r="U611" s="401"/>
      <c r="V611" s="401"/>
      <c r="W611" s="401"/>
      <c r="X611" s="401"/>
    </row>
    <row r="612" spans="11:24" ht="19.05" customHeight="1">
      <c r="K612" s="401"/>
      <c r="L612" s="401"/>
      <c r="N612" s="401"/>
      <c r="O612" s="401"/>
      <c r="P612" s="401"/>
      <c r="Q612" s="401"/>
      <c r="R612" s="401"/>
      <c r="S612" s="401"/>
      <c r="T612" s="401"/>
      <c r="U612" s="401"/>
      <c r="V612" s="401"/>
      <c r="W612" s="401"/>
      <c r="X612" s="401"/>
    </row>
    <row r="613" spans="11:24" ht="19.05" customHeight="1">
      <c r="K613" s="401"/>
      <c r="L613" s="401"/>
      <c r="N613" s="401"/>
      <c r="O613" s="401"/>
      <c r="P613" s="401"/>
      <c r="Q613" s="401"/>
      <c r="R613" s="401"/>
      <c r="S613" s="401"/>
      <c r="T613" s="401"/>
      <c r="U613" s="401"/>
      <c r="V613" s="401"/>
      <c r="W613" s="401"/>
      <c r="X613" s="401"/>
    </row>
    <row r="614" spans="11:24" ht="19.05" customHeight="1">
      <c r="K614" s="401"/>
      <c r="L614" s="401"/>
      <c r="N614" s="401"/>
      <c r="O614" s="401"/>
      <c r="P614" s="401"/>
      <c r="Q614" s="401"/>
      <c r="R614" s="401"/>
      <c r="S614" s="401"/>
      <c r="T614" s="401"/>
      <c r="U614" s="401"/>
      <c r="V614" s="401"/>
      <c r="W614" s="401"/>
      <c r="X614" s="401"/>
    </row>
    <row r="615" spans="11:24" ht="19.05" customHeight="1">
      <c r="K615" s="401"/>
      <c r="L615" s="401"/>
      <c r="N615" s="401"/>
      <c r="O615" s="401"/>
      <c r="P615" s="401"/>
      <c r="Q615" s="401"/>
      <c r="R615" s="401"/>
      <c r="S615" s="401"/>
      <c r="T615" s="401"/>
      <c r="U615" s="401"/>
      <c r="V615" s="401"/>
      <c r="W615" s="401"/>
      <c r="X615" s="401"/>
    </row>
    <row r="616" spans="11:24" ht="19.05" customHeight="1">
      <c r="K616" s="401"/>
      <c r="L616" s="401"/>
      <c r="N616" s="401"/>
      <c r="O616" s="401"/>
      <c r="P616" s="401"/>
      <c r="Q616" s="401"/>
      <c r="R616" s="401"/>
      <c r="S616" s="401"/>
      <c r="T616" s="401"/>
      <c r="U616" s="401"/>
      <c r="V616" s="401"/>
      <c r="W616" s="401"/>
      <c r="X616" s="401"/>
    </row>
    <row r="617" spans="11:24" ht="19.05" customHeight="1">
      <c r="K617" s="401"/>
      <c r="L617" s="401"/>
      <c r="N617" s="401"/>
      <c r="O617" s="401"/>
      <c r="P617" s="401"/>
      <c r="Q617" s="401"/>
      <c r="R617" s="401"/>
      <c r="S617" s="401"/>
      <c r="T617" s="401"/>
      <c r="U617" s="401"/>
      <c r="V617" s="401"/>
      <c r="W617" s="401"/>
      <c r="X617" s="401"/>
    </row>
    <row r="618" spans="11:24" ht="19.05" customHeight="1">
      <c r="K618" s="401"/>
      <c r="L618" s="401"/>
      <c r="N618" s="401"/>
      <c r="O618" s="401"/>
      <c r="P618" s="401"/>
      <c r="Q618" s="401"/>
      <c r="R618" s="401"/>
      <c r="S618" s="401"/>
      <c r="T618" s="401"/>
      <c r="U618" s="401"/>
      <c r="V618" s="401"/>
      <c r="W618" s="401"/>
      <c r="X618" s="401"/>
    </row>
    <row r="619" spans="11:24" ht="19.05" customHeight="1">
      <c r="K619" s="401"/>
      <c r="L619" s="401"/>
      <c r="N619" s="401"/>
      <c r="O619" s="401"/>
      <c r="P619" s="401"/>
      <c r="Q619" s="401"/>
      <c r="R619" s="401"/>
      <c r="S619" s="401"/>
      <c r="T619" s="401"/>
      <c r="U619" s="401"/>
      <c r="V619" s="401"/>
      <c r="W619" s="401"/>
      <c r="X619" s="401"/>
    </row>
    <row r="620" spans="11:24" ht="19.05" customHeight="1">
      <c r="K620" s="401"/>
      <c r="L620" s="401"/>
      <c r="N620" s="401"/>
      <c r="O620" s="401"/>
      <c r="P620" s="401"/>
      <c r="Q620" s="401"/>
      <c r="R620" s="401"/>
      <c r="S620" s="401"/>
      <c r="T620" s="401"/>
      <c r="U620" s="401"/>
      <c r="V620" s="401"/>
      <c r="W620" s="401"/>
      <c r="X620" s="401"/>
    </row>
    <row r="621" spans="11:24" ht="19.05" customHeight="1">
      <c r="K621" s="401"/>
      <c r="L621" s="401"/>
      <c r="N621" s="401"/>
      <c r="O621" s="401"/>
      <c r="P621" s="401"/>
      <c r="Q621" s="401"/>
      <c r="R621" s="401"/>
      <c r="S621" s="401"/>
      <c r="T621" s="401"/>
      <c r="U621" s="401"/>
      <c r="V621" s="401"/>
      <c r="W621" s="401"/>
      <c r="X621" s="401"/>
    </row>
    <row r="622" spans="11:24" ht="19.05" customHeight="1">
      <c r="K622" s="401"/>
      <c r="L622" s="401"/>
      <c r="N622" s="401"/>
      <c r="O622" s="401"/>
      <c r="P622" s="401"/>
      <c r="Q622" s="401"/>
      <c r="R622" s="401"/>
      <c r="S622" s="401"/>
      <c r="T622" s="401"/>
      <c r="U622" s="401"/>
      <c r="V622" s="401"/>
      <c r="W622" s="401"/>
      <c r="X622" s="401"/>
    </row>
    <row r="623" spans="11:24" ht="19.05" customHeight="1">
      <c r="K623" s="401"/>
      <c r="L623" s="401"/>
      <c r="N623" s="401"/>
      <c r="O623" s="401"/>
      <c r="P623" s="401"/>
      <c r="Q623" s="401"/>
      <c r="R623" s="401"/>
      <c r="S623" s="401"/>
      <c r="T623" s="401"/>
      <c r="U623" s="401"/>
      <c r="V623" s="401"/>
      <c r="W623" s="401"/>
      <c r="X623" s="401"/>
    </row>
    <row r="624" spans="11:24" ht="19.05" customHeight="1">
      <c r="K624" s="401"/>
      <c r="L624" s="401"/>
      <c r="N624" s="401"/>
      <c r="O624" s="401"/>
      <c r="P624" s="401"/>
      <c r="Q624" s="401"/>
      <c r="R624" s="401"/>
      <c r="S624" s="401"/>
      <c r="T624" s="401"/>
      <c r="U624" s="401"/>
      <c r="V624" s="401"/>
      <c r="W624" s="401"/>
      <c r="X624" s="401"/>
    </row>
    <row r="625" spans="11:24" ht="19.05" customHeight="1">
      <c r="K625" s="401"/>
      <c r="L625" s="401"/>
      <c r="N625" s="401"/>
      <c r="O625" s="401"/>
      <c r="P625" s="401"/>
      <c r="Q625" s="401"/>
      <c r="R625" s="401"/>
      <c r="S625" s="401"/>
      <c r="T625" s="401"/>
      <c r="U625" s="401"/>
      <c r="V625" s="401"/>
      <c r="W625" s="401"/>
      <c r="X625" s="401"/>
    </row>
    <row r="626" spans="11:24" ht="19.05" customHeight="1">
      <c r="K626" s="401"/>
      <c r="L626" s="401"/>
      <c r="N626" s="401"/>
      <c r="O626" s="401"/>
      <c r="P626" s="401"/>
      <c r="Q626" s="401"/>
      <c r="R626" s="401"/>
      <c r="S626" s="401"/>
      <c r="T626" s="401"/>
      <c r="U626" s="401"/>
      <c r="V626" s="401"/>
      <c r="W626" s="401"/>
      <c r="X626" s="401"/>
    </row>
    <row r="627" spans="11:24" ht="19.05" customHeight="1">
      <c r="K627" s="401"/>
      <c r="L627" s="401"/>
      <c r="N627" s="401"/>
      <c r="O627" s="401"/>
      <c r="P627" s="401"/>
      <c r="Q627" s="401"/>
      <c r="R627" s="401"/>
      <c r="S627" s="401"/>
      <c r="T627" s="401"/>
      <c r="U627" s="401"/>
      <c r="V627" s="401"/>
      <c r="W627" s="401"/>
      <c r="X627" s="401"/>
    </row>
    <row r="628" spans="11:24" ht="19.05" customHeight="1">
      <c r="K628" s="401"/>
      <c r="L628" s="401"/>
      <c r="N628" s="401"/>
      <c r="O628" s="401"/>
      <c r="P628" s="401"/>
      <c r="Q628" s="401"/>
      <c r="R628" s="401"/>
      <c r="S628" s="401"/>
      <c r="T628" s="401"/>
      <c r="U628" s="401"/>
      <c r="V628" s="401"/>
      <c r="W628" s="401"/>
      <c r="X628" s="401"/>
    </row>
    <row r="629" spans="11:24" ht="19.05" customHeight="1">
      <c r="K629" s="401"/>
      <c r="L629" s="401"/>
      <c r="N629" s="401"/>
      <c r="O629" s="401"/>
      <c r="P629" s="401"/>
      <c r="Q629" s="401"/>
      <c r="R629" s="401"/>
      <c r="S629" s="401"/>
      <c r="T629" s="401"/>
      <c r="U629" s="401"/>
      <c r="V629" s="401"/>
      <c r="W629" s="401"/>
      <c r="X629" s="401"/>
    </row>
    <row r="630" spans="11:24" ht="19.05" customHeight="1">
      <c r="K630" s="401"/>
      <c r="L630" s="401"/>
      <c r="N630" s="401"/>
      <c r="O630" s="401"/>
      <c r="P630" s="401"/>
      <c r="Q630" s="401"/>
      <c r="R630" s="401"/>
      <c r="S630" s="401"/>
      <c r="T630" s="401"/>
      <c r="U630" s="401"/>
      <c r="V630" s="401"/>
      <c r="W630" s="401"/>
      <c r="X630" s="401"/>
    </row>
    <row r="631" spans="11:24" ht="19.05" customHeight="1">
      <c r="K631" s="401"/>
      <c r="L631" s="401"/>
      <c r="N631" s="401"/>
      <c r="O631" s="401"/>
      <c r="P631" s="401"/>
      <c r="Q631" s="401"/>
      <c r="R631" s="401"/>
      <c r="S631" s="401"/>
      <c r="T631" s="401"/>
      <c r="U631" s="401"/>
      <c r="V631" s="401"/>
      <c r="W631" s="401"/>
      <c r="X631" s="401"/>
    </row>
    <row r="632" spans="11:24" ht="19.05" customHeight="1">
      <c r="K632" s="401"/>
      <c r="L632" s="401"/>
      <c r="N632" s="401"/>
      <c r="O632" s="401"/>
      <c r="P632" s="401"/>
      <c r="Q632" s="401"/>
      <c r="R632" s="401"/>
      <c r="S632" s="401"/>
      <c r="T632" s="401"/>
      <c r="U632" s="401"/>
      <c r="V632" s="401"/>
      <c r="W632" s="401"/>
      <c r="X632" s="401"/>
    </row>
    <row r="633" spans="11:24" ht="19.05" customHeight="1">
      <c r="K633" s="401"/>
      <c r="L633" s="401"/>
      <c r="N633" s="401"/>
      <c r="O633" s="401"/>
      <c r="P633" s="401"/>
      <c r="Q633" s="401"/>
      <c r="R633" s="401"/>
      <c r="S633" s="401"/>
      <c r="T633" s="401"/>
      <c r="U633" s="401"/>
      <c r="V633" s="401"/>
      <c r="W633" s="401"/>
      <c r="X633" s="401"/>
    </row>
    <row r="634" spans="11:24" ht="19.05" customHeight="1">
      <c r="K634" s="401"/>
      <c r="L634" s="401"/>
      <c r="N634" s="401"/>
      <c r="O634" s="401"/>
      <c r="P634" s="401"/>
      <c r="Q634" s="401"/>
      <c r="R634" s="401"/>
      <c r="S634" s="401"/>
      <c r="T634" s="401"/>
      <c r="U634" s="401"/>
      <c r="V634" s="401"/>
      <c r="W634" s="401"/>
      <c r="X634" s="401"/>
    </row>
    <row r="635" spans="11:24" ht="19.05" customHeight="1">
      <c r="K635" s="401"/>
      <c r="L635" s="401"/>
      <c r="N635" s="401"/>
      <c r="O635" s="401"/>
      <c r="P635" s="401"/>
      <c r="Q635" s="401"/>
      <c r="R635" s="401"/>
      <c r="S635" s="401"/>
      <c r="T635" s="401"/>
      <c r="U635" s="401"/>
      <c r="V635" s="401"/>
      <c r="W635" s="401"/>
      <c r="X635" s="401"/>
    </row>
    <row r="636" spans="11:24" ht="19.05" customHeight="1">
      <c r="K636" s="401"/>
      <c r="L636" s="401"/>
      <c r="N636" s="401"/>
      <c r="O636" s="401"/>
      <c r="P636" s="401"/>
      <c r="Q636" s="401"/>
      <c r="R636" s="401"/>
      <c r="S636" s="401"/>
      <c r="T636" s="401"/>
      <c r="U636" s="401"/>
      <c r="V636" s="401"/>
      <c r="W636" s="401"/>
      <c r="X636" s="401"/>
    </row>
    <row r="637" spans="11:24" ht="19.05" customHeight="1">
      <c r="K637" s="401"/>
      <c r="L637" s="401"/>
      <c r="N637" s="401"/>
      <c r="O637" s="401"/>
      <c r="P637" s="401"/>
      <c r="Q637" s="401"/>
      <c r="R637" s="401"/>
      <c r="S637" s="401"/>
      <c r="T637" s="401"/>
      <c r="U637" s="401"/>
      <c r="V637" s="401"/>
      <c r="W637" s="401"/>
      <c r="X637" s="401"/>
    </row>
    <row r="638" spans="11:24" ht="19.05" customHeight="1">
      <c r="K638" s="401"/>
      <c r="L638" s="401"/>
      <c r="N638" s="401"/>
      <c r="O638" s="401"/>
      <c r="P638" s="401"/>
      <c r="Q638" s="401"/>
      <c r="R638" s="401"/>
      <c r="S638" s="401"/>
      <c r="T638" s="401"/>
      <c r="U638" s="401"/>
      <c r="V638" s="401"/>
      <c r="W638" s="401"/>
      <c r="X638" s="401"/>
    </row>
    <row r="639" spans="11:24" ht="19.05" customHeight="1">
      <c r="K639" s="401"/>
      <c r="L639" s="401"/>
      <c r="N639" s="401"/>
      <c r="O639" s="401"/>
      <c r="P639" s="401"/>
      <c r="Q639" s="401"/>
      <c r="R639" s="401"/>
      <c r="S639" s="401"/>
      <c r="T639" s="401"/>
      <c r="U639" s="401"/>
      <c r="V639" s="401"/>
      <c r="W639" s="401"/>
      <c r="X639" s="401"/>
    </row>
    <row r="640" spans="11:24" ht="19.05" customHeight="1">
      <c r="K640" s="401"/>
      <c r="L640" s="401"/>
      <c r="N640" s="401"/>
      <c r="O640" s="401"/>
      <c r="P640" s="401"/>
      <c r="Q640" s="401"/>
      <c r="R640" s="401"/>
      <c r="S640" s="401"/>
      <c r="T640" s="401"/>
      <c r="U640" s="401"/>
      <c r="V640" s="401"/>
      <c r="W640" s="401"/>
      <c r="X640" s="401"/>
    </row>
    <row r="641" spans="11:24" ht="19.05" customHeight="1">
      <c r="K641" s="401"/>
      <c r="L641" s="401"/>
      <c r="N641" s="401"/>
      <c r="O641" s="401"/>
      <c r="P641" s="401"/>
      <c r="Q641" s="401"/>
      <c r="R641" s="401"/>
      <c r="S641" s="401"/>
      <c r="T641" s="401"/>
      <c r="U641" s="401"/>
      <c r="V641" s="401"/>
      <c r="W641" s="401"/>
      <c r="X641" s="401"/>
    </row>
    <row r="642" spans="11:24" ht="19.05" customHeight="1">
      <c r="K642" s="401"/>
      <c r="L642" s="401"/>
      <c r="N642" s="401"/>
      <c r="O642" s="401"/>
      <c r="P642" s="401"/>
      <c r="Q642" s="401"/>
      <c r="R642" s="401"/>
      <c r="S642" s="401"/>
      <c r="T642" s="401"/>
      <c r="U642" s="401"/>
      <c r="V642" s="401"/>
      <c r="W642" s="401"/>
      <c r="X642" s="401"/>
    </row>
    <row r="643" spans="11:24" ht="19.05" customHeight="1">
      <c r="K643" s="401"/>
      <c r="L643" s="401"/>
      <c r="N643" s="401"/>
      <c r="O643" s="401"/>
      <c r="P643" s="401"/>
      <c r="Q643" s="401"/>
      <c r="R643" s="401"/>
      <c r="S643" s="401"/>
      <c r="T643" s="401"/>
      <c r="U643" s="401"/>
      <c r="V643" s="401"/>
      <c r="W643" s="401"/>
      <c r="X643" s="401"/>
    </row>
    <row r="644" spans="11:24" ht="19.05" customHeight="1">
      <c r="K644" s="401"/>
      <c r="L644" s="401"/>
      <c r="N644" s="401"/>
      <c r="O644" s="401"/>
      <c r="P644" s="401"/>
      <c r="Q644" s="401"/>
      <c r="R644" s="401"/>
      <c r="S644" s="401"/>
      <c r="T644" s="401"/>
      <c r="U644" s="401"/>
      <c r="V644" s="401"/>
      <c r="W644" s="401"/>
      <c r="X644" s="401"/>
    </row>
    <row r="645" spans="11:24" ht="19.05" customHeight="1">
      <c r="K645" s="401"/>
      <c r="L645" s="401"/>
      <c r="N645" s="401"/>
      <c r="O645" s="401"/>
      <c r="P645" s="401"/>
      <c r="Q645" s="401"/>
      <c r="R645" s="401"/>
      <c r="S645" s="401"/>
      <c r="T645" s="401"/>
      <c r="U645" s="401"/>
      <c r="V645" s="401"/>
      <c r="W645" s="401"/>
      <c r="X645" s="401"/>
    </row>
    <row r="646" spans="11:24" ht="19.05" customHeight="1">
      <c r="K646" s="401"/>
      <c r="L646" s="401"/>
      <c r="N646" s="401"/>
      <c r="O646" s="401"/>
      <c r="P646" s="401"/>
      <c r="Q646" s="401"/>
      <c r="R646" s="401"/>
      <c r="S646" s="401"/>
      <c r="T646" s="401"/>
      <c r="U646" s="401"/>
      <c r="V646" s="401"/>
      <c r="W646" s="401"/>
      <c r="X646" s="401"/>
    </row>
    <row r="647" spans="11:24" ht="19.05" customHeight="1">
      <c r="K647" s="401"/>
      <c r="L647" s="401"/>
      <c r="N647" s="401"/>
      <c r="O647" s="401"/>
      <c r="P647" s="401"/>
      <c r="Q647" s="401"/>
      <c r="R647" s="401"/>
      <c r="S647" s="401"/>
      <c r="T647" s="401"/>
      <c r="U647" s="401"/>
      <c r="V647" s="401"/>
      <c r="W647" s="401"/>
      <c r="X647" s="401"/>
    </row>
    <row r="648" spans="11:24" ht="19.05" customHeight="1">
      <c r="K648" s="401"/>
      <c r="L648" s="401"/>
      <c r="N648" s="401"/>
      <c r="O648" s="401"/>
      <c r="P648" s="401"/>
      <c r="Q648" s="401"/>
      <c r="R648" s="401"/>
      <c r="S648" s="401"/>
      <c r="T648" s="401"/>
      <c r="U648" s="401"/>
      <c r="V648" s="401"/>
      <c r="W648" s="401"/>
      <c r="X648" s="401"/>
    </row>
    <row r="649" spans="11:24" ht="19.05" customHeight="1">
      <c r="K649" s="401"/>
      <c r="L649" s="401"/>
      <c r="N649" s="401"/>
      <c r="O649" s="401"/>
      <c r="P649" s="401"/>
      <c r="Q649" s="401"/>
      <c r="R649" s="401"/>
      <c r="S649" s="401"/>
      <c r="T649" s="401"/>
      <c r="U649" s="401"/>
      <c r="V649" s="401"/>
      <c r="W649" s="401"/>
      <c r="X649" s="401"/>
    </row>
    <row r="650" spans="11:24" ht="19.05" customHeight="1">
      <c r="K650" s="401"/>
      <c r="L650" s="401"/>
      <c r="N650" s="401"/>
      <c r="O650" s="401"/>
      <c r="P650" s="401"/>
      <c r="Q650" s="401"/>
      <c r="R650" s="401"/>
      <c r="S650" s="401"/>
      <c r="T650" s="401"/>
      <c r="U650" s="401"/>
      <c r="V650" s="401"/>
      <c r="W650" s="401"/>
      <c r="X650" s="401"/>
    </row>
    <row r="651" spans="11:24" ht="19.05" customHeight="1">
      <c r="K651" s="401"/>
      <c r="L651" s="401"/>
      <c r="N651" s="401"/>
      <c r="O651" s="401"/>
      <c r="P651" s="401"/>
      <c r="Q651" s="401"/>
      <c r="R651" s="401"/>
      <c r="S651" s="401"/>
      <c r="T651" s="401"/>
      <c r="U651" s="401"/>
      <c r="V651" s="401"/>
      <c r="W651" s="401"/>
      <c r="X651" s="401"/>
    </row>
    <row r="652" spans="11:24" ht="19.05" customHeight="1">
      <c r="K652" s="401"/>
      <c r="L652" s="401"/>
      <c r="N652" s="401"/>
      <c r="O652" s="401"/>
      <c r="P652" s="401"/>
      <c r="Q652" s="401"/>
      <c r="R652" s="401"/>
      <c r="S652" s="401"/>
      <c r="T652" s="401"/>
      <c r="U652" s="401"/>
      <c r="V652" s="401"/>
      <c r="W652" s="401"/>
      <c r="X652" s="401"/>
    </row>
    <row r="653" spans="11:24" ht="19.05" customHeight="1">
      <c r="K653" s="401"/>
      <c r="L653" s="401"/>
      <c r="N653" s="401"/>
      <c r="O653" s="401"/>
      <c r="P653" s="401"/>
      <c r="Q653" s="401"/>
      <c r="R653" s="401"/>
      <c r="S653" s="401"/>
      <c r="T653" s="401"/>
      <c r="U653" s="401"/>
      <c r="V653" s="401"/>
      <c r="W653" s="401"/>
      <c r="X653" s="401"/>
    </row>
    <row r="654" spans="11:24" ht="19.05" customHeight="1">
      <c r="K654" s="401"/>
      <c r="L654" s="401"/>
      <c r="N654" s="401"/>
      <c r="O654" s="401"/>
      <c r="P654" s="401"/>
      <c r="Q654" s="401"/>
      <c r="R654" s="401"/>
      <c r="S654" s="401"/>
      <c r="T654" s="401"/>
      <c r="U654" s="401"/>
      <c r="V654" s="401"/>
      <c r="W654" s="401"/>
      <c r="X654" s="401"/>
    </row>
    <row r="655" spans="11:24" ht="19.05" customHeight="1">
      <c r="K655" s="401"/>
      <c r="L655" s="401"/>
      <c r="N655" s="401"/>
      <c r="O655" s="401"/>
      <c r="P655" s="401"/>
      <c r="Q655" s="401"/>
      <c r="R655" s="401"/>
      <c r="S655" s="401"/>
      <c r="T655" s="401"/>
      <c r="U655" s="401"/>
      <c r="V655" s="401"/>
      <c r="W655" s="401"/>
      <c r="X655" s="401"/>
    </row>
    <row r="656" spans="11:24" ht="19.05" customHeight="1">
      <c r="K656" s="401"/>
      <c r="L656" s="401"/>
      <c r="N656" s="401"/>
      <c r="O656" s="401"/>
      <c r="P656" s="401"/>
      <c r="Q656" s="401"/>
      <c r="R656" s="401"/>
      <c r="S656" s="401"/>
      <c r="T656" s="401"/>
      <c r="U656" s="401"/>
      <c r="V656" s="401"/>
      <c r="W656" s="401"/>
      <c r="X656" s="401"/>
    </row>
    <row r="657" spans="11:24" ht="19.05" customHeight="1">
      <c r="K657" s="401"/>
      <c r="L657" s="401"/>
      <c r="N657" s="401"/>
      <c r="O657" s="401"/>
      <c r="P657" s="401"/>
      <c r="Q657" s="401"/>
      <c r="R657" s="401"/>
      <c r="S657" s="401"/>
      <c r="T657" s="401"/>
      <c r="U657" s="401"/>
      <c r="V657" s="401"/>
      <c r="W657" s="401"/>
      <c r="X657" s="401"/>
    </row>
    <row r="658" spans="11:24" ht="19.05" customHeight="1">
      <c r="K658" s="401"/>
      <c r="L658" s="401"/>
      <c r="N658" s="401"/>
      <c r="O658" s="401"/>
      <c r="P658" s="401"/>
      <c r="Q658" s="401"/>
      <c r="R658" s="401"/>
      <c r="S658" s="401"/>
      <c r="T658" s="401"/>
      <c r="U658" s="401"/>
      <c r="V658" s="401"/>
      <c r="W658" s="401"/>
      <c r="X658" s="401"/>
    </row>
    <row r="659" spans="11:24" ht="19.05" customHeight="1">
      <c r="K659" s="401"/>
      <c r="L659" s="401"/>
      <c r="N659" s="401"/>
      <c r="O659" s="401"/>
      <c r="P659" s="401"/>
      <c r="Q659" s="401"/>
      <c r="R659" s="401"/>
      <c r="S659" s="401"/>
      <c r="T659" s="401"/>
      <c r="U659" s="401"/>
      <c r="V659" s="401"/>
      <c r="W659" s="401"/>
      <c r="X659" s="401"/>
    </row>
    <row r="660" spans="11:24" ht="19.05" customHeight="1">
      <c r="K660" s="401"/>
      <c r="L660" s="401"/>
      <c r="N660" s="401"/>
      <c r="O660" s="401"/>
      <c r="P660" s="401"/>
      <c r="Q660" s="401"/>
      <c r="R660" s="401"/>
      <c r="S660" s="401"/>
      <c r="T660" s="401"/>
      <c r="U660" s="401"/>
      <c r="V660" s="401"/>
      <c r="W660" s="401"/>
      <c r="X660" s="401"/>
    </row>
    <row r="661" spans="11:24" ht="19.05" customHeight="1">
      <c r="K661" s="401"/>
      <c r="L661" s="401"/>
      <c r="N661" s="401"/>
      <c r="O661" s="401"/>
      <c r="P661" s="401"/>
      <c r="Q661" s="401"/>
      <c r="R661" s="401"/>
      <c r="S661" s="401"/>
      <c r="T661" s="401"/>
      <c r="U661" s="401"/>
      <c r="V661" s="401"/>
      <c r="W661" s="401"/>
      <c r="X661" s="401"/>
    </row>
    <row r="662" spans="11:24" ht="19.05" customHeight="1">
      <c r="K662" s="401"/>
      <c r="L662" s="401"/>
      <c r="N662" s="401"/>
      <c r="O662" s="401"/>
      <c r="P662" s="401"/>
      <c r="Q662" s="401"/>
      <c r="R662" s="401"/>
      <c r="S662" s="401"/>
      <c r="T662" s="401"/>
      <c r="U662" s="401"/>
      <c r="V662" s="401"/>
      <c r="W662" s="401"/>
      <c r="X662" s="401"/>
    </row>
    <row r="663" spans="11:24" ht="19.05" customHeight="1">
      <c r="K663" s="401"/>
      <c r="L663" s="401"/>
      <c r="N663" s="401"/>
      <c r="O663" s="401"/>
      <c r="P663" s="401"/>
      <c r="Q663" s="401"/>
      <c r="R663" s="401"/>
      <c r="S663" s="401"/>
      <c r="T663" s="401"/>
      <c r="U663" s="401"/>
      <c r="V663" s="401"/>
      <c r="W663" s="401"/>
      <c r="X663" s="401"/>
    </row>
    <row r="664" spans="11:24" ht="19.05" customHeight="1">
      <c r="K664" s="401"/>
      <c r="L664" s="401"/>
      <c r="N664" s="401"/>
      <c r="O664" s="401"/>
      <c r="P664" s="401"/>
      <c r="Q664" s="401"/>
      <c r="R664" s="401"/>
      <c r="S664" s="401"/>
      <c r="T664" s="401"/>
      <c r="U664" s="401"/>
      <c r="V664" s="401"/>
      <c r="W664" s="401"/>
      <c r="X664" s="401"/>
    </row>
    <row r="665" spans="11:24" ht="19.05" customHeight="1">
      <c r="K665" s="401"/>
      <c r="L665" s="401"/>
      <c r="N665" s="401"/>
      <c r="O665" s="401"/>
      <c r="P665" s="401"/>
      <c r="Q665" s="401"/>
      <c r="R665" s="401"/>
      <c r="S665" s="401"/>
      <c r="T665" s="401"/>
      <c r="U665" s="401"/>
      <c r="V665" s="401"/>
      <c r="W665" s="401"/>
      <c r="X665" s="401"/>
    </row>
    <row r="666" spans="11:24" ht="19.05" customHeight="1">
      <c r="K666" s="401"/>
      <c r="L666" s="401"/>
      <c r="N666" s="401"/>
      <c r="O666" s="401"/>
      <c r="P666" s="401"/>
      <c r="Q666" s="401"/>
      <c r="R666" s="401"/>
      <c r="S666" s="401"/>
      <c r="T666" s="401"/>
      <c r="U666" s="401"/>
      <c r="V666" s="401"/>
      <c r="W666" s="401"/>
      <c r="X666" s="401"/>
    </row>
    <row r="667" spans="11:24" ht="19.05" customHeight="1">
      <c r="K667" s="401"/>
      <c r="L667" s="401"/>
      <c r="N667" s="401"/>
      <c r="O667" s="401"/>
      <c r="P667" s="401"/>
      <c r="Q667" s="401"/>
      <c r="R667" s="401"/>
      <c r="S667" s="401"/>
      <c r="T667" s="401"/>
      <c r="U667" s="401"/>
      <c r="V667" s="401"/>
      <c r="W667" s="401"/>
      <c r="X667" s="401"/>
    </row>
    <row r="668" spans="11:24" ht="19.05" customHeight="1">
      <c r="K668" s="401"/>
      <c r="L668" s="401"/>
      <c r="N668" s="401"/>
      <c r="O668" s="401"/>
      <c r="P668" s="401"/>
      <c r="Q668" s="401"/>
      <c r="R668" s="401"/>
      <c r="S668" s="401"/>
      <c r="T668" s="401"/>
      <c r="U668" s="401"/>
      <c r="V668" s="401"/>
      <c r="W668" s="401"/>
      <c r="X668" s="401"/>
    </row>
    <row r="669" spans="11:24" ht="19.05" customHeight="1">
      <c r="K669" s="401"/>
      <c r="L669" s="401"/>
      <c r="N669" s="401"/>
      <c r="O669" s="401"/>
      <c r="P669" s="401"/>
      <c r="Q669" s="401"/>
      <c r="R669" s="401"/>
      <c r="S669" s="401"/>
      <c r="T669" s="401"/>
      <c r="U669" s="401"/>
      <c r="V669" s="401"/>
      <c r="W669" s="401"/>
      <c r="X669" s="401"/>
    </row>
    <row r="670" spans="11:24" ht="19.05" customHeight="1">
      <c r="K670" s="401"/>
      <c r="L670" s="401"/>
      <c r="N670" s="401"/>
      <c r="O670" s="401"/>
      <c r="P670" s="401"/>
      <c r="Q670" s="401"/>
      <c r="R670" s="401"/>
      <c r="S670" s="401"/>
      <c r="T670" s="401"/>
      <c r="U670" s="401"/>
      <c r="V670" s="401"/>
      <c r="W670" s="401"/>
      <c r="X670" s="401"/>
    </row>
    <row r="671" spans="11:24" ht="19.05" customHeight="1">
      <c r="K671" s="401"/>
      <c r="L671" s="401"/>
      <c r="N671" s="401"/>
      <c r="O671" s="401"/>
      <c r="P671" s="401"/>
      <c r="Q671" s="401"/>
      <c r="R671" s="401"/>
      <c r="S671" s="401"/>
      <c r="T671" s="401"/>
      <c r="U671" s="401"/>
      <c r="V671" s="401"/>
      <c r="W671" s="401"/>
      <c r="X671" s="401"/>
    </row>
    <row r="672" spans="11:24" ht="19.05" customHeight="1">
      <c r="K672" s="401"/>
      <c r="L672" s="401"/>
      <c r="N672" s="401"/>
      <c r="O672" s="401"/>
      <c r="P672" s="401"/>
      <c r="Q672" s="401"/>
      <c r="R672" s="401"/>
      <c r="S672" s="401"/>
      <c r="T672" s="401"/>
      <c r="U672" s="401"/>
      <c r="V672" s="401"/>
      <c r="W672" s="401"/>
      <c r="X672" s="401"/>
    </row>
    <row r="673" spans="11:24" ht="19.05" customHeight="1">
      <c r="K673" s="401"/>
      <c r="L673" s="401"/>
      <c r="N673" s="401"/>
      <c r="O673" s="401"/>
      <c r="P673" s="401"/>
      <c r="Q673" s="401"/>
      <c r="R673" s="401"/>
      <c r="S673" s="401"/>
      <c r="T673" s="401"/>
      <c r="U673" s="401"/>
      <c r="V673" s="401"/>
      <c r="W673" s="401"/>
      <c r="X673" s="401"/>
    </row>
    <row r="674" spans="11:24" ht="19.05" customHeight="1">
      <c r="K674" s="401"/>
      <c r="L674" s="401"/>
      <c r="N674" s="401"/>
      <c r="O674" s="401"/>
      <c r="P674" s="401"/>
      <c r="Q674" s="401"/>
      <c r="R674" s="401"/>
      <c r="S674" s="401"/>
      <c r="T674" s="401"/>
      <c r="U674" s="401"/>
      <c r="V674" s="401"/>
      <c r="W674" s="401"/>
      <c r="X674" s="401"/>
    </row>
    <row r="675" spans="11:24" ht="19.05" customHeight="1">
      <c r="K675" s="401"/>
      <c r="L675" s="401"/>
      <c r="N675" s="401"/>
      <c r="O675" s="401"/>
      <c r="P675" s="401"/>
      <c r="Q675" s="401"/>
      <c r="R675" s="401"/>
      <c r="S675" s="401"/>
      <c r="T675" s="401"/>
      <c r="U675" s="401"/>
      <c r="V675" s="401"/>
      <c r="W675" s="401"/>
      <c r="X675" s="401"/>
    </row>
    <row r="676" spans="11:24" ht="19.05" customHeight="1">
      <c r="K676" s="401"/>
      <c r="L676" s="401"/>
      <c r="N676" s="401"/>
      <c r="O676" s="401"/>
      <c r="P676" s="401"/>
      <c r="Q676" s="401"/>
      <c r="R676" s="401"/>
      <c r="S676" s="401"/>
      <c r="T676" s="401"/>
      <c r="U676" s="401"/>
      <c r="V676" s="401"/>
      <c r="W676" s="401"/>
      <c r="X676" s="401"/>
    </row>
    <row r="677" spans="11:24" ht="19.05" customHeight="1">
      <c r="K677" s="401"/>
      <c r="L677" s="401"/>
      <c r="N677" s="401"/>
      <c r="O677" s="401"/>
      <c r="P677" s="401"/>
      <c r="Q677" s="401"/>
      <c r="R677" s="401"/>
      <c r="S677" s="401"/>
      <c r="T677" s="401"/>
      <c r="U677" s="401"/>
      <c r="V677" s="401"/>
      <c r="W677" s="401"/>
      <c r="X677" s="401"/>
    </row>
    <row r="678" spans="11:24" ht="19.05" customHeight="1">
      <c r="K678" s="401"/>
      <c r="L678" s="401"/>
      <c r="N678" s="401"/>
      <c r="O678" s="401"/>
      <c r="P678" s="401"/>
      <c r="Q678" s="401"/>
      <c r="R678" s="401"/>
      <c r="S678" s="401"/>
      <c r="T678" s="401"/>
      <c r="U678" s="401"/>
      <c r="V678" s="401"/>
      <c r="W678" s="401"/>
      <c r="X678" s="401"/>
    </row>
    <row r="679" spans="11:24" ht="19.05" customHeight="1">
      <c r="K679" s="401"/>
      <c r="L679" s="401"/>
      <c r="N679" s="401"/>
      <c r="O679" s="401"/>
      <c r="P679" s="401"/>
      <c r="Q679" s="401"/>
      <c r="R679" s="401"/>
      <c r="S679" s="401"/>
      <c r="T679" s="401"/>
      <c r="U679" s="401"/>
      <c r="V679" s="401"/>
      <c r="W679" s="401"/>
      <c r="X679" s="401"/>
    </row>
    <row r="680" spans="11:24" ht="19.05" customHeight="1">
      <c r="K680" s="401"/>
      <c r="L680" s="401"/>
      <c r="N680" s="401"/>
      <c r="O680" s="401"/>
      <c r="P680" s="401"/>
      <c r="Q680" s="401"/>
      <c r="R680" s="401"/>
      <c r="S680" s="401"/>
      <c r="T680" s="401"/>
      <c r="U680" s="401"/>
      <c r="V680" s="401"/>
      <c r="W680" s="401"/>
      <c r="X680" s="401"/>
    </row>
    <row r="681" spans="11:24" ht="19.05" customHeight="1">
      <c r="K681" s="401"/>
      <c r="L681" s="401"/>
      <c r="N681" s="401"/>
      <c r="O681" s="401"/>
      <c r="P681" s="401"/>
      <c r="Q681" s="401"/>
      <c r="R681" s="401"/>
      <c r="S681" s="401"/>
      <c r="T681" s="401"/>
      <c r="U681" s="401"/>
      <c r="V681" s="401"/>
      <c r="W681" s="401"/>
      <c r="X681" s="401"/>
    </row>
    <row r="682" spans="11:24" ht="19.05" customHeight="1">
      <c r="K682" s="401"/>
      <c r="L682" s="401"/>
      <c r="N682" s="401"/>
      <c r="O682" s="401"/>
      <c r="P682" s="401"/>
      <c r="Q682" s="401"/>
      <c r="R682" s="401"/>
      <c r="S682" s="401"/>
      <c r="T682" s="401"/>
      <c r="U682" s="401"/>
      <c r="V682" s="401"/>
      <c r="W682" s="401"/>
      <c r="X682" s="401"/>
    </row>
    <row r="683" spans="11:24" ht="19.05" customHeight="1">
      <c r="K683" s="401"/>
      <c r="L683" s="401"/>
      <c r="N683" s="401"/>
      <c r="O683" s="401"/>
      <c r="P683" s="401"/>
      <c r="Q683" s="401"/>
      <c r="R683" s="401"/>
      <c r="S683" s="401"/>
      <c r="T683" s="401"/>
      <c r="U683" s="401"/>
      <c r="V683" s="401"/>
      <c r="W683" s="401"/>
      <c r="X683" s="401"/>
    </row>
    <row r="684" spans="11:24" ht="19.05" customHeight="1">
      <c r="K684" s="401"/>
      <c r="L684" s="401"/>
      <c r="N684" s="401"/>
      <c r="O684" s="401"/>
      <c r="P684" s="401"/>
      <c r="Q684" s="401"/>
      <c r="R684" s="401"/>
      <c r="S684" s="401"/>
      <c r="T684" s="401"/>
      <c r="U684" s="401"/>
      <c r="V684" s="401"/>
      <c r="W684" s="401"/>
      <c r="X684" s="401"/>
    </row>
    <row r="685" spans="11:24" ht="19.05" customHeight="1">
      <c r="K685" s="401"/>
      <c r="L685" s="401"/>
      <c r="N685" s="401"/>
      <c r="O685" s="401"/>
      <c r="P685" s="401"/>
      <c r="Q685" s="401"/>
      <c r="R685" s="401"/>
      <c r="S685" s="401"/>
      <c r="T685" s="401"/>
      <c r="U685" s="401"/>
      <c r="V685" s="401"/>
      <c r="W685" s="401"/>
      <c r="X685" s="401"/>
    </row>
    <row r="686" spans="11:24" ht="19.05" customHeight="1">
      <c r="K686" s="401"/>
      <c r="L686" s="401"/>
      <c r="N686" s="401"/>
      <c r="O686" s="401"/>
      <c r="P686" s="401"/>
      <c r="Q686" s="401"/>
      <c r="R686" s="401"/>
      <c r="S686" s="401"/>
      <c r="T686" s="401"/>
      <c r="U686" s="401"/>
      <c r="V686" s="401"/>
      <c r="W686" s="401"/>
      <c r="X686" s="401"/>
    </row>
    <row r="687" spans="11:24" ht="19.05" customHeight="1">
      <c r="K687" s="401"/>
      <c r="L687" s="401"/>
      <c r="N687" s="401"/>
      <c r="O687" s="401"/>
      <c r="P687" s="401"/>
      <c r="Q687" s="401"/>
      <c r="R687" s="401"/>
      <c r="S687" s="401"/>
      <c r="T687" s="401"/>
      <c r="U687" s="401"/>
      <c r="V687" s="401"/>
      <c r="W687" s="401"/>
      <c r="X687" s="401"/>
    </row>
    <row r="688" spans="11:24" ht="19.05" customHeight="1">
      <c r="K688" s="401"/>
      <c r="L688" s="401"/>
      <c r="N688" s="401"/>
      <c r="O688" s="401"/>
      <c r="P688" s="401"/>
      <c r="Q688" s="401"/>
      <c r="R688" s="401"/>
      <c r="S688" s="401"/>
      <c r="T688" s="401"/>
      <c r="U688" s="401"/>
      <c r="V688" s="401"/>
      <c r="W688" s="401"/>
      <c r="X688" s="401"/>
    </row>
    <row r="689" spans="11:24" ht="19.05" customHeight="1">
      <c r="K689" s="401"/>
      <c r="L689" s="401"/>
      <c r="N689" s="401"/>
      <c r="O689" s="401"/>
      <c r="P689" s="401"/>
      <c r="Q689" s="401"/>
      <c r="R689" s="401"/>
      <c r="S689" s="401"/>
      <c r="T689" s="401"/>
      <c r="U689" s="401"/>
      <c r="V689" s="401"/>
      <c r="W689" s="401"/>
      <c r="X689" s="401"/>
    </row>
    <row r="690" spans="11:24" ht="19.05" customHeight="1">
      <c r="K690" s="401"/>
      <c r="L690" s="401"/>
      <c r="N690" s="401"/>
      <c r="O690" s="401"/>
      <c r="P690" s="401"/>
      <c r="Q690" s="401"/>
      <c r="R690" s="401"/>
      <c r="S690" s="401"/>
      <c r="T690" s="401"/>
      <c r="U690" s="401"/>
      <c r="V690" s="401"/>
      <c r="W690" s="401"/>
      <c r="X690" s="401"/>
    </row>
    <row r="691" spans="11:24" ht="19.05" customHeight="1">
      <c r="K691" s="401"/>
      <c r="L691" s="401"/>
      <c r="N691" s="401"/>
      <c r="O691" s="401"/>
      <c r="P691" s="401"/>
      <c r="Q691" s="401"/>
      <c r="R691" s="401"/>
      <c r="S691" s="401"/>
      <c r="T691" s="401"/>
      <c r="U691" s="401"/>
      <c r="V691" s="401"/>
      <c r="W691" s="401"/>
      <c r="X691" s="401"/>
    </row>
    <row r="692" spans="11:24" ht="19.05" customHeight="1">
      <c r="K692" s="401"/>
      <c r="L692" s="401"/>
      <c r="N692" s="401"/>
      <c r="O692" s="401"/>
      <c r="P692" s="401"/>
      <c r="Q692" s="401"/>
      <c r="R692" s="401"/>
      <c r="S692" s="401"/>
      <c r="T692" s="401"/>
      <c r="U692" s="401"/>
      <c r="V692" s="401"/>
      <c r="W692" s="401"/>
      <c r="X692" s="401"/>
    </row>
    <row r="693" spans="11:24" ht="19.05" customHeight="1">
      <c r="K693" s="401"/>
      <c r="L693" s="401"/>
      <c r="N693" s="401"/>
      <c r="O693" s="401"/>
      <c r="P693" s="401"/>
      <c r="Q693" s="401"/>
      <c r="R693" s="401"/>
      <c r="S693" s="401"/>
      <c r="T693" s="401"/>
      <c r="U693" s="401"/>
      <c r="V693" s="401"/>
      <c r="W693" s="401"/>
      <c r="X693" s="401"/>
    </row>
    <row r="694" spans="11:24" ht="19.05" customHeight="1">
      <c r="K694" s="401"/>
      <c r="L694" s="401"/>
      <c r="N694" s="401"/>
      <c r="O694" s="401"/>
      <c r="P694" s="401"/>
      <c r="Q694" s="401"/>
      <c r="R694" s="401"/>
      <c r="S694" s="401"/>
      <c r="T694" s="401"/>
      <c r="U694" s="401"/>
      <c r="V694" s="401"/>
      <c r="W694" s="401"/>
      <c r="X694" s="401"/>
    </row>
    <row r="695" spans="11:24" ht="19.05" customHeight="1">
      <c r="K695" s="401"/>
      <c r="L695" s="401"/>
      <c r="N695" s="401"/>
      <c r="O695" s="401"/>
      <c r="P695" s="401"/>
      <c r="Q695" s="401"/>
      <c r="R695" s="401"/>
      <c r="S695" s="401"/>
      <c r="T695" s="401"/>
      <c r="U695" s="401"/>
      <c r="V695" s="401"/>
      <c r="W695" s="401"/>
      <c r="X695" s="401"/>
    </row>
    <row r="696" spans="11:24" ht="19.05" customHeight="1">
      <c r="K696" s="401"/>
      <c r="L696" s="401"/>
      <c r="N696" s="401"/>
      <c r="O696" s="401"/>
      <c r="P696" s="401"/>
      <c r="Q696" s="401"/>
      <c r="R696" s="401"/>
      <c r="S696" s="401"/>
      <c r="T696" s="401"/>
      <c r="U696" s="401"/>
      <c r="V696" s="401"/>
      <c r="W696" s="401"/>
      <c r="X696" s="401"/>
    </row>
    <row r="697" spans="11:24" ht="19.05" customHeight="1">
      <c r="K697" s="401"/>
      <c r="L697" s="401"/>
      <c r="N697" s="401"/>
      <c r="O697" s="401"/>
      <c r="P697" s="401"/>
      <c r="Q697" s="401"/>
      <c r="R697" s="401"/>
      <c r="S697" s="401"/>
      <c r="T697" s="401"/>
      <c r="U697" s="401"/>
      <c r="V697" s="401"/>
      <c r="W697" s="401"/>
      <c r="X697" s="401"/>
    </row>
    <row r="698" spans="11:24" ht="19.05" customHeight="1">
      <c r="K698" s="401"/>
      <c r="L698" s="401"/>
      <c r="N698" s="401"/>
      <c r="O698" s="401"/>
      <c r="P698" s="401"/>
      <c r="Q698" s="401"/>
      <c r="R698" s="401"/>
      <c r="S698" s="401"/>
      <c r="T698" s="401"/>
      <c r="U698" s="401"/>
      <c r="V698" s="401"/>
      <c r="W698" s="401"/>
      <c r="X698" s="401"/>
    </row>
    <row r="699" spans="11:24" ht="19.05" customHeight="1">
      <c r="K699" s="401"/>
      <c r="L699" s="401"/>
      <c r="N699" s="401"/>
      <c r="O699" s="401"/>
      <c r="P699" s="401"/>
      <c r="Q699" s="401"/>
      <c r="R699" s="401"/>
      <c r="S699" s="401"/>
      <c r="T699" s="401"/>
      <c r="U699" s="401"/>
      <c r="V699" s="401"/>
      <c r="W699" s="401"/>
      <c r="X699" s="401"/>
    </row>
    <row r="700" spans="11:24" ht="19.05" customHeight="1">
      <c r="K700" s="401"/>
      <c r="L700" s="401"/>
      <c r="N700" s="401"/>
      <c r="O700" s="401"/>
      <c r="P700" s="401"/>
      <c r="Q700" s="401"/>
      <c r="R700" s="401"/>
      <c r="S700" s="401"/>
      <c r="T700" s="401"/>
      <c r="U700" s="401"/>
      <c r="V700" s="401"/>
      <c r="W700" s="401"/>
      <c r="X700" s="401"/>
    </row>
    <row r="701" spans="11:24" ht="19.05" customHeight="1">
      <c r="K701" s="401"/>
      <c r="L701" s="401"/>
      <c r="N701" s="401"/>
      <c r="O701" s="401"/>
      <c r="P701" s="401"/>
      <c r="Q701" s="401"/>
      <c r="R701" s="401"/>
      <c r="S701" s="401"/>
      <c r="T701" s="401"/>
      <c r="U701" s="401"/>
      <c r="V701" s="401"/>
      <c r="W701" s="401"/>
      <c r="X701" s="401"/>
    </row>
    <row r="702" spans="11:24" ht="19.05" customHeight="1">
      <c r="K702" s="401"/>
      <c r="L702" s="401"/>
      <c r="N702" s="401"/>
      <c r="O702" s="401"/>
      <c r="P702" s="401"/>
      <c r="Q702" s="401"/>
      <c r="R702" s="401"/>
      <c r="S702" s="401"/>
      <c r="T702" s="401"/>
      <c r="U702" s="401"/>
      <c r="V702" s="401"/>
      <c r="W702" s="401"/>
      <c r="X702" s="401"/>
    </row>
    <row r="703" spans="11:24" ht="19.05" customHeight="1">
      <c r="K703" s="401"/>
      <c r="L703" s="401"/>
      <c r="N703" s="401"/>
      <c r="O703" s="401"/>
      <c r="P703" s="401"/>
      <c r="Q703" s="401"/>
      <c r="R703" s="401"/>
      <c r="S703" s="401"/>
      <c r="T703" s="401"/>
      <c r="U703" s="401"/>
      <c r="V703" s="401"/>
      <c r="W703" s="401"/>
      <c r="X703" s="401"/>
    </row>
    <row r="704" spans="11:24" ht="19.05" customHeight="1">
      <c r="K704" s="401"/>
      <c r="L704" s="401"/>
      <c r="N704" s="401"/>
      <c r="O704" s="401"/>
      <c r="P704" s="401"/>
      <c r="Q704" s="401"/>
      <c r="R704" s="401"/>
      <c r="S704" s="401"/>
      <c r="T704" s="401"/>
      <c r="U704" s="401"/>
      <c r="V704" s="401"/>
      <c r="W704" s="401"/>
      <c r="X704" s="401"/>
    </row>
    <row r="705" spans="11:24" ht="19.05" customHeight="1">
      <c r="K705" s="401"/>
      <c r="L705" s="401"/>
      <c r="N705" s="401"/>
      <c r="O705" s="401"/>
      <c r="P705" s="401"/>
      <c r="Q705" s="401"/>
      <c r="R705" s="401"/>
      <c r="S705" s="401"/>
      <c r="T705" s="401"/>
      <c r="U705" s="401"/>
      <c r="V705" s="401"/>
      <c r="W705" s="401"/>
      <c r="X705" s="401"/>
    </row>
    <row r="706" spans="11:24" ht="19.05" customHeight="1">
      <c r="K706" s="401"/>
      <c r="L706" s="401"/>
      <c r="N706" s="401"/>
      <c r="O706" s="401"/>
      <c r="P706" s="401"/>
      <c r="Q706" s="401"/>
      <c r="R706" s="401"/>
      <c r="S706" s="401"/>
      <c r="T706" s="401"/>
      <c r="U706" s="401"/>
      <c r="V706" s="401"/>
      <c r="W706" s="401"/>
      <c r="X706" s="401"/>
    </row>
    <row r="707" spans="11:24" ht="19.05" customHeight="1">
      <c r="K707" s="401"/>
      <c r="L707" s="401"/>
      <c r="N707" s="401"/>
      <c r="O707" s="401"/>
      <c r="P707" s="401"/>
      <c r="Q707" s="401"/>
      <c r="R707" s="401"/>
      <c r="S707" s="401"/>
      <c r="T707" s="401"/>
      <c r="U707" s="401"/>
      <c r="V707" s="401"/>
      <c r="W707" s="401"/>
      <c r="X707" s="401"/>
    </row>
    <row r="708" spans="11:24" ht="19.05" customHeight="1">
      <c r="K708" s="401"/>
      <c r="L708" s="401"/>
      <c r="N708" s="401"/>
      <c r="O708" s="401"/>
      <c r="P708" s="401"/>
      <c r="Q708" s="401"/>
      <c r="R708" s="401"/>
      <c r="S708" s="401"/>
      <c r="T708" s="401"/>
      <c r="U708" s="401"/>
      <c r="V708" s="401"/>
      <c r="W708" s="401"/>
      <c r="X708" s="401"/>
    </row>
    <row r="709" spans="11:24" ht="19.05" customHeight="1">
      <c r="K709" s="401"/>
      <c r="L709" s="401"/>
      <c r="N709" s="401"/>
      <c r="O709" s="401"/>
      <c r="P709" s="401"/>
      <c r="Q709" s="401"/>
      <c r="R709" s="401"/>
      <c r="S709" s="401"/>
      <c r="T709" s="401"/>
      <c r="U709" s="401"/>
      <c r="V709" s="401"/>
      <c r="W709" s="401"/>
      <c r="X709" s="401"/>
    </row>
    <row r="710" spans="11:24" ht="19.05" customHeight="1">
      <c r="K710" s="401"/>
      <c r="L710" s="401"/>
      <c r="N710" s="401"/>
      <c r="O710" s="401"/>
      <c r="P710" s="401"/>
      <c r="Q710" s="401"/>
      <c r="R710" s="401"/>
      <c r="S710" s="401"/>
      <c r="T710" s="401"/>
      <c r="U710" s="401"/>
      <c r="V710" s="401"/>
      <c r="W710" s="401"/>
      <c r="X710" s="401"/>
    </row>
    <row r="711" spans="11:24" ht="19.05" customHeight="1">
      <c r="K711" s="401"/>
      <c r="L711" s="401"/>
      <c r="N711" s="401"/>
      <c r="O711" s="401"/>
      <c r="P711" s="401"/>
      <c r="Q711" s="401"/>
      <c r="R711" s="401"/>
      <c r="S711" s="401"/>
      <c r="T711" s="401"/>
      <c r="U711" s="401"/>
      <c r="V711" s="401"/>
      <c r="W711" s="401"/>
      <c r="X711" s="401"/>
    </row>
    <row r="712" spans="11:24" ht="19.05" customHeight="1">
      <c r="K712" s="401"/>
      <c r="L712" s="401"/>
      <c r="N712" s="401"/>
      <c r="O712" s="401"/>
      <c r="P712" s="401"/>
      <c r="Q712" s="401"/>
      <c r="R712" s="401"/>
      <c r="S712" s="401"/>
      <c r="T712" s="401"/>
      <c r="U712" s="401"/>
      <c r="V712" s="401"/>
      <c r="W712" s="401"/>
      <c r="X712" s="401"/>
    </row>
    <row r="713" spans="11:24" ht="19.05" customHeight="1">
      <c r="K713" s="401"/>
      <c r="L713" s="401"/>
      <c r="N713" s="401"/>
      <c r="O713" s="401"/>
      <c r="P713" s="401"/>
      <c r="Q713" s="401"/>
      <c r="R713" s="401"/>
      <c r="S713" s="401"/>
      <c r="T713" s="401"/>
      <c r="U713" s="401"/>
      <c r="V713" s="401"/>
      <c r="W713" s="401"/>
      <c r="X713" s="401"/>
    </row>
    <row r="714" spans="11:24" ht="19.05" customHeight="1">
      <c r="K714" s="401"/>
      <c r="L714" s="401"/>
      <c r="N714" s="401"/>
      <c r="O714" s="401"/>
      <c r="P714" s="401"/>
      <c r="Q714" s="401"/>
      <c r="R714" s="401"/>
      <c r="S714" s="401"/>
      <c r="T714" s="401"/>
      <c r="U714" s="401"/>
      <c r="V714" s="401"/>
      <c r="W714" s="401"/>
      <c r="X714" s="401"/>
    </row>
    <row r="715" spans="11:24" ht="19.05" customHeight="1">
      <c r="K715" s="401"/>
      <c r="L715" s="401"/>
      <c r="N715" s="401"/>
      <c r="O715" s="401"/>
      <c r="P715" s="401"/>
      <c r="Q715" s="401"/>
      <c r="R715" s="401"/>
      <c r="S715" s="401"/>
      <c r="T715" s="401"/>
      <c r="U715" s="401"/>
      <c r="V715" s="401"/>
      <c r="W715" s="401"/>
      <c r="X715" s="401"/>
    </row>
    <row r="716" spans="11:24" ht="19.05" customHeight="1">
      <c r="K716" s="401"/>
      <c r="L716" s="401"/>
      <c r="N716" s="401"/>
      <c r="O716" s="401"/>
      <c r="P716" s="401"/>
      <c r="Q716" s="401"/>
      <c r="R716" s="401"/>
      <c r="S716" s="401"/>
      <c r="T716" s="401"/>
      <c r="U716" s="401"/>
      <c r="V716" s="401"/>
      <c r="W716" s="401"/>
      <c r="X716" s="401"/>
    </row>
    <row r="717" spans="11:24" ht="19.05" customHeight="1">
      <c r="K717" s="401"/>
      <c r="L717" s="401"/>
      <c r="N717" s="401"/>
      <c r="O717" s="401"/>
      <c r="P717" s="401"/>
      <c r="Q717" s="401"/>
      <c r="R717" s="401"/>
      <c r="S717" s="401"/>
      <c r="T717" s="401"/>
      <c r="U717" s="401"/>
      <c r="V717" s="401"/>
      <c r="W717" s="401"/>
      <c r="X717" s="401"/>
    </row>
    <row r="718" spans="11:24" ht="19.05" customHeight="1">
      <c r="K718" s="401"/>
      <c r="L718" s="401"/>
      <c r="N718" s="401"/>
      <c r="O718" s="401"/>
      <c r="P718" s="401"/>
      <c r="Q718" s="401"/>
      <c r="R718" s="401"/>
      <c r="S718" s="401"/>
      <c r="T718" s="401"/>
      <c r="U718" s="401"/>
      <c r="V718" s="401"/>
      <c r="W718" s="401"/>
      <c r="X718" s="401"/>
    </row>
    <row r="719" spans="11:24" ht="19.05" customHeight="1">
      <c r="K719" s="401"/>
      <c r="L719" s="401"/>
      <c r="N719" s="401"/>
      <c r="O719" s="401"/>
      <c r="P719" s="401"/>
      <c r="Q719" s="401"/>
      <c r="R719" s="401"/>
      <c r="S719" s="401"/>
      <c r="T719" s="401"/>
      <c r="U719" s="401"/>
      <c r="V719" s="401"/>
      <c r="W719" s="401"/>
      <c r="X719" s="401"/>
    </row>
    <row r="720" spans="11:24" ht="19.05" customHeight="1">
      <c r="K720" s="401"/>
      <c r="L720" s="401"/>
      <c r="N720" s="401"/>
      <c r="O720" s="401"/>
      <c r="P720" s="401"/>
      <c r="Q720" s="401"/>
      <c r="R720" s="401"/>
      <c r="S720" s="401"/>
      <c r="T720" s="401"/>
      <c r="U720" s="401"/>
      <c r="V720" s="401"/>
      <c r="W720" s="401"/>
      <c r="X720" s="401"/>
    </row>
    <row r="721" spans="11:24" ht="19.05" customHeight="1">
      <c r="K721" s="401"/>
      <c r="L721" s="401"/>
      <c r="N721" s="401"/>
      <c r="O721" s="401"/>
      <c r="P721" s="401"/>
      <c r="Q721" s="401"/>
      <c r="R721" s="401"/>
      <c r="S721" s="401"/>
      <c r="T721" s="401"/>
      <c r="U721" s="401"/>
      <c r="V721" s="401"/>
      <c r="W721" s="401"/>
      <c r="X721" s="401"/>
    </row>
    <row r="722" spans="11:24" ht="19.05" customHeight="1">
      <c r="K722" s="401"/>
      <c r="L722" s="401"/>
      <c r="N722" s="401"/>
      <c r="O722" s="401"/>
      <c r="P722" s="401"/>
      <c r="Q722" s="401"/>
      <c r="R722" s="401"/>
      <c r="S722" s="401"/>
      <c r="T722" s="401"/>
      <c r="U722" s="401"/>
      <c r="V722" s="401"/>
      <c r="W722" s="401"/>
      <c r="X722" s="401"/>
    </row>
    <row r="723" spans="11:24" ht="19.05" customHeight="1">
      <c r="K723" s="401"/>
      <c r="L723" s="401"/>
      <c r="N723" s="401"/>
      <c r="O723" s="401"/>
      <c r="P723" s="401"/>
      <c r="Q723" s="401"/>
      <c r="R723" s="401"/>
      <c r="S723" s="401"/>
      <c r="T723" s="401"/>
      <c r="U723" s="401"/>
      <c r="V723" s="401"/>
      <c r="W723" s="401"/>
      <c r="X723" s="401"/>
    </row>
    <row r="724" spans="11:24" ht="19.05" customHeight="1">
      <c r="K724" s="401"/>
      <c r="L724" s="401"/>
      <c r="N724" s="401"/>
      <c r="O724" s="401"/>
      <c r="P724" s="401"/>
      <c r="Q724" s="401"/>
      <c r="R724" s="401"/>
      <c r="S724" s="401"/>
      <c r="T724" s="401"/>
      <c r="U724" s="401"/>
      <c r="V724" s="401"/>
      <c r="W724" s="401"/>
      <c r="X724" s="401"/>
    </row>
    <row r="725" spans="11:24" ht="19.05" customHeight="1">
      <c r="K725" s="401"/>
      <c r="L725" s="401"/>
      <c r="N725" s="401"/>
      <c r="O725" s="401"/>
      <c r="P725" s="401"/>
      <c r="Q725" s="401"/>
      <c r="R725" s="401"/>
      <c r="S725" s="401"/>
      <c r="T725" s="401"/>
      <c r="U725" s="401"/>
      <c r="V725" s="401"/>
      <c r="W725" s="401"/>
      <c r="X725" s="401"/>
    </row>
    <row r="726" spans="11:24" ht="19.05" customHeight="1">
      <c r="K726" s="401"/>
      <c r="L726" s="401"/>
      <c r="N726" s="401"/>
      <c r="O726" s="401"/>
      <c r="P726" s="401"/>
      <c r="Q726" s="401"/>
      <c r="R726" s="401"/>
      <c r="S726" s="401"/>
      <c r="T726" s="401"/>
      <c r="U726" s="401"/>
      <c r="V726" s="401"/>
      <c r="W726" s="401"/>
      <c r="X726" s="401"/>
    </row>
    <row r="727" spans="11:24" ht="19.05" customHeight="1">
      <c r="K727" s="401"/>
      <c r="L727" s="401"/>
      <c r="N727" s="401"/>
      <c r="O727" s="401"/>
      <c r="P727" s="401"/>
      <c r="Q727" s="401"/>
      <c r="R727" s="401"/>
      <c r="S727" s="401"/>
      <c r="T727" s="401"/>
      <c r="U727" s="401"/>
      <c r="V727" s="401"/>
      <c r="W727" s="401"/>
      <c r="X727" s="401"/>
    </row>
    <row r="728" spans="11:24" ht="19.05" customHeight="1">
      <c r="K728" s="401"/>
      <c r="L728" s="401"/>
      <c r="N728" s="401"/>
      <c r="O728" s="401"/>
      <c r="P728" s="401"/>
      <c r="Q728" s="401"/>
      <c r="R728" s="401"/>
      <c r="S728" s="401"/>
      <c r="T728" s="401"/>
      <c r="U728" s="401"/>
      <c r="V728" s="401"/>
      <c r="W728" s="401"/>
      <c r="X728" s="401"/>
    </row>
    <row r="729" spans="11:24" ht="19.05" customHeight="1">
      <c r="K729" s="401"/>
      <c r="L729" s="401"/>
      <c r="N729" s="401"/>
      <c r="O729" s="401"/>
      <c r="P729" s="401"/>
      <c r="Q729" s="401"/>
      <c r="R729" s="401"/>
      <c r="S729" s="401"/>
      <c r="T729" s="401"/>
      <c r="U729" s="401"/>
      <c r="V729" s="401"/>
      <c r="W729" s="401"/>
      <c r="X729" s="401"/>
    </row>
    <row r="730" spans="11:24" ht="19.05" customHeight="1">
      <c r="K730" s="401"/>
      <c r="L730" s="401"/>
      <c r="N730" s="401"/>
      <c r="O730" s="401"/>
      <c r="P730" s="401"/>
      <c r="Q730" s="401"/>
      <c r="R730" s="401"/>
      <c r="S730" s="401"/>
      <c r="T730" s="401"/>
      <c r="U730" s="401"/>
      <c r="V730" s="401"/>
      <c r="W730" s="401"/>
      <c r="X730" s="401"/>
    </row>
  </sheetData>
  <mergeCells count="6">
    <mergeCell ref="B113:H113"/>
    <mergeCell ref="A6:A7"/>
    <mergeCell ref="B6:B7"/>
    <mergeCell ref="C6:D6"/>
    <mergeCell ref="E6:F6"/>
    <mergeCell ref="G6:H6"/>
  </mergeCells>
  <printOptions horizontalCentered="1"/>
  <pageMargins left="0" right="0" top="0.59055118110236227" bottom="0.19685039370078741" header="0.19685039370078741" footer="0.23622047244094491"/>
  <pageSetup paperSize="9" scale="96" orientation="landscape" r:id="rId1"/>
  <headerFooter alignWithMargins="0">
    <oddHeader>&amp;Rแบบ ปร.4 แผ่นที่ 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A333"/>
  <sheetViews>
    <sheetView topLeftCell="A234" workbookViewId="0">
      <selection activeCell="K247" sqref="K247"/>
    </sheetView>
  </sheetViews>
  <sheetFormatPr defaultRowHeight="21"/>
  <cols>
    <col min="1" max="1" width="5.75" customWidth="1"/>
    <col min="2" max="2" width="39.25" customWidth="1"/>
    <col min="3" max="3" width="11.625" customWidth="1"/>
    <col min="4" max="4" width="6.125" customWidth="1"/>
    <col min="5" max="5" width="12.875" customWidth="1"/>
    <col min="6" max="8" width="11.375" customWidth="1"/>
    <col min="9" max="9" width="16" customWidth="1"/>
  </cols>
  <sheetData>
    <row r="2" spans="1:9" ht="26.4">
      <c r="A2" s="789"/>
      <c r="B2" s="789"/>
      <c r="C2" s="789"/>
      <c r="D2" s="789"/>
      <c r="E2" s="789"/>
      <c r="F2" s="789"/>
      <c r="G2" s="789"/>
      <c r="H2" s="789"/>
      <c r="I2" s="789"/>
    </row>
    <row r="3" spans="1:9" ht="26.4">
      <c r="A3" s="149"/>
      <c r="B3" s="790"/>
      <c r="C3" s="790"/>
      <c r="D3" s="790"/>
      <c r="E3" s="790"/>
      <c r="F3" s="790"/>
      <c r="G3" s="790"/>
      <c r="H3" s="150"/>
    </row>
    <row r="5" spans="1:9" ht="23.4">
      <c r="B5" s="151" t="s">
        <v>126</v>
      </c>
      <c r="C5" s="152">
        <v>1485.98</v>
      </c>
    </row>
    <row r="6" spans="1:9" ht="23.4">
      <c r="B6" s="151" t="s">
        <v>127</v>
      </c>
      <c r="C6" s="152">
        <v>2004.68</v>
      </c>
    </row>
    <row r="7" spans="1:9" ht="23.4">
      <c r="B7" s="151" t="s">
        <v>128</v>
      </c>
      <c r="C7" s="152">
        <v>120</v>
      </c>
    </row>
    <row r="8" spans="1:9" ht="23.4">
      <c r="B8" s="151" t="s">
        <v>129</v>
      </c>
      <c r="C8" s="152">
        <v>35.28</v>
      </c>
    </row>
    <row r="9" spans="1:9" ht="23.4">
      <c r="B9" s="151" t="s">
        <v>130</v>
      </c>
      <c r="C9" s="152">
        <v>25.64</v>
      </c>
    </row>
    <row r="10" spans="1:9" ht="23.4">
      <c r="B10" s="151" t="s">
        <v>131</v>
      </c>
      <c r="C10" s="152">
        <v>23.97</v>
      </c>
    </row>
    <row r="11" spans="1:9" ht="23.4">
      <c r="B11" s="151" t="s">
        <v>132</v>
      </c>
      <c r="C11" s="152">
        <v>24.46</v>
      </c>
    </row>
    <row r="12" spans="1:9" ht="23.4">
      <c r="B12" s="151" t="s">
        <v>133</v>
      </c>
      <c r="C12" s="152">
        <v>23.7</v>
      </c>
    </row>
    <row r="13" spans="1:9" ht="23.4">
      <c r="B13" s="151" t="s">
        <v>134</v>
      </c>
      <c r="C13" s="152">
        <v>23.53</v>
      </c>
    </row>
    <row r="14" spans="1:9" ht="23.4">
      <c r="B14" s="151" t="s">
        <v>135</v>
      </c>
      <c r="C14" s="152">
        <v>24.06</v>
      </c>
    </row>
    <row r="15" spans="1:9">
      <c r="B15" s="153" t="s">
        <v>136</v>
      </c>
      <c r="C15" s="152">
        <v>35</v>
      </c>
    </row>
    <row r="16" spans="1:9" ht="23.4">
      <c r="B16" s="151" t="s">
        <v>137</v>
      </c>
      <c r="C16" s="152">
        <v>299.07</v>
      </c>
    </row>
    <row r="17" spans="2:3" ht="23.4">
      <c r="B17" s="151" t="s">
        <v>138</v>
      </c>
      <c r="C17" s="152">
        <v>327.10000000000002</v>
      </c>
    </row>
    <row r="18" spans="2:3" ht="23.4">
      <c r="B18" s="151"/>
      <c r="C18" s="154"/>
    </row>
    <row r="19" spans="2:3">
      <c r="B19" s="153"/>
      <c r="C19" s="154"/>
    </row>
    <row r="20" spans="2:3">
      <c r="B20" s="153"/>
      <c r="C20" s="154"/>
    </row>
    <row r="21" spans="2:3">
      <c r="B21" s="153"/>
      <c r="C21" s="155"/>
    </row>
    <row r="35" spans="1:9" ht="26.4">
      <c r="A35" s="789"/>
      <c r="B35" s="789"/>
      <c r="C35" s="789"/>
      <c r="D35" s="789"/>
      <c r="E35" s="789"/>
      <c r="F35" s="789"/>
      <c r="G35" s="789"/>
      <c r="H35" s="789"/>
      <c r="I35" s="789"/>
    </row>
    <row r="36" spans="1:9" ht="26.4">
      <c r="B36" s="790"/>
      <c r="C36" s="790"/>
      <c r="D36" s="790"/>
      <c r="E36" s="790"/>
      <c r="F36" s="150"/>
    </row>
    <row r="37" spans="1:9" ht="21.6" thickBot="1"/>
    <row r="38" spans="1:9">
      <c r="A38" s="156" t="s">
        <v>12</v>
      </c>
      <c r="B38" s="157" t="s">
        <v>0</v>
      </c>
      <c r="C38" s="157" t="s">
        <v>1</v>
      </c>
      <c r="D38" s="157" t="s">
        <v>2</v>
      </c>
      <c r="E38" s="791" t="s">
        <v>11</v>
      </c>
      <c r="F38" s="792"/>
      <c r="G38" s="791" t="s">
        <v>3</v>
      </c>
      <c r="H38" s="792"/>
      <c r="I38" s="158" t="s">
        <v>139</v>
      </c>
    </row>
    <row r="39" spans="1:9" ht="21.6" thickBot="1">
      <c r="A39" s="159"/>
      <c r="B39" s="160"/>
      <c r="C39" s="160"/>
      <c r="D39" s="160"/>
      <c r="E39" s="161" t="s">
        <v>140</v>
      </c>
      <c r="F39" s="161" t="s">
        <v>141</v>
      </c>
      <c r="G39" s="161" t="s">
        <v>140</v>
      </c>
      <c r="H39" s="161" t="s">
        <v>141</v>
      </c>
      <c r="I39" s="162" t="s">
        <v>113</v>
      </c>
    </row>
    <row r="40" spans="1:9">
      <c r="A40" s="163" t="s">
        <v>114</v>
      </c>
      <c r="B40" s="164" t="s">
        <v>142</v>
      </c>
      <c r="C40" s="165"/>
      <c r="D40" s="165"/>
      <c r="E40" s="165"/>
      <c r="F40" s="165"/>
      <c r="G40" s="165"/>
      <c r="H40" s="166"/>
      <c r="I40" s="167"/>
    </row>
    <row r="41" spans="1:9">
      <c r="A41" s="168" t="s">
        <v>114</v>
      </c>
      <c r="B41" s="169" t="s">
        <v>114</v>
      </c>
      <c r="C41" s="170"/>
      <c r="D41" s="171"/>
      <c r="E41" s="169"/>
      <c r="F41" s="169"/>
      <c r="G41" s="169"/>
      <c r="H41" s="172"/>
      <c r="I41" s="173"/>
    </row>
    <row r="42" spans="1:9">
      <c r="A42" s="174">
        <v>1</v>
      </c>
      <c r="B42" s="175" t="s">
        <v>143</v>
      </c>
      <c r="C42" s="176">
        <v>0.14000000000000001</v>
      </c>
      <c r="D42" s="177" t="s">
        <v>104</v>
      </c>
      <c r="E42" s="178">
        <f>C6</f>
        <v>2004.68</v>
      </c>
      <c r="F42" s="178">
        <f>C42*E42</f>
        <v>280.65520000000004</v>
      </c>
      <c r="G42" s="175">
        <v>204</v>
      </c>
      <c r="H42" s="179">
        <f>C42*G42</f>
        <v>28.560000000000002</v>
      </c>
      <c r="I42" s="180">
        <f>F42+H42</f>
        <v>309.21520000000004</v>
      </c>
    </row>
    <row r="43" spans="1:9">
      <c r="A43" s="174">
        <v>2</v>
      </c>
      <c r="B43" s="175" t="s">
        <v>128</v>
      </c>
      <c r="C43" s="181">
        <v>0.8</v>
      </c>
      <c r="D43" s="177" t="s">
        <v>21</v>
      </c>
      <c r="E43" s="182">
        <v>97</v>
      </c>
      <c r="F43" s="178">
        <f>C43*E43</f>
        <v>77.600000000000009</v>
      </c>
      <c r="G43" s="175">
        <v>86</v>
      </c>
      <c r="H43" s="179">
        <f>C43*G43</f>
        <v>68.8</v>
      </c>
      <c r="I43" s="180">
        <f>F43+H43</f>
        <v>146.4</v>
      </c>
    </row>
    <row r="44" spans="1:9">
      <c r="A44" s="174">
        <v>3</v>
      </c>
      <c r="B44" s="175" t="s">
        <v>144</v>
      </c>
      <c r="C44" s="177" t="s">
        <v>114</v>
      </c>
      <c r="D44" s="177"/>
      <c r="E44" s="183"/>
      <c r="F44" s="183"/>
      <c r="G44" s="175"/>
      <c r="H44" s="179"/>
      <c r="I44" s="180"/>
    </row>
    <row r="45" spans="1:9">
      <c r="A45" s="174"/>
      <c r="B45" s="175" t="s">
        <v>145</v>
      </c>
      <c r="C45" s="184">
        <v>1.43</v>
      </c>
      <c r="D45" s="177" t="s">
        <v>17</v>
      </c>
      <c r="E45" s="185">
        <f t="shared" ref="E45:E51" si="0">C9</f>
        <v>25.64</v>
      </c>
      <c r="F45" s="178">
        <f>C45*E45</f>
        <v>36.665199999999999</v>
      </c>
      <c r="G45" s="186">
        <v>3</v>
      </c>
      <c r="H45" s="179">
        <f>C45*G45</f>
        <v>4.29</v>
      </c>
      <c r="I45" s="180">
        <f t="shared" ref="I45:I51" si="1">F45+H45</f>
        <v>40.955199999999998</v>
      </c>
    </row>
    <row r="46" spans="1:9">
      <c r="A46" s="174"/>
      <c r="B46" s="175" t="s">
        <v>146</v>
      </c>
      <c r="C46" s="184">
        <v>3.5</v>
      </c>
      <c r="D46" s="171" t="s">
        <v>17</v>
      </c>
      <c r="E46" s="185">
        <f t="shared" si="0"/>
        <v>23.97</v>
      </c>
      <c r="F46" s="178">
        <f t="shared" ref="F46:F51" si="2">C46*E46</f>
        <v>83.894999999999996</v>
      </c>
      <c r="G46" s="186">
        <v>3</v>
      </c>
      <c r="H46" s="179">
        <f t="shared" ref="H46:H51" si="3">C46*G46</f>
        <v>10.5</v>
      </c>
      <c r="I46" s="180">
        <f t="shared" si="1"/>
        <v>94.394999999999996</v>
      </c>
    </row>
    <row r="47" spans="1:9">
      <c r="A47" s="174"/>
      <c r="B47" s="175" t="s">
        <v>147</v>
      </c>
      <c r="C47" s="187">
        <v>0</v>
      </c>
      <c r="D47" s="177" t="s">
        <v>17</v>
      </c>
      <c r="E47" s="185">
        <f t="shared" si="0"/>
        <v>24.46</v>
      </c>
      <c r="F47" s="178">
        <f t="shared" si="2"/>
        <v>0</v>
      </c>
      <c r="G47" s="186">
        <v>3</v>
      </c>
      <c r="H47" s="179">
        <f t="shared" si="3"/>
        <v>0</v>
      </c>
      <c r="I47" s="180">
        <f t="shared" si="1"/>
        <v>0</v>
      </c>
    </row>
    <row r="48" spans="1:9">
      <c r="A48" s="174"/>
      <c r="B48" s="175" t="s">
        <v>148</v>
      </c>
      <c r="C48" s="187">
        <v>0</v>
      </c>
      <c r="D48" s="177" t="s">
        <v>17</v>
      </c>
      <c r="E48" s="185">
        <f t="shared" si="0"/>
        <v>23.7</v>
      </c>
      <c r="F48" s="178">
        <f t="shared" si="2"/>
        <v>0</v>
      </c>
      <c r="G48" s="186">
        <v>3</v>
      </c>
      <c r="H48" s="179">
        <f t="shared" si="3"/>
        <v>0</v>
      </c>
      <c r="I48" s="180">
        <f t="shared" si="1"/>
        <v>0</v>
      </c>
    </row>
    <row r="49" spans="1:9">
      <c r="A49" s="174"/>
      <c r="B49" s="175" t="s">
        <v>149</v>
      </c>
      <c r="C49" s="187">
        <v>0</v>
      </c>
      <c r="D49" s="177" t="s">
        <v>17</v>
      </c>
      <c r="E49" s="185">
        <f t="shared" si="0"/>
        <v>23.53</v>
      </c>
      <c r="F49" s="178">
        <f t="shared" si="2"/>
        <v>0</v>
      </c>
      <c r="G49" s="186">
        <v>3</v>
      </c>
      <c r="H49" s="179">
        <f t="shared" si="3"/>
        <v>0</v>
      </c>
      <c r="I49" s="180">
        <f t="shared" si="1"/>
        <v>0</v>
      </c>
    </row>
    <row r="50" spans="1:9">
      <c r="A50" s="174"/>
      <c r="B50" s="175" t="s">
        <v>150</v>
      </c>
      <c r="C50" s="187">
        <v>0</v>
      </c>
      <c r="D50" s="177" t="s">
        <v>17</v>
      </c>
      <c r="E50" s="185">
        <f t="shared" si="0"/>
        <v>24.06</v>
      </c>
      <c r="F50" s="178">
        <f t="shared" si="2"/>
        <v>0</v>
      </c>
      <c r="G50" s="186">
        <v>3</v>
      </c>
      <c r="H50" s="179">
        <f t="shared" si="3"/>
        <v>0</v>
      </c>
      <c r="I50" s="180">
        <f t="shared" si="1"/>
        <v>0</v>
      </c>
    </row>
    <row r="51" spans="1:9">
      <c r="A51" s="174">
        <v>4</v>
      </c>
      <c r="B51" s="169" t="s">
        <v>151</v>
      </c>
      <c r="C51" s="188">
        <f>SUM(C45:C50)*0.03</f>
        <v>0.14789999999999998</v>
      </c>
      <c r="D51" s="177" t="s">
        <v>17</v>
      </c>
      <c r="E51" s="185">
        <f t="shared" si="0"/>
        <v>35</v>
      </c>
      <c r="F51" s="178">
        <f t="shared" si="2"/>
        <v>5.176499999999999</v>
      </c>
      <c r="G51" s="175"/>
      <c r="H51" s="179">
        <f t="shared" si="3"/>
        <v>0</v>
      </c>
      <c r="I51" s="180">
        <f t="shared" si="1"/>
        <v>5.176499999999999</v>
      </c>
    </row>
    <row r="52" spans="1:9">
      <c r="A52" s="174">
        <v>5</v>
      </c>
      <c r="B52" s="169" t="s">
        <v>152</v>
      </c>
      <c r="C52" s="176" t="s">
        <v>114</v>
      </c>
      <c r="D52" s="177" t="s">
        <v>114</v>
      </c>
      <c r="E52" s="175"/>
      <c r="F52" s="175"/>
      <c r="G52" s="175" t="s">
        <v>114</v>
      </c>
      <c r="H52" s="179"/>
      <c r="I52" s="180"/>
    </row>
    <row r="53" spans="1:9">
      <c r="A53" s="174"/>
      <c r="B53" s="175"/>
      <c r="C53" s="177"/>
      <c r="D53" s="177"/>
      <c r="E53" s="154"/>
      <c r="F53" s="189"/>
      <c r="G53" s="175"/>
      <c r="H53" s="179"/>
      <c r="I53" s="180"/>
    </row>
    <row r="54" spans="1:9">
      <c r="A54" s="174"/>
      <c r="B54" s="175"/>
      <c r="C54" s="187"/>
      <c r="D54" s="177"/>
      <c r="E54" s="190"/>
      <c r="F54" s="190"/>
      <c r="G54" s="175"/>
      <c r="H54" s="179"/>
      <c r="I54" s="180"/>
    </row>
    <row r="55" spans="1:9">
      <c r="A55" s="174"/>
      <c r="B55" s="169"/>
      <c r="C55" s="187"/>
      <c r="D55" s="177"/>
      <c r="E55" s="175"/>
      <c r="F55" s="175"/>
      <c r="G55" s="175"/>
      <c r="H55" s="179"/>
      <c r="I55" s="180"/>
    </row>
    <row r="56" spans="1:9">
      <c r="A56" s="174"/>
      <c r="B56" s="175"/>
      <c r="C56" s="177"/>
      <c r="D56" s="177"/>
      <c r="E56" s="175"/>
      <c r="F56" s="175"/>
      <c r="G56" s="175"/>
      <c r="H56" s="179"/>
      <c r="I56" s="180"/>
    </row>
    <row r="57" spans="1:9">
      <c r="A57" s="174"/>
      <c r="B57" s="191" t="s">
        <v>153</v>
      </c>
      <c r="C57" s="177" t="s">
        <v>114</v>
      </c>
      <c r="D57" s="177" t="s">
        <v>114</v>
      </c>
      <c r="E57" s="175" t="s">
        <v>114</v>
      </c>
      <c r="F57" s="192">
        <f>SUM(F42:F51)</f>
        <v>483.99190000000004</v>
      </c>
      <c r="G57" s="175"/>
      <c r="H57" s="179">
        <f>SUM(H42:H51)</f>
        <v>112.15</v>
      </c>
      <c r="I57" s="180" t="s">
        <v>114</v>
      </c>
    </row>
    <row r="58" spans="1:9">
      <c r="A58" s="174"/>
      <c r="B58" s="191" t="s">
        <v>154</v>
      </c>
      <c r="C58" s="177"/>
      <c r="D58" s="177"/>
      <c r="E58" s="175"/>
      <c r="F58" s="175"/>
      <c r="G58" s="177" t="s">
        <v>155</v>
      </c>
      <c r="H58" s="193"/>
      <c r="I58" s="194">
        <f>SUM(I42:I57)</f>
        <v>596.14190000000008</v>
      </c>
    </row>
    <row r="59" spans="1:9">
      <c r="A59" s="174"/>
      <c r="B59" s="175"/>
      <c r="C59" s="177"/>
      <c r="D59" s="177"/>
      <c r="E59" s="175"/>
      <c r="F59" s="179"/>
      <c r="G59" s="179"/>
      <c r="H59" s="179"/>
      <c r="I59" s="195"/>
    </row>
    <row r="60" spans="1:9">
      <c r="A60" s="174"/>
      <c r="B60" s="175"/>
      <c r="C60" s="177"/>
      <c r="D60" s="177"/>
      <c r="E60" s="196" t="s">
        <v>114</v>
      </c>
      <c r="F60" s="197"/>
      <c r="G60" s="198"/>
      <c r="H60" s="198"/>
      <c r="I60" s="199"/>
    </row>
    <row r="61" spans="1:9">
      <c r="A61" s="174"/>
      <c r="B61" s="169"/>
      <c r="C61" s="177"/>
      <c r="D61" s="177"/>
      <c r="E61" s="175"/>
      <c r="F61" s="175"/>
      <c r="G61" s="175"/>
      <c r="H61" s="179"/>
      <c r="I61" s="200"/>
    </row>
    <row r="62" spans="1:9">
      <c r="A62" s="174"/>
      <c r="B62" s="169"/>
      <c r="C62" s="177"/>
      <c r="D62" s="177"/>
      <c r="E62" s="196" t="s">
        <v>156</v>
      </c>
      <c r="F62" s="196"/>
      <c r="G62" s="175"/>
      <c r="H62" s="179"/>
      <c r="I62" s="201">
        <f>I58</f>
        <v>596.14190000000008</v>
      </c>
    </row>
    <row r="63" spans="1:9" ht="21.6" thickBot="1">
      <c r="A63" s="202"/>
      <c r="B63" s="203"/>
      <c r="C63" s="204"/>
      <c r="D63" s="204"/>
      <c r="E63" s="205"/>
      <c r="F63" s="206"/>
      <c r="G63" s="206"/>
      <c r="H63" s="206"/>
      <c r="I63" s="207" t="s">
        <v>114</v>
      </c>
    </row>
    <row r="69" spans="1:9" ht="26.4">
      <c r="A69" s="789"/>
      <c r="B69" s="789"/>
      <c r="C69" s="789"/>
      <c r="D69" s="789"/>
      <c r="E69" s="789"/>
      <c r="F69" s="789"/>
      <c r="G69" s="789"/>
      <c r="H69" s="789"/>
      <c r="I69" s="789"/>
    </row>
    <row r="70" spans="1:9" ht="27" thickBot="1">
      <c r="B70" s="790"/>
      <c r="C70" s="790"/>
      <c r="D70" s="790"/>
      <c r="E70" s="790"/>
      <c r="F70" s="150"/>
    </row>
    <row r="71" spans="1:9">
      <c r="A71" s="156" t="s">
        <v>12</v>
      </c>
      <c r="B71" s="157" t="s">
        <v>0</v>
      </c>
      <c r="C71" s="157" t="s">
        <v>1</v>
      </c>
      <c r="D71" s="157" t="s">
        <v>2</v>
      </c>
      <c r="E71" s="793" t="s">
        <v>11</v>
      </c>
      <c r="F71" s="794"/>
      <c r="G71" s="793" t="s">
        <v>3</v>
      </c>
      <c r="H71" s="794"/>
      <c r="I71" s="158" t="s">
        <v>139</v>
      </c>
    </row>
    <row r="72" spans="1:9" ht="21.6" thickBot="1">
      <c r="A72" s="159"/>
      <c r="B72" s="160"/>
      <c r="C72" s="160"/>
      <c r="D72" s="160"/>
      <c r="E72" s="161" t="s">
        <v>140</v>
      </c>
      <c r="F72" s="161" t="s">
        <v>141</v>
      </c>
      <c r="G72" s="161" t="s">
        <v>140</v>
      </c>
      <c r="H72" s="161" t="s">
        <v>141</v>
      </c>
      <c r="I72" s="162" t="s">
        <v>113</v>
      </c>
    </row>
    <row r="73" spans="1:9">
      <c r="A73" s="163" t="s">
        <v>114</v>
      </c>
      <c r="B73" s="164" t="s">
        <v>157</v>
      </c>
      <c r="C73" s="165"/>
      <c r="D73" s="165"/>
      <c r="E73" s="165"/>
      <c r="F73" s="165"/>
      <c r="G73" s="165"/>
      <c r="H73" s="166"/>
      <c r="I73" s="167"/>
    </row>
    <row r="74" spans="1:9">
      <c r="A74" s="168" t="s">
        <v>114</v>
      </c>
      <c r="B74" s="169" t="s">
        <v>114</v>
      </c>
      <c r="C74" s="170"/>
      <c r="D74" s="171"/>
      <c r="E74" s="169"/>
      <c r="F74" s="169"/>
      <c r="G74" s="169"/>
      <c r="H74" s="172"/>
      <c r="I74" s="173"/>
    </row>
    <row r="75" spans="1:9">
      <c r="A75" s="174">
        <v>1</v>
      </c>
      <c r="B75" s="175" t="s">
        <v>158</v>
      </c>
      <c r="C75" s="176">
        <v>0.23</v>
      </c>
      <c r="D75" s="177" t="s">
        <v>104</v>
      </c>
      <c r="E75" s="178">
        <f>C6</f>
        <v>2004.68</v>
      </c>
      <c r="F75" s="178">
        <f>C75*E75</f>
        <v>461.07640000000004</v>
      </c>
      <c r="G75" s="175">
        <v>245</v>
      </c>
      <c r="H75" s="179">
        <f>C75*G75</f>
        <v>56.35</v>
      </c>
      <c r="I75" s="180">
        <f>F75+H75</f>
        <v>517.42640000000006</v>
      </c>
    </row>
    <row r="76" spans="1:9">
      <c r="A76" s="174">
        <v>2</v>
      </c>
      <c r="B76" s="175" t="s">
        <v>128</v>
      </c>
      <c r="C76" s="181">
        <v>2.81</v>
      </c>
      <c r="D76" s="177" t="s">
        <v>21</v>
      </c>
      <c r="E76" s="182">
        <v>97</v>
      </c>
      <c r="F76" s="178">
        <f t="shared" ref="F76:F92" si="4">C76*E76</f>
        <v>272.57</v>
      </c>
      <c r="G76" s="175">
        <v>86</v>
      </c>
      <c r="H76" s="179">
        <f t="shared" ref="H76:H92" si="5">C76*G76</f>
        <v>241.66</v>
      </c>
      <c r="I76" s="180">
        <f>F76+H76</f>
        <v>514.23</v>
      </c>
    </row>
    <row r="77" spans="1:9">
      <c r="A77" s="174">
        <v>3</v>
      </c>
      <c r="B77" s="175" t="s">
        <v>144</v>
      </c>
      <c r="C77" s="177" t="s">
        <v>114</v>
      </c>
      <c r="D77" s="177"/>
      <c r="E77" s="183"/>
      <c r="F77" s="178"/>
      <c r="G77" s="175"/>
      <c r="H77" s="179"/>
      <c r="I77" s="180"/>
    </row>
    <row r="78" spans="1:9">
      <c r="A78" s="174"/>
      <c r="B78" s="175" t="s">
        <v>145</v>
      </c>
      <c r="C78" s="176">
        <v>7.42</v>
      </c>
      <c r="D78" s="177" t="s">
        <v>17</v>
      </c>
      <c r="E78" s="185">
        <f t="shared" ref="E78:E83" si="6">C9</f>
        <v>25.64</v>
      </c>
      <c r="F78" s="178">
        <f t="shared" si="4"/>
        <v>190.24879999999999</v>
      </c>
      <c r="G78" s="186">
        <v>3</v>
      </c>
      <c r="H78" s="179">
        <f t="shared" si="5"/>
        <v>22.259999999999998</v>
      </c>
      <c r="I78" s="180">
        <f t="shared" ref="I78:I92" si="7">F78+H78</f>
        <v>212.50879999999998</v>
      </c>
    </row>
    <row r="79" spans="1:9">
      <c r="A79" s="174"/>
      <c r="B79" s="175" t="s">
        <v>146</v>
      </c>
      <c r="C79" s="187">
        <v>0</v>
      </c>
      <c r="D79" s="171" t="s">
        <v>17</v>
      </c>
      <c r="E79" s="185">
        <f t="shared" si="6"/>
        <v>23.97</v>
      </c>
      <c r="F79" s="178">
        <f t="shared" si="4"/>
        <v>0</v>
      </c>
      <c r="G79" s="186">
        <v>3</v>
      </c>
      <c r="H79" s="179">
        <f t="shared" si="5"/>
        <v>0</v>
      </c>
      <c r="I79" s="180">
        <f t="shared" si="7"/>
        <v>0</v>
      </c>
    </row>
    <row r="80" spans="1:9">
      <c r="A80" s="174"/>
      <c r="B80" s="175" t="s">
        <v>147</v>
      </c>
      <c r="C80" s="187">
        <v>0</v>
      </c>
      <c r="D80" s="177" t="s">
        <v>17</v>
      </c>
      <c r="E80" s="185">
        <f t="shared" si="6"/>
        <v>24.46</v>
      </c>
      <c r="F80" s="178">
        <f t="shared" si="4"/>
        <v>0</v>
      </c>
      <c r="G80" s="186">
        <v>3</v>
      </c>
      <c r="H80" s="179">
        <f t="shared" si="5"/>
        <v>0</v>
      </c>
      <c r="I80" s="180">
        <f t="shared" si="7"/>
        <v>0</v>
      </c>
    </row>
    <row r="81" spans="1:9">
      <c r="A81" s="174"/>
      <c r="B81" s="175" t="s">
        <v>148</v>
      </c>
      <c r="C81" s="187">
        <v>0</v>
      </c>
      <c r="D81" s="177" t="s">
        <v>17</v>
      </c>
      <c r="E81" s="185">
        <f t="shared" si="6"/>
        <v>23.7</v>
      </c>
      <c r="F81" s="178">
        <f t="shared" si="4"/>
        <v>0</v>
      </c>
      <c r="G81" s="186">
        <v>3</v>
      </c>
      <c r="H81" s="179">
        <f t="shared" si="5"/>
        <v>0</v>
      </c>
      <c r="I81" s="180">
        <f t="shared" si="7"/>
        <v>0</v>
      </c>
    </row>
    <row r="82" spans="1:9">
      <c r="A82" s="174"/>
      <c r="B82" s="175" t="s">
        <v>149</v>
      </c>
      <c r="C82" s="187">
        <v>0</v>
      </c>
      <c r="D82" s="177" t="s">
        <v>17</v>
      </c>
      <c r="E82" s="185">
        <f t="shared" si="6"/>
        <v>23.53</v>
      </c>
      <c r="F82" s="178">
        <f t="shared" si="4"/>
        <v>0</v>
      </c>
      <c r="G82" s="186">
        <v>3</v>
      </c>
      <c r="H82" s="179">
        <f t="shared" si="5"/>
        <v>0</v>
      </c>
      <c r="I82" s="180">
        <f t="shared" si="7"/>
        <v>0</v>
      </c>
    </row>
    <row r="83" spans="1:9">
      <c r="A83" s="174"/>
      <c r="B83" s="175" t="s">
        <v>150</v>
      </c>
      <c r="C83" s="187">
        <v>0</v>
      </c>
      <c r="D83" s="177" t="s">
        <v>17</v>
      </c>
      <c r="E83" s="185">
        <f t="shared" si="6"/>
        <v>24.06</v>
      </c>
      <c r="F83" s="178">
        <f t="shared" si="4"/>
        <v>0</v>
      </c>
      <c r="G83" s="186">
        <v>3</v>
      </c>
      <c r="H83" s="179">
        <f t="shared" si="5"/>
        <v>0</v>
      </c>
      <c r="I83" s="180">
        <f t="shared" si="7"/>
        <v>0</v>
      </c>
    </row>
    <row r="84" spans="1:9">
      <c r="A84" s="174">
        <v>4</v>
      </c>
      <c r="B84" s="169" t="s">
        <v>151</v>
      </c>
      <c r="C84" s="181">
        <f>SUM(C78:C83)*0.03</f>
        <v>0.22259999999999999</v>
      </c>
      <c r="D84" s="177" t="s">
        <v>17</v>
      </c>
      <c r="E84" s="185">
        <v>35</v>
      </c>
      <c r="F84" s="178">
        <f t="shared" si="4"/>
        <v>7.7909999999999995</v>
      </c>
      <c r="G84" s="175"/>
      <c r="H84" s="179">
        <f t="shared" si="5"/>
        <v>0</v>
      </c>
      <c r="I84" s="180">
        <f t="shared" si="7"/>
        <v>7.7909999999999995</v>
      </c>
    </row>
    <row r="85" spans="1:9">
      <c r="A85" s="174">
        <v>5</v>
      </c>
      <c r="B85" s="169" t="s">
        <v>152</v>
      </c>
      <c r="C85" s="176" t="s">
        <v>114</v>
      </c>
      <c r="D85" s="177" t="s">
        <v>114</v>
      </c>
      <c r="E85" s="183"/>
      <c r="F85" s="178"/>
      <c r="G85" s="175" t="s">
        <v>114</v>
      </c>
      <c r="H85" s="179"/>
      <c r="I85" s="180"/>
    </row>
    <row r="86" spans="1:9">
      <c r="A86" s="174"/>
      <c r="B86" s="175" t="s">
        <v>159</v>
      </c>
      <c r="C86" s="176">
        <v>2.125</v>
      </c>
      <c r="D86" s="177" t="s">
        <v>104</v>
      </c>
      <c r="E86" s="208"/>
      <c r="F86" s="178">
        <f t="shared" si="4"/>
        <v>0</v>
      </c>
      <c r="G86" s="175">
        <v>62</v>
      </c>
      <c r="H86" s="179">
        <f t="shared" si="5"/>
        <v>131.75</v>
      </c>
      <c r="I86" s="180">
        <f t="shared" si="7"/>
        <v>131.75</v>
      </c>
    </row>
    <row r="87" spans="1:9">
      <c r="A87" s="174"/>
      <c r="B87" s="175" t="s">
        <v>160</v>
      </c>
      <c r="C87" s="187">
        <v>9.0999999999999998E-2</v>
      </c>
      <c r="D87" s="177" t="s">
        <v>104</v>
      </c>
      <c r="E87" s="178">
        <f>C16</f>
        <v>299.07</v>
      </c>
      <c r="F87" s="178">
        <f t="shared" si="4"/>
        <v>27.21537</v>
      </c>
      <c r="G87" s="175">
        <v>40</v>
      </c>
      <c r="H87" s="179">
        <f t="shared" si="5"/>
        <v>3.6399999999999997</v>
      </c>
      <c r="I87" s="180">
        <f t="shared" si="7"/>
        <v>30.855370000000001</v>
      </c>
    </row>
    <row r="88" spans="1:9">
      <c r="A88" s="174"/>
      <c r="B88" s="169" t="s">
        <v>161</v>
      </c>
      <c r="C88" s="176">
        <v>7.0000000000000007E-2</v>
      </c>
      <c r="D88" s="177" t="s">
        <v>104</v>
      </c>
      <c r="E88" s="178">
        <f>C5</f>
        <v>1485.98</v>
      </c>
      <c r="F88" s="178">
        <f t="shared" si="4"/>
        <v>104.01860000000001</v>
      </c>
      <c r="G88" s="175">
        <v>305</v>
      </c>
      <c r="H88" s="179">
        <f t="shared" si="5"/>
        <v>21.35</v>
      </c>
      <c r="I88" s="180">
        <f t="shared" si="7"/>
        <v>125.36860000000001</v>
      </c>
    </row>
    <row r="89" spans="1:9">
      <c r="A89" s="174"/>
      <c r="B89" s="175" t="s">
        <v>162</v>
      </c>
      <c r="C89" s="176">
        <v>2.5</v>
      </c>
      <c r="D89" s="177" t="s">
        <v>110</v>
      </c>
      <c r="E89" s="183">
        <v>509</v>
      </c>
      <c r="F89" s="178">
        <f t="shared" si="4"/>
        <v>1272.5</v>
      </c>
      <c r="G89" s="175">
        <v>6</v>
      </c>
      <c r="H89" s="179">
        <f t="shared" si="5"/>
        <v>15</v>
      </c>
      <c r="I89" s="180">
        <f t="shared" si="7"/>
        <v>1287.5</v>
      </c>
    </row>
    <row r="90" spans="1:9">
      <c r="A90" s="174"/>
      <c r="B90" s="169" t="s">
        <v>163</v>
      </c>
      <c r="C90" s="187"/>
      <c r="D90" s="177" t="s">
        <v>22</v>
      </c>
      <c r="E90" s="183">
        <v>170</v>
      </c>
      <c r="F90" s="178">
        <f t="shared" si="4"/>
        <v>0</v>
      </c>
      <c r="G90" s="175"/>
      <c r="H90" s="179">
        <f t="shared" si="5"/>
        <v>0</v>
      </c>
      <c r="I90" s="180">
        <f t="shared" si="7"/>
        <v>0</v>
      </c>
    </row>
    <row r="91" spans="1:9">
      <c r="A91" s="174"/>
      <c r="B91" s="169" t="s">
        <v>164</v>
      </c>
      <c r="C91" s="176">
        <v>3.3</v>
      </c>
      <c r="D91" s="177" t="s">
        <v>17</v>
      </c>
      <c r="E91" s="185">
        <f>C11</f>
        <v>24.46</v>
      </c>
      <c r="F91" s="178">
        <f t="shared" si="4"/>
        <v>80.718000000000004</v>
      </c>
      <c r="G91" s="186">
        <v>8.5</v>
      </c>
      <c r="H91" s="179">
        <f t="shared" si="5"/>
        <v>28.049999999999997</v>
      </c>
      <c r="I91" s="180">
        <f t="shared" si="7"/>
        <v>108.768</v>
      </c>
    </row>
    <row r="92" spans="1:9">
      <c r="A92" s="174"/>
      <c r="B92" s="169" t="s">
        <v>165</v>
      </c>
      <c r="C92" s="209">
        <v>2</v>
      </c>
      <c r="D92" s="210" t="s">
        <v>105</v>
      </c>
      <c r="E92" s="211"/>
      <c r="F92" s="178">
        <f t="shared" si="4"/>
        <v>0</v>
      </c>
      <c r="G92" s="211">
        <v>2</v>
      </c>
      <c r="H92" s="179">
        <f t="shared" si="5"/>
        <v>4</v>
      </c>
      <c r="I92" s="180">
        <f t="shared" si="7"/>
        <v>4</v>
      </c>
    </row>
    <row r="93" spans="1:9">
      <c r="A93" s="174"/>
      <c r="B93" s="191" t="s">
        <v>153</v>
      </c>
      <c r="C93" s="177"/>
      <c r="D93" s="177"/>
      <c r="E93" s="175"/>
      <c r="F93" s="192">
        <f>SUM(F75:F92)</f>
        <v>2416.1381700000002</v>
      </c>
      <c r="G93" s="175"/>
      <c r="H93" s="179">
        <f>SUM(H75:H92)</f>
        <v>524.05999999999995</v>
      </c>
      <c r="I93" s="200"/>
    </row>
    <row r="94" spans="1:9">
      <c r="A94" s="174"/>
      <c r="B94" s="191" t="s">
        <v>154</v>
      </c>
      <c r="C94" s="177"/>
      <c r="D94" s="177"/>
      <c r="E94" s="175"/>
      <c r="F94" s="175"/>
      <c r="G94" s="177" t="s">
        <v>155</v>
      </c>
      <c r="H94" s="193"/>
      <c r="I94" s="194">
        <f>SUM(I75:I93)</f>
        <v>2940.1981700000001</v>
      </c>
    </row>
    <row r="95" spans="1:9">
      <c r="A95" s="174"/>
      <c r="B95" s="175"/>
      <c r="C95" s="177"/>
      <c r="D95" s="177"/>
      <c r="E95" s="175"/>
      <c r="F95" s="179"/>
      <c r="G95" s="179"/>
      <c r="H95" s="179"/>
      <c r="I95" s="200"/>
    </row>
    <row r="96" spans="1:9">
      <c r="A96" s="174"/>
      <c r="B96" s="175"/>
      <c r="C96" s="177"/>
      <c r="D96" s="177"/>
      <c r="E96" s="196" t="s">
        <v>156</v>
      </c>
      <c r="F96" s="197"/>
      <c r="G96" s="198"/>
      <c r="H96" s="198"/>
      <c r="I96" s="212">
        <f>I94</f>
        <v>2940.1981700000001</v>
      </c>
    </row>
    <row r="97" spans="1:9" ht="21.6" thickBot="1">
      <c r="A97" s="202"/>
      <c r="B97" s="203"/>
      <c r="C97" s="204"/>
      <c r="D97" s="204"/>
      <c r="E97" s="205"/>
      <c r="F97" s="206"/>
      <c r="G97" s="206"/>
      <c r="H97" s="206"/>
      <c r="I97" s="207" t="s">
        <v>114</v>
      </c>
    </row>
    <row r="103" spans="1:9" ht="26.4">
      <c r="A103" s="789"/>
      <c r="B103" s="789"/>
      <c r="C103" s="789"/>
      <c r="D103" s="789"/>
      <c r="E103" s="789"/>
      <c r="F103" s="789"/>
      <c r="G103" s="789"/>
      <c r="H103" s="789"/>
      <c r="I103" s="789"/>
    </row>
    <row r="104" spans="1:9" ht="26.4">
      <c r="A104" s="149"/>
    </row>
    <row r="112" spans="1:9" ht="26.4">
      <c r="A112" s="789"/>
      <c r="B112" s="789"/>
      <c r="C112" s="789"/>
      <c r="D112" s="789"/>
      <c r="E112" s="789"/>
      <c r="F112" s="789"/>
      <c r="G112" s="789"/>
      <c r="H112" s="789"/>
      <c r="I112" s="789"/>
    </row>
    <row r="113" spans="1:11" ht="21.6" thickBot="1">
      <c r="A113" s="213"/>
      <c r="B113" s="197" t="s">
        <v>114</v>
      </c>
      <c r="C113" s="213"/>
      <c r="D113" s="213"/>
      <c r="E113" s="197"/>
      <c r="F113" s="197"/>
      <c r="G113" s="197"/>
      <c r="H113" s="197"/>
      <c r="I113" s="197"/>
    </row>
    <row r="114" spans="1:11">
      <c r="A114" s="156" t="s">
        <v>12</v>
      </c>
      <c r="B114" s="157" t="s">
        <v>0</v>
      </c>
      <c r="C114" s="157" t="s">
        <v>1</v>
      </c>
      <c r="D114" s="157" t="s">
        <v>2</v>
      </c>
      <c r="E114" s="793" t="s">
        <v>11</v>
      </c>
      <c r="F114" s="794"/>
      <c r="G114" s="793" t="s">
        <v>3</v>
      </c>
      <c r="H114" s="794"/>
      <c r="I114" s="158" t="s">
        <v>139</v>
      </c>
    </row>
    <row r="115" spans="1:11" ht="21.6" thickBot="1">
      <c r="A115" s="159"/>
      <c r="B115" s="160"/>
      <c r="C115" s="160"/>
      <c r="D115" s="160"/>
      <c r="E115" s="161" t="s">
        <v>140</v>
      </c>
      <c r="F115" s="161" t="s">
        <v>141</v>
      </c>
      <c r="G115" s="161" t="s">
        <v>140</v>
      </c>
      <c r="H115" s="161" t="s">
        <v>141</v>
      </c>
      <c r="I115" s="162" t="s">
        <v>113</v>
      </c>
    </row>
    <row r="116" spans="1:11">
      <c r="A116" s="163" t="s">
        <v>114</v>
      </c>
      <c r="B116" s="164" t="s">
        <v>166</v>
      </c>
      <c r="C116" s="165"/>
      <c r="D116" s="165"/>
      <c r="E116" s="165"/>
      <c r="F116" s="165"/>
      <c r="G116" s="165"/>
      <c r="H116" s="166"/>
      <c r="I116" s="167"/>
    </row>
    <row r="117" spans="1:11">
      <c r="A117" s="168" t="s">
        <v>114</v>
      </c>
      <c r="B117" s="169" t="s">
        <v>114</v>
      </c>
      <c r="C117" s="170"/>
      <c r="D117" s="171"/>
      <c r="E117" s="169"/>
      <c r="F117" s="169"/>
      <c r="G117" s="169"/>
      <c r="H117" s="172"/>
      <c r="I117" s="173"/>
    </row>
    <row r="118" spans="1:11">
      <c r="A118" s="174">
        <v>1</v>
      </c>
      <c r="B118" s="175" t="s">
        <v>158</v>
      </c>
      <c r="C118" s="176">
        <v>19.62</v>
      </c>
      <c r="D118" s="177" t="s">
        <v>104</v>
      </c>
      <c r="E118" s="178">
        <f>C6</f>
        <v>2004.68</v>
      </c>
      <c r="F118" s="178"/>
      <c r="G118" s="186">
        <v>204</v>
      </c>
      <c r="H118" s="214"/>
      <c r="I118" s="180">
        <f>SUM(E118:G118)*C118</f>
        <v>43334.301600000006</v>
      </c>
    </row>
    <row r="119" spans="1:11">
      <c r="A119" s="174">
        <v>2</v>
      </c>
      <c r="B119" s="175" t="s">
        <v>128</v>
      </c>
      <c r="C119" s="181">
        <v>81</v>
      </c>
      <c r="D119" s="177" t="s">
        <v>21</v>
      </c>
      <c r="E119" s="182">
        <v>120</v>
      </c>
      <c r="F119" s="182"/>
      <c r="G119" s="186">
        <v>75</v>
      </c>
      <c r="H119" s="214"/>
      <c r="I119" s="180">
        <f>SUM(E119:G119)*C119</f>
        <v>15795</v>
      </c>
    </row>
    <row r="120" spans="1:11">
      <c r="A120" s="174">
        <v>3</v>
      </c>
      <c r="B120" s="175" t="s">
        <v>144</v>
      </c>
      <c r="C120" s="177" t="s">
        <v>114</v>
      </c>
      <c r="D120" s="177"/>
      <c r="E120" s="183"/>
      <c r="F120" s="183"/>
      <c r="G120" s="175"/>
      <c r="H120" s="179"/>
      <c r="I120" s="200"/>
    </row>
    <row r="121" spans="1:11">
      <c r="A121" s="174"/>
      <c r="B121" s="175" t="s">
        <v>145</v>
      </c>
      <c r="C121" s="215">
        <v>142.19999999999999</v>
      </c>
      <c r="D121" s="177" t="s">
        <v>17</v>
      </c>
      <c r="E121" s="185">
        <f t="shared" ref="E121:E127" si="8">C9</f>
        <v>25.64</v>
      </c>
      <c r="F121" s="185"/>
      <c r="G121" s="186">
        <v>3</v>
      </c>
      <c r="H121" s="214"/>
      <c r="I121" s="180">
        <f t="shared" ref="I121:I127" si="9">SUM(E121:G121)*C121</f>
        <v>4072.6079999999997</v>
      </c>
    </row>
    <row r="122" spans="1:11">
      <c r="A122" s="174"/>
      <c r="B122" s="175" t="s">
        <v>146</v>
      </c>
      <c r="C122" s="216">
        <v>909.2</v>
      </c>
      <c r="D122" s="171" t="s">
        <v>17</v>
      </c>
      <c r="E122" s="185">
        <f t="shared" si="8"/>
        <v>23.97</v>
      </c>
      <c r="F122" s="185"/>
      <c r="G122" s="186">
        <v>3</v>
      </c>
      <c r="H122" s="214"/>
      <c r="I122" s="180">
        <f t="shared" si="9"/>
        <v>24521.124</v>
      </c>
    </row>
    <row r="123" spans="1:11">
      <c r="A123" s="174"/>
      <c r="B123" s="175" t="s">
        <v>147</v>
      </c>
      <c r="C123" s="216">
        <v>69.75</v>
      </c>
      <c r="D123" s="177" t="s">
        <v>17</v>
      </c>
      <c r="E123" s="185">
        <f t="shared" si="8"/>
        <v>24.46</v>
      </c>
      <c r="F123" s="185"/>
      <c r="G123" s="186">
        <v>3</v>
      </c>
      <c r="H123" s="214"/>
      <c r="I123" s="180">
        <f t="shared" si="9"/>
        <v>1915.335</v>
      </c>
    </row>
    <row r="124" spans="1:11">
      <c r="A124" s="174"/>
      <c r="B124" s="175" t="s">
        <v>148</v>
      </c>
      <c r="C124" s="176">
        <v>252.6</v>
      </c>
      <c r="D124" s="177" t="s">
        <v>17</v>
      </c>
      <c r="E124" s="185">
        <f t="shared" si="8"/>
        <v>23.7</v>
      </c>
      <c r="F124" s="185"/>
      <c r="G124" s="186">
        <v>3</v>
      </c>
      <c r="H124" s="214"/>
      <c r="I124" s="180">
        <f t="shared" si="9"/>
        <v>6744.42</v>
      </c>
    </row>
    <row r="125" spans="1:11">
      <c r="A125" s="174"/>
      <c r="B125" s="175" t="s">
        <v>149</v>
      </c>
      <c r="C125" s="176"/>
      <c r="D125" s="177" t="s">
        <v>17</v>
      </c>
      <c r="E125" s="185">
        <f t="shared" si="8"/>
        <v>23.53</v>
      </c>
      <c r="F125" s="185"/>
      <c r="G125" s="186">
        <v>3</v>
      </c>
      <c r="H125" s="214"/>
      <c r="I125" s="180">
        <f t="shared" si="9"/>
        <v>0</v>
      </c>
    </row>
    <row r="126" spans="1:11">
      <c r="A126" s="174"/>
      <c r="B126" s="175" t="s">
        <v>150</v>
      </c>
      <c r="C126" s="176"/>
      <c r="D126" s="177" t="s">
        <v>17</v>
      </c>
      <c r="E126" s="185">
        <f t="shared" si="8"/>
        <v>24.06</v>
      </c>
      <c r="F126" s="185"/>
      <c r="G126" s="186">
        <v>3</v>
      </c>
      <c r="H126" s="214"/>
      <c r="I126" s="180">
        <f t="shared" si="9"/>
        <v>0</v>
      </c>
    </row>
    <row r="127" spans="1:11">
      <c r="A127" s="174">
        <v>4</v>
      </c>
      <c r="B127" s="169" t="s">
        <v>167</v>
      </c>
      <c r="C127" s="181">
        <f>SUM(C121:C126)*0.03</f>
        <v>41.212499999999999</v>
      </c>
      <c r="D127" s="177" t="s">
        <v>17</v>
      </c>
      <c r="E127" s="185">
        <f t="shared" si="8"/>
        <v>35</v>
      </c>
      <c r="F127" s="185"/>
      <c r="G127" s="175"/>
      <c r="H127" s="179"/>
      <c r="I127" s="180">
        <f t="shared" si="9"/>
        <v>1442.4375</v>
      </c>
    </row>
    <row r="128" spans="1:11">
      <c r="A128" s="174">
        <v>5</v>
      </c>
      <c r="B128" s="169" t="s">
        <v>152</v>
      </c>
      <c r="C128" s="176" t="s">
        <v>114</v>
      </c>
      <c r="D128" s="177" t="s">
        <v>114</v>
      </c>
      <c r="E128" s="185"/>
      <c r="F128" s="185"/>
      <c r="G128" s="175" t="s">
        <v>114</v>
      </c>
      <c r="H128" s="179"/>
      <c r="I128" s="180"/>
      <c r="K128" t="s">
        <v>114</v>
      </c>
    </row>
    <row r="129" spans="1:15">
      <c r="A129" s="174"/>
      <c r="B129" s="175" t="s">
        <v>168</v>
      </c>
      <c r="C129" s="217">
        <v>12</v>
      </c>
      <c r="D129" s="177" t="s">
        <v>21</v>
      </c>
      <c r="E129" s="185">
        <v>60</v>
      </c>
      <c r="F129" s="185"/>
      <c r="G129" s="186">
        <v>2</v>
      </c>
      <c r="H129" s="214"/>
      <c r="I129" s="180">
        <f>SUM(E129:G129)*C129</f>
        <v>744</v>
      </c>
    </row>
    <row r="130" spans="1:15">
      <c r="A130" s="174"/>
      <c r="B130" s="175" t="s">
        <v>169</v>
      </c>
      <c r="C130" s="217">
        <v>20</v>
      </c>
      <c r="D130" s="177" t="s">
        <v>170</v>
      </c>
      <c r="E130" s="178">
        <v>150</v>
      </c>
      <c r="F130" s="178"/>
      <c r="G130" s="186">
        <v>35</v>
      </c>
      <c r="H130" s="214"/>
      <c r="I130" s="180">
        <f>SUM(E130:G130)*C130</f>
        <v>3700</v>
      </c>
      <c r="L130" t="s">
        <v>114</v>
      </c>
    </row>
    <row r="131" spans="1:15">
      <c r="A131" s="174"/>
      <c r="B131" s="175"/>
      <c r="C131" s="176"/>
      <c r="D131" s="177"/>
      <c r="E131" s="178"/>
      <c r="F131" s="178"/>
      <c r="G131" s="175"/>
      <c r="H131" s="179"/>
      <c r="I131" s="180"/>
      <c r="O131" s="218"/>
    </row>
    <row r="132" spans="1:15">
      <c r="A132" s="174"/>
      <c r="B132" s="175"/>
      <c r="C132" s="217"/>
      <c r="D132" s="177"/>
      <c r="E132" s="219"/>
      <c r="F132" s="219"/>
      <c r="G132" s="175"/>
      <c r="H132" s="179"/>
      <c r="I132" s="180"/>
    </row>
    <row r="133" spans="1:15">
      <c r="A133" s="174"/>
      <c r="B133" s="175"/>
      <c r="C133" s="176"/>
      <c r="D133" s="177"/>
      <c r="E133" s="219"/>
      <c r="F133" s="219"/>
      <c r="G133" s="175"/>
      <c r="H133" s="179"/>
      <c r="I133" s="180"/>
    </row>
    <row r="134" spans="1:15">
      <c r="A134" s="174"/>
      <c r="B134" s="169"/>
      <c r="C134" s="177"/>
      <c r="D134" s="177"/>
      <c r="E134" s="175"/>
      <c r="F134" s="175"/>
      <c r="G134" s="175"/>
      <c r="H134" s="179"/>
      <c r="I134" s="200"/>
    </row>
    <row r="135" spans="1:15">
      <c r="A135" s="174"/>
      <c r="B135" s="169"/>
      <c r="C135" s="177"/>
      <c r="D135" s="177"/>
      <c r="E135" s="175"/>
      <c r="F135" s="175"/>
      <c r="G135" s="175" t="s">
        <v>114</v>
      </c>
      <c r="H135" s="179"/>
      <c r="I135" s="200"/>
    </row>
    <row r="136" spans="1:15">
      <c r="A136" s="174"/>
      <c r="B136" s="191" t="s">
        <v>154</v>
      </c>
      <c r="C136" s="177"/>
      <c r="D136" s="177"/>
      <c r="E136" s="175"/>
      <c r="F136" s="175"/>
      <c r="G136" s="177" t="s">
        <v>155</v>
      </c>
      <c r="H136" s="193"/>
      <c r="I136" s="194">
        <f>SUM(I118:I135)</f>
        <v>102269.22610000001</v>
      </c>
    </row>
    <row r="137" spans="1:15">
      <c r="A137" s="174"/>
      <c r="B137" s="175"/>
      <c r="C137" s="177" t="s">
        <v>114</v>
      </c>
      <c r="D137" s="177"/>
      <c r="E137" s="175"/>
      <c r="F137" s="179"/>
      <c r="G137" s="179"/>
      <c r="H137" s="179"/>
      <c r="I137" s="200"/>
    </row>
    <row r="138" spans="1:15" ht="21.6" thickBot="1">
      <c r="A138" s="202"/>
      <c r="B138" s="205"/>
      <c r="C138" s="204"/>
      <c r="D138" s="204"/>
      <c r="E138" s="204" t="s">
        <v>171</v>
      </c>
      <c r="F138" s="220"/>
      <c r="G138" s="203"/>
      <c r="H138" s="203"/>
      <c r="I138" s="221">
        <f>I136</f>
        <v>102269.22610000001</v>
      </c>
    </row>
    <row r="139" spans="1:15">
      <c r="A139" s="213"/>
      <c r="B139" s="197"/>
      <c r="C139" s="213"/>
      <c r="D139" s="213"/>
      <c r="E139" s="213"/>
      <c r="F139" s="213"/>
      <c r="G139" s="198"/>
      <c r="H139" s="198"/>
      <c r="I139" s="222"/>
    </row>
    <row r="140" spans="1:15">
      <c r="A140" s="213"/>
      <c r="B140" s="197"/>
      <c r="C140" s="213"/>
      <c r="D140" s="213"/>
      <c r="E140" s="213"/>
      <c r="F140" s="213"/>
      <c r="G140" s="198"/>
      <c r="H140" s="198"/>
      <c r="I140" s="222"/>
    </row>
    <row r="141" spans="1:15">
      <c r="A141" s="213"/>
      <c r="B141" s="197"/>
      <c r="C141" s="213"/>
      <c r="D141" s="213"/>
      <c r="E141" s="213"/>
      <c r="F141" s="213"/>
      <c r="G141" s="198"/>
      <c r="H141" s="198"/>
      <c r="I141" s="222"/>
    </row>
    <row r="142" spans="1:15">
      <c r="A142" s="213"/>
      <c r="B142" s="197"/>
      <c r="C142" s="213"/>
      <c r="D142" s="213"/>
      <c r="E142" s="213"/>
      <c r="F142" s="213"/>
      <c r="G142" s="198"/>
      <c r="H142" s="198"/>
      <c r="I142" s="222"/>
    </row>
    <row r="143" spans="1:15">
      <c r="A143" s="213"/>
      <c r="B143" s="197"/>
      <c r="C143" s="213"/>
      <c r="D143" s="213"/>
      <c r="E143" s="213"/>
      <c r="F143" s="213"/>
      <c r="G143" s="198"/>
      <c r="H143" s="198"/>
      <c r="I143" s="222"/>
    </row>
    <row r="144" spans="1:15">
      <c r="A144" s="213"/>
      <c r="B144" s="197"/>
      <c r="C144" s="213"/>
      <c r="D144" s="213"/>
      <c r="E144" s="213"/>
      <c r="F144" s="213"/>
      <c r="G144" s="198"/>
      <c r="H144" s="198"/>
      <c r="I144" s="222"/>
    </row>
    <row r="145" spans="1:9" s="223" customFormat="1" ht="23.4"/>
    <row r="146" spans="1:9" s="223" customFormat="1" ht="26.4">
      <c r="A146" s="789"/>
      <c r="B146" s="789"/>
      <c r="C146" s="789"/>
      <c r="D146" s="789"/>
      <c r="E146" s="789"/>
      <c r="F146" s="789"/>
      <c r="G146" s="789"/>
      <c r="H146" s="789"/>
      <c r="I146" s="789"/>
    </row>
    <row r="147" spans="1:9" s="223" customFormat="1" ht="24" thickBot="1">
      <c r="A147" s="224"/>
      <c r="B147" s="223" t="s">
        <v>114</v>
      </c>
      <c r="C147" s="224"/>
      <c r="D147" s="224"/>
    </row>
    <row r="148" spans="1:9" s="223" customFormat="1" ht="23.4">
      <c r="A148" s="225" t="s">
        <v>12</v>
      </c>
      <c r="B148" s="226" t="s">
        <v>0</v>
      </c>
      <c r="C148" s="226" t="s">
        <v>1</v>
      </c>
      <c r="D148" s="226" t="s">
        <v>2</v>
      </c>
      <c r="E148" s="793" t="s">
        <v>11</v>
      </c>
      <c r="F148" s="794"/>
      <c r="G148" s="793" t="s">
        <v>3</v>
      </c>
      <c r="H148" s="794"/>
      <c r="I148" s="227" t="s">
        <v>139</v>
      </c>
    </row>
    <row r="149" spans="1:9" s="223" customFormat="1" ht="24" thickBot="1">
      <c r="A149" s="228"/>
      <c r="B149" s="229"/>
      <c r="C149" s="229"/>
      <c r="D149" s="229"/>
      <c r="E149" s="161" t="s">
        <v>140</v>
      </c>
      <c r="F149" s="161" t="s">
        <v>141</v>
      </c>
      <c r="G149" s="161" t="s">
        <v>140</v>
      </c>
      <c r="H149" s="161" t="s">
        <v>141</v>
      </c>
      <c r="I149" s="230" t="s">
        <v>113</v>
      </c>
    </row>
    <row r="150" spans="1:9" s="223" customFormat="1" ht="23.4">
      <c r="A150" s="231" t="s">
        <v>114</v>
      </c>
      <c r="B150" s="232" t="s">
        <v>172</v>
      </c>
      <c r="C150" s="233"/>
      <c r="D150" s="233"/>
      <c r="E150" s="233"/>
      <c r="F150" s="233"/>
      <c r="G150" s="233"/>
      <c r="H150" s="234"/>
      <c r="I150" s="235"/>
    </row>
    <row r="151" spans="1:9" s="223" customFormat="1" ht="23.4">
      <c r="A151" s="236">
        <v>1</v>
      </c>
      <c r="B151" s="237" t="s">
        <v>173</v>
      </c>
      <c r="C151" s="238">
        <f>0.7*1*0.12</f>
        <v>8.3999999999999991E-2</v>
      </c>
      <c r="D151" s="239" t="s">
        <v>104</v>
      </c>
      <c r="E151" s="240">
        <f>C6</f>
        <v>2004.68</v>
      </c>
      <c r="F151" s="240">
        <f>E151*C151</f>
        <v>168.39311999999998</v>
      </c>
      <c r="G151" s="237">
        <v>245</v>
      </c>
      <c r="H151" s="241">
        <f>G151*C151</f>
        <v>20.58</v>
      </c>
      <c r="I151" s="242">
        <f>H151+F151</f>
        <v>188.97311999999999</v>
      </c>
    </row>
    <row r="152" spans="1:9" s="223" customFormat="1" ht="23.4">
      <c r="A152" s="236">
        <v>2</v>
      </c>
      <c r="B152" s="237" t="s">
        <v>128</v>
      </c>
      <c r="C152" s="243">
        <v>0.81499999999999995</v>
      </c>
      <c r="D152" s="239" t="s">
        <v>21</v>
      </c>
      <c r="E152" s="244">
        <v>97</v>
      </c>
      <c r="F152" s="240">
        <f t="shared" ref="F152:F161" si="10">E152*C152</f>
        <v>79.054999999999993</v>
      </c>
      <c r="G152" s="237">
        <v>0</v>
      </c>
      <c r="H152" s="241">
        <f t="shared" ref="H152:H161" si="11">G152*C152</f>
        <v>0</v>
      </c>
      <c r="I152" s="242">
        <f t="shared" ref="I152:I161" si="12">H152+F152</f>
        <v>79.054999999999993</v>
      </c>
    </row>
    <row r="153" spans="1:9" s="223" customFormat="1" ht="23.4">
      <c r="A153" s="236"/>
      <c r="B153" s="237" t="s">
        <v>174</v>
      </c>
      <c r="C153" s="243">
        <v>0.81499999999999995</v>
      </c>
      <c r="D153" s="239" t="s">
        <v>21</v>
      </c>
      <c r="E153" s="244">
        <v>0</v>
      </c>
      <c r="F153" s="240">
        <f t="shared" si="10"/>
        <v>0</v>
      </c>
      <c r="G153" s="237">
        <v>133</v>
      </c>
      <c r="H153" s="241">
        <f t="shared" si="11"/>
        <v>108.395</v>
      </c>
      <c r="I153" s="242">
        <f t="shared" si="12"/>
        <v>108.395</v>
      </c>
    </row>
    <row r="154" spans="1:9" s="223" customFormat="1" ht="23.4">
      <c r="A154" s="236">
        <v>3</v>
      </c>
      <c r="B154" s="237" t="s">
        <v>144</v>
      </c>
      <c r="C154" s="239"/>
      <c r="D154" s="239"/>
      <c r="E154" s="244"/>
      <c r="F154" s="240"/>
      <c r="G154" s="237"/>
      <c r="H154" s="241"/>
      <c r="I154" s="242"/>
    </row>
    <row r="155" spans="1:9" s="223" customFormat="1" ht="23.4">
      <c r="A155" s="236"/>
      <c r="B155" s="237" t="s">
        <v>145</v>
      </c>
      <c r="C155" s="245"/>
      <c r="D155" s="239" t="s">
        <v>17</v>
      </c>
      <c r="E155" s="246">
        <f t="shared" ref="E155:E161" si="13">C9</f>
        <v>25.64</v>
      </c>
      <c r="F155" s="240">
        <f t="shared" si="10"/>
        <v>0</v>
      </c>
      <c r="G155" s="247">
        <v>3</v>
      </c>
      <c r="H155" s="241">
        <f t="shared" si="11"/>
        <v>0</v>
      </c>
      <c r="I155" s="242">
        <f t="shared" si="12"/>
        <v>0</v>
      </c>
    </row>
    <row r="156" spans="1:9" s="223" customFormat="1" ht="23.4">
      <c r="A156" s="236"/>
      <c r="B156" s="237" t="s">
        <v>146</v>
      </c>
      <c r="C156" s="248">
        <v>3.68</v>
      </c>
      <c r="D156" s="249" t="s">
        <v>17</v>
      </c>
      <c r="E156" s="246">
        <f t="shared" si="13"/>
        <v>23.97</v>
      </c>
      <c r="F156" s="240">
        <f t="shared" si="10"/>
        <v>88.209599999999995</v>
      </c>
      <c r="G156" s="247">
        <v>3</v>
      </c>
      <c r="H156" s="241">
        <f t="shared" si="11"/>
        <v>11.040000000000001</v>
      </c>
      <c r="I156" s="242">
        <f t="shared" si="12"/>
        <v>99.249600000000001</v>
      </c>
    </row>
    <row r="157" spans="1:9" s="223" customFormat="1" ht="23.4">
      <c r="A157" s="236"/>
      <c r="B157" s="237" t="s">
        <v>147</v>
      </c>
      <c r="C157" s="248"/>
      <c r="D157" s="239" t="s">
        <v>17</v>
      </c>
      <c r="E157" s="246">
        <f t="shared" si="13"/>
        <v>24.46</v>
      </c>
      <c r="F157" s="240">
        <f t="shared" si="10"/>
        <v>0</v>
      </c>
      <c r="G157" s="247">
        <v>3</v>
      </c>
      <c r="H157" s="241">
        <f t="shared" si="11"/>
        <v>0</v>
      </c>
      <c r="I157" s="242">
        <f t="shared" si="12"/>
        <v>0</v>
      </c>
    </row>
    <row r="158" spans="1:9" s="223" customFormat="1" ht="23.4">
      <c r="A158" s="236"/>
      <c r="B158" s="237" t="s">
        <v>148</v>
      </c>
      <c r="C158" s="238"/>
      <c r="D158" s="239" t="s">
        <v>17</v>
      </c>
      <c r="E158" s="246">
        <f t="shared" si="13"/>
        <v>23.7</v>
      </c>
      <c r="F158" s="240">
        <f t="shared" si="10"/>
        <v>0</v>
      </c>
      <c r="G158" s="247">
        <v>3</v>
      </c>
      <c r="H158" s="241">
        <f t="shared" si="11"/>
        <v>0</v>
      </c>
      <c r="I158" s="242">
        <f t="shared" si="12"/>
        <v>0</v>
      </c>
    </row>
    <row r="159" spans="1:9" s="223" customFormat="1" ht="23.4">
      <c r="A159" s="236"/>
      <c r="B159" s="237" t="s">
        <v>149</v>
      </c>
      <c r="C159" s="238"/>
      <c r="D159" s="239" t="s">
        <v>17</v>
      </c>
      <c r="E159" s="246">
        <f t="shared" si="13"/>
        <v>23.53</v>
      </c>
      <c r="F159" s="240">
        <f t="shared" si="10"/>
        <v>0</v>
      </c>
      <c r="G159" s="247">
        <v>3</v>
      </c>
      <c r="H159" s="241">
        <f t="shared" si="11"/>
        <v>0</v>
      </c>
      <c r="I159" s="242">
        <f t="shared" si="12"/>
        <v>0</v>
      </c>
    </row>
    <row r="160" spans="1:9" s="223" customFormat="1" ht="23.4">
      <c r="A160" s="236"/>
      <c r="B160" s="237" t="s">
        <v>150</v>
      </c>
      <c r="C160" s="250"/>
      <c r="D160" s="239" t="s">
        <v>17</v>
      </c>
      <c r="E160" s="246">
        <f t="shared" si="13"/>
        <v>24.06</v>
      </c>
      <c r="F160" s="240">
        <f t="shared" si="10"/>
        <v>0</v>
      </c>
      <c r="G160" s="247">
        <v>3</v>
      </c>
      <c r="H160" s="241">
        <f t="shared" si="11"/>
        <v>0</v>
      </c>
      <c r="I160" s="242">
        <f t="shared" si="12"/>
        <v>0</v>
      </c>
    </row>
    <row r="161" spans="1:15" s="223" customFormat="1" ht="23.4">
      <c r="A161" s="236">
        <v>4</v>
      </c>
      <c r="B161" s="251" t="s">
        <v>175</v>
      </c>
      <c r="C161" s="181">
        <f>SUM(C155:C160)*0.03</f>
        <v>0.1104</v>
      </c>
      <c r="D161" s="239" t="s">
        <v>17</v>
      </c>
      <c r="E161" s="246">
        <f t="shared" si="13"/>
        <v>35</v>
      </c>
      <c r="F161" s="240">
        <f t="shared" si="10"/>
        <v>3.8639999999999999</v>
      </c>
      <c r="G161" s="237"/>
      <c r="H161" s="241">
        <f t="shared" si="11"/>
        <v>0</v>
      </c>
      <c r="I161" s="242">
        <f t="shared" si="12"/>
        <v>3.8639999999999999</v>
      </c>
    </row>
    <row r="162" spans="1:15" s="223" customFormat="1" ht="23.4">
      <c r="A162" s="236">
        <v>5</v>
      </c>
      <c r="B162" s="251" t="s">
        <v>152</v>
      </c>
      <c r="C162" s="238" t="s">
        <v>114</v>
      </c>
      <c r="D162" s="239" t="s">
        <v>114</v>
      </c>
      <c r="E162" s="246"/>
      <c r="F162" s="246"/>
      <c r="G162" s="237" t="s">
        <v>114</v>
      </c>
      <c r="H162" s="241"/>
      <c r="I162" s="242"/>
      <c r="K162" s="223" t="s">
        <v>114</v>
      </c>
    </row>
    <row r="163" spans="1:15" s="223" customFormat="1" ht="23.4">
      <c r="A163" s="236"/>
      <c r="B163" s="237"/>
      <c r="C163" s="238"/>
      <c r="D163" s="239"/>
      <c r="E163" s="252"/>
      <c r="F163" s="252"/>
      <c r="G163" s="237"/>
      <c r="H163" s="241"/>
      <c r="I163" s="242"/>
    </row>
    <row r="164" spans="1:15" s="223" customFormat="1" ht="23.4">
      <c r="A164" s="236"/>
      <c r="B164" s="237"/>
      <c r="C164" s="238"/>
      <c r="D164" s="239"/>
      <c r="E164" s="240"/>
      <c r="F164" s="240"/>
      <c r="G164" s="237"/>
      <c r="H164" s="241"/>
      <c r="I164" s="242"/>
      <c r="L164" s="223" t="s">
        <v>114</v>
      </c>
    </row>
    <row r="165" spans="1:15" s="223" customFormat="1" ht="23.4">
      <c r="A165" s="236"/>
      <c r="B165" s="237"/>
      <c r="C165" s="238"/>
      <c r="D165" s="239"/>
      <c r="E165" s="253"/>
      <c r="F165" s="253"/>
      <c r="G165" s="237"/>
      <c r="H165" s="241"/>
      <c r="I165" s="242"/>
      <c r="O165" s="254"/>
    </row>
    <row r="166" spans="1:15" s="223" customFormat="1" ht="23.4">
      <c r="A166" s="236"/>
      <c r="B166" s="251" t="s">
        <v>114</v>
      </c>
      <c r="C166" s="239"/>
      <c r="D166" s="239"/>
      <c r="E166" s="237"/>
      <c r="F166" s="237"/>
      <c r="G166" s="237"/>
      <c r="H166" s="241"/>
      <c r="I166" s="255"/>
    </row>
    <row r="167" spans="1:15" s="223" customFormat="1" ht="23.4">
      <c r="A167" s="236"/>
      <c r="B167" s="237"/>
      <c r="C167" s="238"/>
      <c r="D167" s="239"/>
      <c r="E167" s="253"/>
      <c r="F167" s="253"/>
      <c r="G167" s="237"/>
      <c r="H167" s="241"/>
      <c r="I167" s="242"/>
    </row>
    <row r="168" spans="1:15" s="223" customFormat="1" ht="23.4">
      <c r="A168" s="236"/>
      <c r="B168" s="251"/>
      <c r="C168" s="239"/>
      <c r="D168" s="239"/>
      <c r="E168" s="237"/>
      <c r="F168" s="237"/>
      <c r="G168" s="237"/>
      <c r="H168" s="241"/>
      <c r="I168" s="255"/>
    </row>
    <row r="169" spans="1:15" s="223" customFormat="1" ht="23.4">
      <c r="A169" s="236"/>
      <c r="B169" s="239" t="s">
        <v>153</v>
      </c>
      <c r="C169" s="239"/>
      <c r="D169" s="239"/>
      <c r="E169" s="237"/>
      <c r="F169" s="256">
        <f>SUM(F151:F161)</f>
        <v>339.5217199999999</v>
      </c>
      <c r="G169" s="237" t="s">
        <v>114</v>
      </c>
      <c r="H169" s="241">
        <f>SUM(H151:H161)</f>
        <v>140.01499999999999</v>
      </c>
      <c r="I169" s="255"/>
    </row>
    <row r="170" spans="1:15" s="223" customFormat="1" ht="23.4">
      <c r="A170" s="236"/>
      <c r="B170" s="239" t="s">
        <v>154</v>
      </c>
      <c r="C170" s="239"/>
      <c r="D170" s="239"/>
      <c r="E170" s="237"/>
      <c r="F170" s="237"/>
      <c r="G170" s="239" t="s">
        <v>155</v>
      </c>
      <c r="H170" s="257"/>
      <c r="I170" s="258">
        <f>SUM(I151:I169)</f>
        <v>479.53671999999995</v>
      </c>
    </row>
    <row r="171" spans="1:15" s="223" customFormat="1" ht="23.4">
      <c r="A171" s="236"/>
      <c r="B171" s="237"/>
      <c r="C171" s="239" t="s">
        <v>114</v>
      </c>
      <c r="D171" s="239"/>
      <c r="E171" s="237"/>
      <c r="F171" s="241"/>
      <c r="G171" s="241"/>
      <c r="H171" s="241"/>
      <c r="I171" s="255"/>
    </row>
    <row r="172" spans="1:15" s="223" customFormat="1" ht="24" thickBot="1">
      <c r="A172" s="259"/>
      <c r="B172" s="260"/>
      <c r="C172" s="261"/>
      <c r="D172" s="261"/>
      <c r="E172" s="261" t="s">
        <v>171</v>
      </c>
      <c r="F172" s="262"/>
      <c r="G172" s="263"/>
      <c r="H172" s="263"/>
      <c r="I172" s="264">
        <f>I170</f>
        <v>479.53671999999995</v>
      </c>
    </row>
    <row r="173" spans="1:15" s="223" customFormat="1" ht="23.4"/>
    <row r="174" spans="1:15" s="223" customFormat="1" ht="23.4"/>
    <row r="175" spans="1:15" s="223" customFormat="1" ht="23.4"/>
    <row r="176" spans="1:15" s="223" customFormat="1" ht="23.4"/>
    <row r="177" spans="1:15" s="223" customFormat="1" ht="23.4"/>
    <row r="178" spans="1:15" s="223" customFormat="1" ht="26.4">
      <c r="A178" s="789"/>
      <c r="B178" s="789"/>
      <c r="C178" s="789"/>
      <c r="D178" s="789"/>
      <c r="E178" s="789"/>
      <c r="F178" s="789"/>
      <c r="G178" s="789"/>
      <c r="H178" s="789"/>
      <c r="I178" s="789"/>
    </row>
    <row r="179" spans="1:15" s="223" customFormat="1" ht="24" thickBot="1">
      <c r="A179" s="224"/>
      <c r="B179" s="223" t="s">
        <v>114</v>
      </c>
      <c r="C179" s="224"/>
      <c r="D179" s="224"/>
    </row>
    <row r="180" spans="1:15" s="223" customFormat="1" ht="23.4">
      <c r="A180" s="225" t="s">
        <v>12</v>
      </c>
      <c r="B180" s="226" t="s">
        <v>0</v>
      </c>
      <c r="C180" s="226" t="s">
        <v>1</v>
      </c>
      <c r="D180" s="226" t="s">
        <v>2</v>
      </c>
      <c r="E180" s="793" t="s">
        <v>11</v>
      </c>
      <c r="F180" s="794"/>
      <c r="G180" s="793" t="s">
        <v>3</v>
      </c>
      <c r="H180" s="794"/>
      <c r="I180" s="227" t="s">
        <v>139</v>
      </c>
    </row>
    <row r="181" spans="1:15" s="223" customFormat="1" ht="24" thickBot="1">
      <c r="A181" s="228"/>
      <c r="B181" s="229"/>
      <c r="C181" s="229"/>
      <c r="D181" s="229"/>
      <c r="E181" s="161" t="s">
        <v>140</v>
      </c>
      <c r="F181" s="161" t="s">
        <v>141</v>
      </c>
      <c r="G181" s="161" t="s">
        <v>140</v>
      </c>
      <c r="H181" s="161" t="s">
        <v>141</v>
      </c>
      <c r="I181" s="230" t="s">
        <v>113</v>
      </c>
    </row>
    <row r="182" spans="1:15" s="223" customFormat="1" ht="23.4">
      <c r="A182" s="231" t="s">
        <v>114</v>
      </c>
      <c r="B182" s="795" t="s">
        <v>185</v>
      </c>
      <c r="C182" s="796"/>
      <c r="D182" s="265"/>
      <c r="E182" s="265"/>
      <c r="F182" s="265"/>
      <c r="G182" s="233"/>
      <c r="H182" s="234"/>
      <c r="I182" s="266"/>
    </row>
    <row r="183" spans="1:15" s="223" customFormat="1" ht="23.4">
      <c r="A183" s="267" t="s">
        <v>114</v>
      </c>
      <c r="B183" s="251" t="s">
        <v>114</v>
      </c>
      <c r="C183" s="268"/>
      <c r="D183" s="249"/>
      <c r="E183" s="251"/>
      <c r="F183" s="251"/>
      <c r="G183" s="251"/>
      <c r="H183" s="269"/>
      <c r="I183" s="270"/>
    </row>
    <row r="184" spans="1:15" s="223" customFormat="1" ht="23.4">
      <c r="A184" s="236">
        <v>1</v>
      </c>
      <c r="B184" s="237" t="s">
        <v>173</v>
      </c>
      <c r="C184" s="238">
        <f>(0.5*0.5*4)+(0.3*0.5*14)</f>
        <v>3.1</v>
      </c>
      <c r="D184" s="239" t="s">
        <v>104</v>
      </c>
      <c r="E184" s="240">
        <f>C6</f>
        <v>2004.68</v>
      </c>
      <c r="F184" s="240">
        <f>E184*C184</f>
        <v>6214.5080000000007</v>
      </c>
      <c r="G184" s="256">
        <v>245</v>
      </c>
      <c r="H184" s="271">
        <f>G184*C184</f>
        <v>759.5</v>
      </c>
      <c r="I184" s="242">
        <f>F184+H184</f>
        <v>6974.0080000000007</v>
      </c>
    </row>
    <row r="185" spans="1:15" s="223" customFormat="1" ht="23.4">
      <c r="A185" s="236">
        <v>2</v>
      </c>
      <c r="B185" s="237" t="s">
        <v>128</v>
      </c>
      <c r="C185" s="243">
        <v>21.61</v>
      </c>
      <c r="D185" s="239" t="s">
        <v>21</v>
      </c>
      <c r="E185" s="240">
        <v>97</v>
      </c>
      <c r="F185" s="240">
        <f t="shared" ref="F185:F195" si="14">E185*C185</f>
        <v>2096.17</v>
      </c>
      <c r="G185" s="256">
        <v>86</v>
      </c>
      <c r="H185" s="271">
        <f t="shared" ref="H185:H195" si="15">G185*C185</f>
        <v>1858.46</v>
      </c>
      <c r="I185" s="242">
        <f t="shared" ref="I185:I195" si="16">F185+H185</f>
        <v>3954.63</v>
      </c>
    </row>
    <row r="186" spans="1:15" s="223" customFormat="1" ht="23.4">
      <c r="A186" s="236">
        <v>3</v>
      </c>
      <c r="B186" s="237" t="s">
        <v>144</v>
      </c>
      <c r="C186" s="239"/>
      <c r="D186" s="239"/>
      <c r="E186" s="240"/>
      <c r="F186" s="240"/>
      <c r="G186" s="256"/>
      <c r="H186" s="271"/>
      <c r="I186" s="242"/>
    </row>
    <row r="187" spans="1:15" s="223" customFormat="1" ht="23.4">
      <c r="A187" s="236"/>
      <c r="B187" s="237" t="s">
        <v>145</v>
      </c>
      <c r="C187" s="245">
        <v>108</v>
      </c>
      <c r="D187" s="239" t="s">
        <v>17</v>
      </c>
      <c r="E187" s="240">
        <f t="shared" ref="E187:E192" si="17">C9</f>
        <v>25.64</v>
      </c>
      <c r="F187" s="240">
        <f t="shared" si="14"/>
        <v>2769.12</v>
      </c>
      <c r="G187" s="256">
        <v>3</v>
      </c>
      <c r="H187" s="271">
        <f t="shared" si="15"/>
        <v>324</v>
      </c>
      <c r="I187" s="242">
        <f t="shared" si="16"/>
        <v>3093.12</v>
      </c>
      <c r="N187" s="272"/>
    </row>
    <row r="188" spans="1:15" s="223" customFormat="1" ht="23.4">
      <c r="A188" s="236"/>
      <c r="B188" s="237" t="s">
        <v>146</v>
      </c>
      <c r="C188" s="248">
        <v>23</v>
      </c>
      <c r="D188" s="249" t="s">
        <v>17</v>
      </c>
      <c r="E188" s="240">
        <f t="shared" si="17"/>
        <v>23.97</v>
      </c>
      <c r="F188" s="240">
        <f t="shared" si="14"/>
        <v>551.30999999999995</v>
      </c>
      <c r="G188" s="256">
        <v>3</v>
      </c>
      <c r="H188" s="271">
        <f t="shared" si="15"/>
        <v>69</v>
      </c>
      <c r="I188" s="242">
        <f t="shared" si="16"/>
        <v>620.30999999999995</v>
      </c>
      <c r="N188" s="272"/>
    </row>
    <row r="189" spans="1:15" s="223" customFormat="1" ht="23.4">
      <c r="A189" s="236"/>
      <c r="B189" s="237" t="s">
        <v>147</v>
      </c>
      <c r="C189" s="248">
        <v>0</v>
      </c>
      <c r="D189" s="239" t="s">
        <v>17</v>
      </c>
      <c r="E189" s="240">
        <f t="shared" si="17"/>
        <v>24.46</v>
      </c>
      <c r="F189" s="240">
        <f t="shared" si="14"/>
        <v>0</v>
      </c>
      <c r="G189" s="256">
        <v>3</v>
      </c>
      <c r="H189" s="271">
        <f t="shared" si="15"/>
        <v>0</v>
      </c>
      <c r="I189" s="242">
        <f t="shared" si="16"/>
        <v>0</v>
      </c>
      <c r="N189" s="272"/>
    </row>
    <row r="190" spans="1:15" s="223" customFormat="1" ht="23.4">
      <c r="A190" s="236"/>
      <c r="B190" s="237" t="s">
        <v>148</v>
      </c>
      <c r="C190" s="238">
        <v>0</v>
      </c>
      <c r="D190" s="239" t="s">
        <v>17</v>
      </c>
      <c r="E190" s="240">
        <f t="shared" si="17"/>
        <v>23.7</v>
      </c>
      <c r="F190" s="240">
        <f t="shared" si="14"/>
        <v>0</v>
      </c>
      <c r="G190" s="256">
        <v>3</v>
      </c>
      <c r="H190" s="271">
        <f t="shared" si="15"/>
        <v>0</v>
      </c>
      <c r="I190" s="242">
        <f t="shared" si="16"/>
        <v>0</v>
      </c>
      <c r="N190" s="272"/>
      <c r="O190" s="254"/>
    </row>
    <row r="191" spans="1:15" s="223" customFormat="1" ht="23.4">
      <c r="A191" s="236"/>
      <c r="B191" s="237" t="s">
        <v>149</v>
      </c>
      <c r="C191" s="238">
        <v>0</v>
      </c>
      <c r="D191" s="239" t="s">
        <v>17</v>
      </c>
      <c r="E191" s="240">
        <f t="shared" si="17"/>
        <v>23.53</v>
      </c>
      <c r="F191" s="240">
        <f t="shared" si="14"/>
        <v>0</v>
      </c>
      <c r="G191" s="256">
        <v>3</v>
      </c>
      <c r="H191" s="271">
        <f t="shared" si="15"/>
        <v>0</v>
      </c>
      <c r="I191" s="242">
        <f t="shared" si="16"/>
        <v>0</v>
      </c>
      <c r="N191" s="272"/>
    </row>
    <row r="192" spans="1:15" s="223" customFormat="1" ht="23.4">
      <c r="A192" s="236"/>
      <c r="B192" s="237" t="s">
        <v>150</v>
      </c>
      <c r="C192" s="238">
        <v>567</v>
      </c>
      <c r="D192" s="239" t="s">
        <v>17</v>
      </c>
      <c r="E192" s="240">
        <f t="shared" si="17"/>
        <v>24.06</v>
      </c>
      <c r="F192" s="240">
        <f t="shared" si="14"/>
        <v>13642.019999999999</v>
      </c>
      <c r="G192" s="256">
        <v>3</v>
      </c>
      <c r="H192" s="271">
        <f t="shared" si="15"/>
        <v>1701</v>
      </c>
      <c r="I192" s="242">
        <f t="shared" si="16"/>
        <v>15343.019999999999</v>
      </c>
      <c r="N192" s="272"/>
    </row>
    <row r="193" spans="1:11" s="223" customFormat="1" ht="23.4">
      <c r="A193" s="236">
        <v>4</v>
      </c>
      <c r="B193" s="251" t="s">
        <v>167</v>
      </c>
      <c r="C193" s="181">
        <f>SUM(C187:C192)*0.03</f>
        <v>20.939999999999998</v>
      </c>
      <c r="D193" s="239" t="s">
        <v>17</v>
      </c>
      <c r="E193" s="240">
        <v>35</v>
      </c>
      <c r="F193" s="240">
        <f t="shared" si="14"/>
        <v>732.89999999999986</v>
      </c>
      <c r="G193" s="256"/>
      <c r="H193" s="271">
        <f t="shared" si="15"/>
        <v>0</v>
      </c>
      <c r="I193" s="242">
        <f t="shared" si="16"/>
        <v>732.89999999999986</v>
      </c>
    </row>
    <row r="194" spans="1:11" s="223" customFormat="1" ht="23.4">
      <c r="A194" s="236">
        <v>5</v>
      </c>
      <c r="B194" s="251" t="s">
        <v>152</v>
      </c>
      <c r="C194" s="238" t="s">
        <v>114</v>
      </c>
      <c r="D194" s="239" t="s">
        <v>114</v>
      </c>
      <c r="E194" s="240"/>
      <c r="F194" s="240"/>
      <c r="G194" s="256"/>
      <c r="H194" s="271"/>
      <c r="I194" s="242"/>
    </row>
    <row r="195" spans="1:11" s="223" customFormat="1" ht="23.4">
      <c r="A195" s="236"/>
      <c r="B195" s="237" t="s">
        <v>176</v>
      </c>
      <c r="C195" s="273">
        <v>1</v>
      </c>
      <c r="D195" s="239" t="s">
        <v>22</v>
      </c>
      <c r="E195" s="240">
        <v>200</v>
      </c>
      <c r="F195" s="240">
        <f t="shared" si="14"/>
        <v>200</v>
      </c>
      <c r="G195" s="256"/>
      <c r="H195" s="271">
        <f t="shared" si="15"/>
        <v>0</v>
      </c>
      <c r="I195" s="242">
        <f t="shared" si="16"/>
        <v>200</v>
      </c>
    </row>
    <row r="196" spans="1:11" s="223" customFormat="1" ht="23.4">
      <c r="A196" s="236"/>
      <c r="B196" s="237"/>
      <c r="C196" s="238"/>
      <c r="D196" s="239"/>
      <c r="E196" s="240"/>
      <c r="F196" s="240"/>
      <c r="G196" s="237"/>
      <c r="H196" s="241"/>
      <c r="I196" s="242"/>
    </row>
    <row r="197" spans="1:11" s="223" customFormat="1" ht="23.4">
      <c r="A197" s="236"/>
      <c r="B197" s="237"/>
      <c r="C197" s="238"/>
      <c r="D197" s="239"/>
      <c r="E197" s="253"/>
      <c r="F197" s="253"/>
      <c r="G197" s="237"/>
      <c r="H197" s="241"/>
      <c r="I197" s="242"/>
    </row>
    <row r="198" spans="1:11" s="223" customFormat="1" ht="23.4">
      <c r="A198" s="236"/>
      <c r="B198" s="251" t="s">
        <v>114</v>
      </c>
      <c r="C198" s="239"/>
      <c r="D198" s="239"/>
      <c r="E198" s="237"/>
      <c r="F198" s="237"/>
      <c r="G198" s="237"/>
      <c r="H198" s="241"/>
      <c r="I198" s="255"/>
    </row>
    <row r="199" spans="1:11" s="223" customFormat="1" ht="23.4">
      <c r="A199" s="236"/>
      <c r="B199" s="239" t="s">
        <v>153</v>
      </c>
      <c r="C199" s="238"/>
      <c r="D199" s="239"/>
      <c r="E199" s="253"/>
      <c r="F199" s="253">
        <f>SUM(F184:F195)</f>
        <v>26206.027999999998</v>
      </c>
      <c r="G199" s="253"/>
      <c r="H199" s="274">
        <f>SUM(H183:H195)</f>
        <v>4711.96</v>
      </c>
      <c r="I199" s="242"/>
    </row>
    <row r="200" spans="1:11" s="223" customFormat="1" ht="23.4">
      <c r="A200" s="236"/>
      <c r="B200" s="239" t="s">
        <v>154</v>
      </c>
      <c r="C200" s="239"/>
      <c r="D200" s="239"/>
      <c r="E200" s="237"/>
      <c r="F200" s="237"/>
      <c r="G200" s="239" t="s">
        <v>155</v>
      </c>
      <c r="H200" s="257"/>
      <c r="I200" s="258">
        <f>SUM(I184:I199)</f>
        <v>30917.988000000001</v>
      </c>
      <c r="K200" s="275"/>
    </row>
    <row r="201" spans="1:11" s="223" customFormat="1" ht="23.4">
      <c r="A201" s="236"/>
      <c r="B201" s="251"/>
      <c r="C201" s="239"/>
      <c r="D201" s="239"/>
      <c r="E201" s="237"/>
      <c r="F201" s="237"/>
      <c r="G201" s="237" t="s">
        <v>114</v>
      </c>
      <c r="H201" s="241"/>
      <c r="I201" s="255"/>
    </row>
    <row r="202" spans="1:11" s="223" customFormat="1" ht="23.4">
      <c r="A202" s="236"/>
      <c r="B202" s="276"/>
      <c r="C202" s="276"/>
      <c r="D202" s="276"/>
      <c r="E202" s="276"/>
      <c r="F202" s="276"/>
      <c r="G202" s="276"/>
      <c r="H202" s="276"/>
      <c r="I202" s="255"/>
    </row>
    <row r="203" spans="1:11" s="223" customFormat="1" ht="23.4">
      <c r="A203" s="236"/>
      <c r="B203" s="237"/>
      <c r="C203" s="239" t="s">
        <v>114</v>
      </c>
      <c r="D203" s="239"/>
      <c r="E203" s="237"/>
      <c r="F203" s="241"/>
      <c r="G203" s="241"/>
      <c r="H203" s="241"/>
      <c r="I203" s="255"/>
    </row>
    <row r="204" spans="1:11" s="223" customFormat="1" ht="24" thickBot="1">
      <c r="A204" s="259"/>
      <c r="B204" s="260"/>
      <c r="C204" s="261"/>
      <c r="D204" s="261"/>
      <c r="E204" s="261" t="s">
        <v>171</v>
      </c>
      <c r="F204" s="262"/>
      <c r="G204" s="263"/>
      <c r="H204" s="263"/>
      <c r="I204" s="264">
        <f>I200</f>
        <v>30917.988000000001</v>
      </c>
    </row>
    <row r="205" spans="1:11" s="223" customFormat="1" ht="23.4">
      <c r="A205" s="224"/>
      <c r="C205" s="224"/>
      <c r="D205" s="224"/>
      <c r="E205" s="224"/>
      <c r="F205" s="224"/>
      <c r="I205" s="277"/>
    </row>
    <row r="206" spans="1:11" s="223" customFormat="1" ht="23.4"/>
    <row r="207" spans="1:11" s="223" customFormat="1" ht="23.4"/>
    <row r="208" spans="1:11" s="223" customFormat="1" ht="23.4"/>
    <row r="209" spans="1:15" s="223" customFormat="1" ht="23.4"/>
    <row r="210" spans="1:15" s="223" customFormat="1" ht="26.4">
      <c r="A210" s="789"/>
      <c r="B210" s="789"/>
      <c r="C210" s="789"/>
      <c r="D210" s="789"/>
      <c r="E210" s="789"/>
      <c r="F210" s="789"/>
      <c r="G210" s="789"/>
      <c r="H210" s="789"/>
      <c r="I210" s="789"/>
    </row>
    <row r="211" spans="1:15" s="223" customFormat="1" ht="24" thickBot="1">
      <c r="A211" s="224"/>
      <c r="B211" s="223" t="s">
        <v>114</v>
      </c>
      <c r="C211" s="224"/>
      <c r="D211" s="224"/>
    </row>
    <row r="212" spans="1:15" s="223" customFormat="1" ht="23.4">
      <c r="A212" s="225" t="s">
        <v>12</v>
      </c>
      <c r="B212" s="226" t="s">
        <v>0</v>
      </c>
      <c r="C212" s="226" t="s">
        <v>1</v>
      </c>
      <c r="D212" s="226" t="s">
        <v>2</v>
      </c>
      <c r="E212" s="793" t="s">
        <v>11</v>
      </c>
      <c r="F212" s="794"/>
      <c r="G212" s="793" t="s">
        <v>3</v>
      </c>
      <c r="H212" s="794"/>
      <c r="I212" s="227" t="s">
        <v>139</v>
      </c>
    </row>
    <row r="213" spans="1:15" s="223" customFormat="1" ht="24" thickBot="1">
      <c r="A213" s="228"/>
      <c r="B213" s="229"/>
      <c r="C213" s="229"/>
      <c r="D213" s="229"/>
      <c r="E213" s="161" t="s">
        <v>140</v>
      </c>
      <c r="F213" s="161" t="s">
        <v>141</v>
      </c>
      <c r="G213" s="161" t="s">
        <v>140</v>
      </c>
      <c r="H213" s="161" t="s">
        <v>141</v>
      </c>
      <c r="I213" s="230" t="s">
        <v>113</v>
      </c>
    </row>
    <row r="214" spans="1:15" s="223" customFormat="1" ht="23.4">
      <c r="A214" s="231" t="s">
        <v>114</v>
      </c>
      <c r="B214" s="795" t="s">
        <v>177</v>
      </c>
      <c r="C214" s="796"/>
      <c r="D214" s="265"/>
      <c r="E214" s="265"/>
      <c r="F214" s="265"/>
      <c r="G214" s="233"/>
      <c r="H214" s="234"/>
      <c r="I214" s="235"/>
    </row>
    <row r="215" spans="1:15" s="223" customFormat="1" ht="23.4">
      <c r="A215" s="267" t="s">
        <v>114</v>
      </c>
      <c r="B215" s="251" t="s">
        <v>114</v>
      </c>
      <c r="C215" s="268"/>
      <c r="D215" s="249"/>
      <c r="E215" s="251"/>
      <c r="F215" s="251"/>
      <c r="G215" s="251"/>
      <c r="H215" s="269"/>
      <c r="I215" s="270"/>
    </row>
    <row r="216" spans="1:15" ht="23.4">
      <c r="A216" s="236">
        <v>1</v>
      </c>
      <c r="B216" s="237" t="s">
        <v>173</v>
      </c>
      <c r="C216" s="238">
        <v>1.92</v>
      </c>
      <c r="D216" s="239" t="s">
        <v>104</v>
      </c>
      <c r="E216" s="240">
        <f>C6</f>
        <v>2004.68</v>
      </c>
      <c r="F216" s="240">
        <f>C216*E216</f>
        <v>3848.9856</v>
      </c>
      <c r="G216" s="271">
        <v>245</v>
      </c>
      <c r="H216" s="278">
        <f>G216*C216</f>
        <v>470.4</v>
      </c>
      <c r="I216" s="242">
        <f>F216+H216</f>
        <v>4319.3855999999996</v>
      </c>
    </row>
    <row r="217" spans="1:15" s="223" customFormat="1" ht="23.4">
      <c r="A217" s="236">
        <v>2</v>
      </c>
      <c r="B217" s="237" t="s">
        <v>128</v>
      </c>
      <c r="C217" s="243">
        <v>17.600000000000001</v>
      </c>
      <c r="D217" s="239" t="s">
        <v>21</v>
      </c>
      <c r="E217" s="240">
        <v>97</v>
      </c>
      <c r="F217" s="240">
        <f t="shared" ref="F217:F227" si="18">C217*E217</f>
        <v>1707.2</v>
      </c>
      <c r="G217" s="256">
        <v>86</v>
      </c>
      <c r="H217" s="278">
        <f t="shared" ref="H217:H227" si="19">G217*C217</f>
        <v>1513.6000000000001</v>
      </c>
      <c r="I217" s="242">
        <f t="shared" ref="I217:I227" si="20">F217+H217</f>
        <v>3220.8</v>
      </c>
    </row>
    <row r="218" spans="1:15" s="223" customFormat="1" ht="23.4">
      <c r="A218" s="236">
        <v>3</v>
      </c>
      <c r="B218" s="237" t="s">
        <v>144</v>
      </c>
      <c r="C218" s="239"/>
      <c r="D218" s="239"/>
      <c r="E218" s="240"/>
      <c r="F218" s="240"/>
      <c r="G218" s="256"/>
      <c r="H218" s="278"/>
      <c r="I218" s="242"/>
    </row>
    <row r="219" spans="1:15" s="223" customFormat="1" ht="23.4">
      <c r="A219" s="236"/>
      <c r="B219" s="237" t="s">
        <v>145</v>
      </c>
      <c r="C219" s="245">
        <v>92</v>
      </c>
      <c r="D219" s="239" t="s">
        <v>17</v>
      </c>
      <c r="E219" s="240">
        <f t="shared" ref="E219:E224" si="21">C9</f>
        <v>25.64</v>
      </c>
      <c r="F219" s="240">
        <f t="shared" si="18"/>
        <v>2358.88</v>
      </c>
      <c r="G219" s="256">
        <v>3</v>
      </c>
      <c r="H219" s="278">
        <f t="shared" si="19"/>
        <v>276</v>
      </c>
      <c r="I219" s="242">
        <f t="shared" si="20"/>
        <v>2634.88</v>
      </c>
      <c r="N219" s="272"/>
    </row>
    <row r="220" spans="1:15" s="223" customFormat="1" ht="23.4">
      <c r="A220" s="236"/>
      <c r="B220" s="237" t="s">
        <v>146</v>
      </c>
      <c r="C220" s="248">
        <v>0</v>
      </c>
      <c r="D220" s="249" t="s">
        <v>17</v>
      </c>
      <c r="E220" s="240">
        <f t="shared" si="21"/>
        <v>23.97</v>
      </c>
      <c r="F220" s="240">
        <f t="shared" si="18"/>
        <v>0</v>
      </c>
      <c r="G220" s="256">
        <v>3</v>
      </c>
      <c r="H220" s="278">
        <f t="shared" si="19"/>
        <v>0</v>
      </c>
      <c r="I220" s="242">
        <f t="shared" si="20"/>
        <v>0</v>
      </c>
      <c r="N220" s="272"/>
    </row>
    <row r="221" spans="1:15" s="223" customFormat="1" ht="23.4">
      <c r="A221" s="236"/>
      <c r="B221" s="237" t="s">
        <v>147</v>
      </c>
      <c r="C221" s="248">
        <v>0</v>
      </c>
      <c r="D221" s="239" t="s">
        <v>17</v>
      </c>
      <c r="E221" s="240">
        <f t="shared" si="21"/>
        <v>24.46</v>
      </c>
      <c r="F221" s="240">
        <f t="shared" si="18"/>
        <v>0</v>
      </c>
      <c r="G221" s="256">
        <v>3</v>
      </c>
      <c r="H221" s="278">
        <f t="shared" si="19"/>
        <v>0</v>
      </c>
      <c r="I221" s="242">
        <f t="shared" si="20"/>
        <v>0</v>
      </c>
      <c r="N221" s="272"/>
    </row>
    <row r="222" spans="1:15" s="223" customFormat="1" ht="23.4">
      <c r="A222" s="236"/>
      <c r="B222" s="237" t="s">
        <v>148</v>
      </c>
      <c r="C222" s="238">
        <v>0</v>
      </c>
      <c r="D222" s="239" t="s">
        <v>17</v>
      </c>
      <c r="E222" s="240">
        <f t="shared" si="21"/>
        <v>23.7</v>
      </c>
      <c r="F222" s="240">
        <f t="shared" si="18"/>
        <v>0</v>
      </c>
      <c r="G222" s="256">
        <v>3</v>
      </c>
      <c r="H222" s="278">
        <f t="shared" si="19"/>
        <v>0</v>
      </c>
      <c r="I222" s="242">
        <f t="shared" si="20"/>
        <v>0</v>
      </c>
      <c r="N222" s="272"/>
    </row>
    <row r="223" spans="1:15" s="223" customFormat="1" ht="23.4">
      <c r="A223" s="236"/>
      <c r="B223" s="237" t="s">
        <v>149</v>
      </c>
      <c r="C223" s="238">
        <v>0</v>
      </c>
      <c r="D223" s="239" t="s">
        <v>17</v>
      </c>
      <c r="E223" s="240">
        <f t="shared" si="21"/>
        <v>23.53</v>
      </c>
      <c r="F223" s="240">
        <f t="shared" si="18"/>
        <v>0</v>
      </c>
      <c r="G223" s="256">
        <v>3</v>
      </c>
      <c r="H223" s="278">
        <f t="shared" si="19"/>
        <v>0</v>
      </c>
      <c r="I223" s="242">
        <f t="shared" si="20"/>
        <v>0</v>
      </c>
      <c r="N223" s="272"/>
    </row>
    <row r="224" spans="1:15" s="223" customFormat="1" ht="23.4">
      <c r="A224" s="236"/>
      <c r="B224" s="237" t="s">
        <v>150</v>
      </c>
      <c r="C224" s="250">
        <v>425</v>
      </c>
      <c r="D224" s="239" t="s">
        <v>17</v>
      </c>
      <c r="E224" s="240">
        <f t="shared" si="21"/>
        <v>24.06</v>
      </c>
      <c r="F224" s="240">
        <f t="shared" si="18"/>
        <v>10225.5</v>
      </c>
      <c r="G224" s="256">
        <v>3</v>
      </c>
      <c r="H224" s="278">
        <f t="shared" si="19"/>
        <v>1275</v>
      </c>
      <c r="I224" s="242">
        <f t="shared" si="20"/>
        <v>11500.5</v>
      </c>
      <c r="N224" s="272"/>
      <c r="O224" s="254"/>
    </row>
    <row r="225" spans="1:27" s="223" customFormat="1" ht="23.4">
      <c r="A225" s="236">
        <v>4</v>
      </c>
      <c r="B225" s="251" t="s">
        <v>167</v>
      </c>
      <c r="C225" s="181">
        <f>SUM(C219:C224)*0.03</f>
        <v>15.51</v>
      </c>
      <c r="D225" s="239" t="s">
        <v>17</v>
      </c>
      <c r="E225" s="240">
        <v>35</v>
      </c>
      <c r="F225" s="240">
        <f t="shared" si="18"/>
        <v>542.85</v>
      </c>
      <c r="G225" s="256"/>
      <c r="H225" s="278">
        <f t="shared" si="19"/>
        <v>0</v>
      </c>
      <c r="I225" s="242">
        <f t="shared" si="20"/>
        <v>542.85</v>
      </c>
    </row>
    <row r="226" spans="1:27" s="223" customFormat="1" ht="23.4">
      <c r="A226" s="236">
        <v>5</v>
      </c>
      <c r="B226" s="251" t="s">
        <v>152</v>
      </c>
      <c r="C226" s="238" t="s">
        <v>114</v>
      </c>
      <c r="D226" s="239" t="s">
        <v>114</v>
      </c>
      <c r="E226" s="240"/>
      <c r="F226" s="240"/>
      <c r="G226" s="256"/>
      <c r="H226" s="278"/>
      <c r="I226" s="242"/>
    </row>
    <row r="227" spans="1:27" s="223" customFormat="1" ht="23.4">
      <c r="A227" s="236"/>
      <c r="B227" s="237" t="s">
        <v>176</v>
      </c>
      <c r="C227" s="273">
        <v>1</v>
      </c>
      <c r="D227" s="239" t="s">
        <v>22</v>
      </c>
      <c r="E227" s="240">
        <v>200</v>
      </c>
      <c r="F227" s="240">
        <f t="shared" si="18"/>
        <v>200</v>
      </c>
      <c r="G227" s="256"/>
      <c r="H227" s="278">
        <f t="shared" si="19"/>
        <v>0</v>
      </c>
      <c r="I227" s="242">
        <f t="shared" si="20"/>
        <v>200</v>
      </c>
    </row>
    <row r="228" spans="1:27" s="223" customFormat="1" ht="23.4">
      <c r="A228" s="236"/>
      <c r="B228" s="237"/>
      <c r="C228" s="238"/>
      <c r="D228" s="239"/>
      <c r="E228" s="240"/>
      <c r="F228" s="240"/>
      <c r="G228" s="256"/>
      <c r="H228" s="271"/>
      <c r="I228" s="242"/>
      <c r="M228" s="279">
        <v>1</v>
      </c>
      <c r="N228" s="279">
        <v>2</v>
      </c>
      <c r="O228" s="279">
        <v>3</v>
      </c>
      <c r="P228" s="279">
        <v>4</v>
      </c>
      <c r="Q228" s="279">
        <v>5</v>
      </c>
      <c r="R228" s="279">
        <v>6</v>
      </c>
      <c r="S228" s="279">
        <v>7</v>
      </c>
      <c r="T228" s="279">
        <v>8</v>
      </c>
      <c r="U228" s="279">
        <v>9</v>
      </c>
      <c r="V228" s="279">
        <v>10</v>
      </c>
      <c r="W228" s="279">
        <v>11</v>
      </c>
      <c r="X228" s="279">
        <v>12</v>
      </c>
      <c r="Y228" s="279">
        <v>13</v>
      </c>
      <c r="Z228" s="279">
        <v>14</v>
      </c>
      <c r="AA228" s="279">
        <v>15</v>
      </c>
    </row>
    <row r="229" spans="1:27" s="223" customFormat="1" ht="23.4">
      <c r="A229" s="236"/>
      <c r="B229" s="237"/>
      <c r="C229" s="238"/>
      <c r="D229" s="239"/>
      <c r="E229" s="256"/>
      <c r="F229" s="256"/>
      <c r="G229" s="256"/>
      <c r="H229" s="271"/>
      <c r="I229" s="242"/>
    </row>
    <row r="230" spans="1:27" s="223" customFormat="1" ht="23.4">
      <c r="A230" s="236"/>
      <c r="B230" s="251" t="s">
        <v>114</v>
      </c>
      <c r="C230" s="239"/>
      <c r="D230" s="239"/>
      <c r="E230" s="256"/>
      <c r="F230" s="256"/>
      <c r="G230" s="256"/>
      <c r="H230" s="271"/>
      <c r="I230" s="242"/>
    </row>
    <row r="231" spans="1:27" s="223" customFormat="1" ht="23.4">
      <c r="A231" s="236"/>
      <c r="B231" s="237"/>
      <c r="C231" s="238"/>
      <c r="D231" s="239"/>
      <c r="E231" s="256"/>
      <c r="F231" s="256"/>
      <c r="G231" s="256"/>
      <c r="H231" s="271"/>
      <c r="I231" s="242"/>
    </row>
    <row r="232" spans="1:27" s="223" customFormat="1" ht="23.4">
      <c r="A232" s="236"/>
      <c r="B232" s="251"/>
      <c r="C232" s="239"/>
      <c r="D232" s="239"/>
      <c r="E232" s="256"/>
      <c r="F232" s="256"/>
      <c r="G232" s="256"/>
      <c r="H232" s="271"/>
      <c r="I232" s="242"/>
    </row>
    <row r="233" spans="1:27" s="223" customFormat="1" ht="23.4">
      <c r="A233" s="236"/>
      <c r="B233" s="239" t="s">
        <v>153</v>
      </c>
      <c r="C233" s="239"/>
      <c r="D233" s="239"/>
      <c r="E233" s="256"/>
      <c r="F233" s="256">
        <f>SUM(F216:F227)</f>
        <v>18883.4156</v>
      </c>
      <c r="G233" s="256" t="s">
        <v>114</v>
      </c>
      <c r="H233" s="271">
        <f>SUM(H216:H227)</f>
        <v>3535</v>
      </c>
      <c r="I233" s="242"/>
    </row>
    <row r="234" spans="1:27" s="223" customFormat="1" ht="23.4">
      <c r="A234" s="236"/>
      <c r="B234" s="239" t="s">
        <v>154</v>
      </c>
      <c r="C234" s="239"/>
      <c r="D234" s="239"/>
      <c r="E234" s="256"/>
      <c r="F234" s="256"/>
      <c r="G234" s="280" t="s">
        <v>155</v>
      </c>
      <c r="H234" s="281"/>
      <c r="I234" s="258">
        <f>SUM(I216:I233)</f>
        <v>22418.4156</v>
      </c>
    </row>
    <row r="235" spans="1:27" s="223" customFormat="1" ht="23.4">
      <c r="A235" s="236"/>
      <c r="B235" s="237"/>
      <c r="C235" s="239" t="s">
        <v>114</v>
      </c>
      <c r="D235" s="239"/>
      <c r="E235" s="256"/>
      <c r="F235" s="271"/>
      <c r="G235" s="271"/>
      <c r="H235" s="271"/>
      <c r="I235" s="242"/>
    </row>
    <row r="236" spans="1:27" s="223" customFormat="1" ht="24" thickBot="1">
      <c r="A236" s="259"/>
      <c r="B236" s="260"/>
      <c r="C236" s="261"/>
      <c r="D236" s="261"/>
      <c r="E236" s="282" t="s">
        <v>171</v>
      </c>
      <c r="F236" s="283"/>
      <c r="G236" s="284"/>
      <c r="H236" s="284"/>
      <c r="I236" s="285">
        <f>I234</f>
        <v>22418.4156</v>
      </c>
    </row>
    <row r="237" spans="1:27" s="223" customFormat="1" ht="23.4"/>
    <row r="238" spans="1:27" s="223" customFormat="1" ht="23.4"/>
    <row r="239" spans="1:27" s="223" customFormat="1" ht="23.4"/>
    <row r="240" spans="1:27" s="223" customFormat="1" ht="23.4"/>
    <row r="241" spans="1:9" s="223" customFormat="1" ht="23.4">
      <c r="A241"/>
      <c r="B241"/>
      <c r="C241"/>
      <c r="D241"/>
      <c r="E241"/>
      <c r="F241"/>
      <c r="G241"/>
      <c r="H241"/>
      <c r="I241"/>
    </row>
    <row r="242" spans="1:9" s="223" customFormat="1" ht="26.4">
      <c r="A242" s="789"/>
      <c r="B242" s="789"/>
      <c r="C242" s="789"/>
      <c r="D242" s="789"/>
      <c r="E242" s="789"/>
      <c r="F242" s="789"/>
      <c r="G242" s="789"/>
      <c r="H242" s="789"/>
      <c r="I242" s="789"/>
    </row>
    <row r="243" spans="1:9" s="223" customFormat="1" ht="24" thickBot="1">
      <c r="A243" s="224"/>
      <c r="B243" s="223" t="s">
        <v>114</v>
      </c>
      <c r="C243" s="224"/>
      <c r="D243" s="224"/>
    </row>
    <row r="244" spans="1:9" s="223" customFormat="1" ht="23.4">
      <c r="A244" s="225" t="s">
        <v>12</v>
      </c>
      <c r="B244" s="226" t="s">
        <v>0</v>
      </c>
      <c r="C244" s="226" t="s">
        <v>1</v>
      </c>
      <c r="D244" s="226" t="s">
        <v>2</v>
      </c>
      <c r="E244" s="793" t="s">
        <v>11</v>
      </c>
      <c r="F244" s="794"/>
      <c r="G244" s="793" t="s">
        <v>3</v>
      </c>
      <c r="H244" s="794"/>
      <c r="I244" s="227" t="s">
        <v>139</v>
      </c>
    </row>
    <row r="245" spans="1:9" s="223" customFormat="1" ht="24" thickBot="1">
      <c r="A245" s="228"/>
      <c r="B245" s="229"/>
      <c r="C245" s="229"/>
      <c r="D245" s="229"/>
      <c r="E245" s="161" t="s">
        <v>140</v>
      </c>
      <c r="F245" s="161" t="s">
        <v>141</v>
      </c>
      <c r="G245" s="161" t="s">
        <v>140</v>
      </c>
      <c r="H245" s="161" t="s">
        <v>141</v>
      </c>
      <c r="I245" s="230" t="s">
        <v>113</v>
      </c>
    </row>
    <row r="246" spans="1:9" s="223" customFormat="1" ht="23.4">
      <c r="A246" s="231" t="s">
        <v>114</v>
      </c>
      <c r="B246" s="795" t="s">
        <v>178</v>
      </c>
      <c r="C246" s="796"/>
      <c r="D246" s="265"/>
      <c r="E246" s="265"/>
      <c r="F246" s="265"/>
      <c r="G246" s="233"/>
      <c r="H246" s="234"/>
      <c r="I246" s="266"/>
    </row>
    <row r="247" spans="1:9" ht="23.4">
      <c r="A247" s="236">
        <v>1</v>
      </c>
      <c r="B247" s="237" t="s">
        <v>173</v>
      </c>
      <c r="C247" s="248">
        <f>0.25*0.5</f>
        <v>0.125</v>
      </c>
      <c r="D247" s="280" t="s">
        <v>104</v>
      </c>
      <c r="E247" s="240">
        <f>C6</f>
        <v>2004.68</v>
      </c>
      <c r="F247" s="240">
        <f>C247*E247</f>
        <v>250.58500000000001</v>
      </c>
      <c r="G247" s="256">
        <v>276</v>
      </c>
      <c r="H247" s="271">
        <f>G247*C247</f>
        <v>34.5</v>
      </c>
      <c r="I247" s="242">
        <f>F247+H247</f>
        <v>285.08500000000004</v>
      </c>
    </row>
    <row r="248" spans="1:9" s="223" customFormat="1" ht="23.4">
      <c r="A248" s="236">
        <v>2</v>
      </c>
      <c r="B248" s="237" t="s">
        <v>128</v>
      </c>
      <c r="C248" s="286">
        <f>0.5+0.25+0.5</f>
        <v>1.25</v>
      </c>
      <c r="D248" s="280" t="s">
        <v>21</v>
      </c>
      <c r="E248" s="240">
        <v>280</v>
      </c>
      <c r="F248" s="240">
        <f t="shared" ref="F248:F255" si="22">C248*E248</f>
        <v>350</v>
      </c>
      <c r="G248" s="256">
        <v>133</v>
      </c>
      <c r="H248" s="271">
        <f t="shared" ref="H248:H255" si="23">G248*C248</f>
        <v>166.25</v>
      </c>
      <c r="I248" s="242">
        <f t="shared" ref="I248:I255" si="24">F248+H248</f>
        <v>516.25</v>
      </c>
    </row>
    <row r="249" spans="1:9" s="223" customFormat="1" ht="23.4">
      <c r="A249" s="236">
        <v>3</v>
      </c>
      <c r="B249" s="237" t="s">
        <v>144</v>
      </c>
      <c r="C249" s="280"/>
      <c r="D249" s="280"/>
      <c r="E249" s="240"/>
      <c r="F249" s="240"/>
      <c r="G249" s="256"/>
      <c r="H249" s="271"/>
      <c r="I249" s="242"/>
    </row>
    <row r="250" spans="1:9" s="223" customFormat="1" ht="23.4">
      <c r="A250" s="236"/>
      <c r="B250" s="237" t="s">
        <v>145</v>
      </c>
      <c r="C250" s="248">
        <f>6*1.5</f>
        <v>9</v>
      </c>
      <c r="D250" s="280" t="s">
        <v>17</v>
      </c>
      <c r="E250" s="240">
        <f>C9</f>
        <v>25.64</v>
      </c>
      <c r="F250" s="240">
        <f t="shared" si="22"/>
        <v>230.76</v>
      </c>
      <c r="G250" s="256">
        <v>3</v>
      </c>
      <c r="H250" s="271">
        <f t="shared" si="23"/>
        <v>27</v>
      </c>
      <c r="I250" s="242">
        <f t="shared" si="24"/>
        <v>257.76</v>
      </c>
    </row>
    <row r="251" spans="1:9" s="223" customFormat="1" ht="23.4">
      <c r="A251" s="236"/>
      <c r="B251" s="237" t="s">
        <v>146</v>
      </c>
      <c r="C251" s="248">
        <v>0</v>
      </c>
      <c r="D251" s="287" t="s">
        <v>17</v>
      </c>
      <c r="E251" s="240">
        <f>C10</f>
        <v>23.97</v>
      </c>
      <c r="F251" s="240">
        <f t="shared" si="22"/>
        <v>0</v>
      </c>
      <c r="G251" s="256">
        <v>3</v>
      </c>
      <c r="H251" s="271">
        <f t="shared" si="23"/>
        <v>0</v>
      </c>
      <c r="I251" s="242">
        <f t="shared" si="24"/>
        <v>0</v>
      </c>
    </row>
    <row r="252" spans="1:9" s="223" customFormat="1" ht="23.4">
      <c r="A252" s="236"/>
      <c r="B252" s="237" t="s">
        <v>147</v>
      </c>
      <c r="C252" s="248">
        <f>4*0.888</f>
        <v>3.552</v>
      </c>
      <c r="D252" s="280" t="s">
        <v>17</v>
      </c>
      <c r="E252" s="240">
        <f>C11</f>
        <v>24.46</v>
      </c>
      <c r="F252" s="240">
        <f t="shared" si="22"/>
        <v>86.881920000000008</v>
      </c>
      <c r="G252" s="256">
        <v>3</v>
      </c>
      <c r="H252" s="271">
        <f t="shared" si="23"/>
        <v>10.656000000000001</v>
      </c>
      <c r="I252" s="242">
        <f t="shared" si="24"/>
        <v>97.537920000000014</v>
      </c>
    </row>
    <row r="253" spans="1:9" s="223" customFormat="1" ht="23.4">
      <c r="A253" s="236"/>
      <c r="B253" s="237" t="s">
        <v>148</v>
      </c>
      <c r="C253" s="248">
        <v>0</v>
      </c>
      <c r="D253" s="280" t="s">
        <v>17</v>
      </c>
      <c r="E253" s="240">
        <f>C12</f>
        <v>23.7</v>
      </c>
      <c r="F253" s="240">
        <f t="shared" si="22"/>
        <v>0</v>
      </c>
      <c r="G253" s="256">
        <v>3</v>
      </c>
      <c r="H253" s="271">
        <f t="shared" si="23"/>
        <v>0</v>
      </c>
      <c r="I253" s="242">
        <f t="shared" si="24"/>
        <v>0</v>
      </c>
    </row>
    <row r="254" spans="1:9" s="223" customFormat="1" ht="23.4">
      <c r="A254" s="236"/>
      <c r="B254" s="237" t="s">
        <v>150</v>
      </c>
      <c r="C254" s="248">
        <v>0</v>
      </c>
      <c r="D254" s="280" t="s">
        <v>17</v>
      </c>
      <c r="E254" s="240">
        <f>C14</f>
        <v>24.06</v>
      </c>
      <c r="F254" s="240">
        <f t="shared" si="22"/>
        <v>0</v>
      </c>
      <c r="G254" s="256">
        <v>3</v>
      </c>
      <c r="H254" s="271">
        <f t="shared" si="23"/>
        <v>0</v>
      </c>
      <c r="I254" s="242">
        <f t="shared" si="24"/>
        <v>0</v>
      </c>
    </row>
    <row r="255" spans="1:9" s="223" customFormat="1" ht="23.4">
      <c r="A255" s="236">
        <v>4</v>
      </c>
      <c r="B255" s="251" t="s">
        <v>167</v>
      </c>
      <c r="C255" s="288">
        <f>SUM(C250:C254)*0.03</f>
        <v>0.37655999999999995</v>
      </c>
      <c r="D255" s="280" t="s">
        <v>17</v>
      </c>
      <c r="E255" s="240">
        <v>35</v>
      </c>
      <c r="F255" s="240">
        <f t="shared" si="22"/>
        <v>13.179599999999999</v>
      </c>
      <c r="G255" s="256"/>
      <c r="H255" s="271">
        <f t="shared" si="23"/>
        <v>0</v>
      </c>
      <c r="I255" s="242">
        <f t="shared" si="24"/>
        <v>13.179599999999999</v>
      </c>
    </row>
    <row r="256" spans="1:9" s="223" customFormat="1" ht="23.4">
      <c r="A256" s="236">
        <v>5</v>
      </c>
      <c r="B256" s="251" t="s">
        <v>152</v>
      </c>
      <c r="C256" s="248" t="s">
        <v>114</v>
      </c>
      <c r="D256" s="280" t="s">
        <v>114</v>
      </c>
      <c r="E256" s="240"/>
      <c r="F256" s="240"/>
      <c r="G256" s="256" t="s">
        <v>114</v>
      </c>
      <c r="H256" s="271"/>
      <c r="I256" s="242"/>
    </row>
    <row r="257" spans="1:9" s="223" customFormat="1" ht="23.4">
      <c r="A257" s="236"/>
      <c r="B257" s="237"/>
      <c r="C257" s="248"/>
      <c r="D257" s="280"/>
      <c r="E257" s="240"/>
      <c r="F257" s="240"/>
      <c r="G257" s="256"/>
      <c r="H257" s="271"/>
      <c r="I257" s="242"/>
    </row>
    <row r="258" spans="1:9" s="223" customFormat="1" ht="23.4">
      <c r="A258" s="236"/>
      <c r="B258" s="237"/>
      <c r="C258" s="248"/>
      <c r="D258" s="280"/>
      <c r="E258" s="240"/>
      <c r="F258" s="240"/>
      <c r="G258" s="256"/>
      <c r="H258" s="271"/>
      <c r="I258" s="242"/>
    </row>
    <row r="259" spans="1:9" s="223" customFormat="1" ht="23.4">
      <c r="A259" s="236"/>
      <c r="B259" s="237"/>
      <c r="C259" s="248"/>
      <c r="D259" s="280"/>
      <c r="E259" s="256"/>
      <c r="F259" s="256"/>
      <c r="G259" s="256"/>
      <c r="H259" s="271"/>
      <c r="I259" s="242"/>
    </row>
    <row r="260" spans="1:9" s="223" customFormat="1" ht="23.4">
      <c r="A260" s="236"/>
      <c r="B260" s="251" t="s">
        <v>114</v>
      </c>
      <c r="C260" s="280"/>
      <c r="D260" s="280"/>
      <c r="E260" s="256"/>
      <c r="F260" s="256"/>
      <c r="G260" s="256"/>
      <c r="H260" s="271"/>
      <c r="I260" s="242"/>
    </row>
    <row r="261" spans="1:9" s="223" customFormat="1" ht="23.4">
      <c r="A261" s="236"/>
      <c r="B261" s="239" t="s">
        <v>153</v>
      </c>
      <c r="C261" s="248"/>
      <c r="D261" s="280"/>
      <c r="E261" s="256"/>
      <c r="F261" s="256">
        <f>SUM(F247:F255)</f>
        <v>931.40652000000011</v>
      </c>
      <c r="G261" s="256"/>
      <c r="H261" s="271">
        <f>SUM(H247:H255)</f>
        <v>238.40600000000001</v>
      </c>
      <c r="I261" s="242"/>
    </row>
    <row r="262" spans="1:9" s="223" customFormat="1" ht="23.4">
      <c r="A262" s="236"/>
      <c r="B262" s="239" t="s">
        <v>154</v>
      </c>
      <c r="C262" s="280"/>
      <c r="D262" s="280"/>
      <c r="E262" s="256"/>
      <c r="F262" s="256"/>
      <c r="G262" s="280" t="s">
        <v>155</v>
      </c>
      <c r="H262" s="281"/>
      <c r="I262" s="258">
        <f>SUM(I247:I261)</f>
        <v>1169.8125199999999</v>
      </c>
    </row>
    <row r="263" spans="1:9" s="223" customFormat="1" ht="23.4">
      <c r="A263" s="236"/>
      <c r="B263" s="251"/>
      <c r="C263" s="280"/>
      <c r="D263" s="280"/>
      <c r="E263" s="256"/>
      <c r="F263" s="256"/>
      <c r="G263" s="256" t="s">
        <v>114</v>
      </c>
      <c r="H263" s="271"/>
      <c r="I263" s="242"/>
    </row>
    <row r="264" spans="1:9" s="223" customFormat="1" ht="23.4">
      <c r="A264" s="236"/>
      <c r="B264" s="276"/>
      <c r="C264" s="289"/>
      <c r="D264" s="289"/>
      <c r="E264" s="289"/>
      <c r="F264" s="289"/>
      <c r="G264" s="289"/>
      <c r="H264" s="290"/>
      <c r="I264" s="291"/>
    </row>
    <row r="265" spans="1:9" s="223" customFormat="1" ht="23.4">
      <c r="A265" s="236"/>
      <c r="B265" s="237"/>
      <c r="C265" s="280" t="s">
        <v>114</v>
      </c>
      <c r="D265" s="280"/>
      <c r="E265" s="256"/>
      <c r="F265" s="271"/>
      <c r="G265" s="271"/>
      <c r="H265" s="271"/>
      <c r="I265" s="242"/>
    </row>
    <row r="266" spans="1:9" s="223" customFormat="1" ht="24" thickBot="1">
      <c r="A266" s="259"/>
      <c r="B266" s="260"/>
      <c r="C266" s="282"/>
      <c r="D266" s="282"/>
      <c r="E266" s="282" t="s">
        <v>171</v>
      </c>
      <c r="F266" s="283"/>
      <c r="G266" s="284"/>
      <c r="H266" s="284"/>
      <c r="I266" s="285">
        <f>I262</f>
        <v>1169.8125199999999</v>
      </c>
    </row>
    <row r="267" spans="1:9" s="223" customFormat="1" ht="23.4">
      <c r="A267" s="224"/>
      <c r="C267" s="224"/>
      <c r="D267" s="224"/>
      <c r="E267" s="224"/>
      <c r="F267" s="224"/>
      <c r="I267" s="277"/>
    </row>
    <row r="268" spans="1:9" s="223" customFormat="1" ht="23.4">
      <c r="A268" s="224"/>
      <c r="C268" s="224"/>
      <c r="D268" s="224"/>
      <c r="E268" s="224"/>
      <c r="F268" s="224"/>
      <c r="I268" s="277"/>
    </row>
    <row r="269" spans="1:9" s="223" customFormat="1" ht="23.4">
      <c r="A269" s="224"/>
      <c r="C269" s="224"/>
      <c r="D269" s="224"/>
      <c r="E269" s="224"/>
      <c r="F269" s="224"/>
      <c r="I269" s="277"/>
    </row>
    <row r="270" spans="1:9" s="223" customFormat="1" ht="23.4"/>
    <row r="272" spans="1:9" ht="26.4">
      <c r="A272" s="789"/>
      <c r="B272" s="789"/>
      <c r="C272" s="789"/>
      <c r="D272" s="789"/>
      <c r="E272" s="789"/>
      <c r="F272" s="789"/>
      <c r="G272" s="789"/>
      <c r="H272" s="789"/>
      <c r="I272" s="789"/>
    </row>
    <row r="273" spans="1:9" ht="21.6" thickBot="1">
      <c r="A273" s="213"/>
      <c r="B273" s="197" t="s">
        <v>114</v>
      </c>
      <c r="C273" s="213"/>
      <c r="D273" s="213"/>
      <c r="E273" s="197"/>
      <c r="F273" s="197"/>
      <c r="G273" s="197"/>
      <c r="H273" s="197"/>
      <c r="I273" s="197"/>
    </row>
    <row r="274" spans="1:9">
      <c r="A274" s="156" t="s">
        <v>12</v>
      </c>
      <c r="B274" s="157" t="s">
        <v>0</v>
      </c>
      <c r="C274" s="157" t="s">
        <v>1</v>
      </c>
      <c r="D274" s="157" t="s">
        <v>2</v>
      </c>
      <c r="E274" s="793" t="s">
        <v>11</v>
      </c>
      <c r="F274" s="794"/>
      <c r="G274" s="793" t="s">
        <v>3</v>
      </c>
      <c r="H274" s="794"/>
      <c r="I274" s="158" t="s">
        <v>139</v>
      </c>
    </row>
    <row r="275" spans="1:9" ht="21.6" thickBot="1">
      <c r="A275" s="159"/>
      <c r="B275" s="160"/>
      <c r="C275" s="160"/>
      <c r="D275" s="160"/>
      <c r="E275" s="161" t="s">
        <v>140</v>
      </c>
      <c r="F275" s="161" t="s">
        <v>141</v>
      </c>
      <c r="G275" s="161" t="s">
        <v>140</v>
      </c>
      <c r="H275" s="161" t="s">
        <v>141</v>
      </c>
      <c r="I275" s="162" t="s">
        <v>113</v>
      </c>
    </row>
    <row r="276" spans="1:9">
      <c r="A276" s="163" t="s">
        <v>114</v>
      </c>
      <c r="B276" s="164" t="s">
        <v>166</v>
      </c>
      <c r="C276" s="165"/>
      <c r="D276" s="165"/>
      <c r="E276" s="165"/>
      <c r="F276" s="165"/>
      <c r="G276" s="165"/>
      <c r="H276" s="166"/>
      <c r="I276" s="167"/>
    </row>
    <row r="277" spans="1:9">
      <c r="A277" s="168" t="s">
        <v>114</v>
      </c>
      <c r="B277" s="169" t="s">
        <v>114</v>
      </c>
      <c r="C277" s="170"/>
      <c r="D277" s="171"/>
      <c r="E277" s="169"/>
      <c r="F277" s="169"/>
      <c r="G277" s="169"/>
      <c r="H277" s="172"/>
      <c r="I277" s="173"/>
    </row>
    <row r="278" spans="1:9">
      <c r="A278" s="174">
        <v>1</v>
      </c>
      <c r="B278" s="175" t="s">
        <v>158</v>
      </c>
      <c r="C278" s="176">
        <v>5.7</v>
      </c>
      <c r="D278" s="177" t="s">
        <v>104</v>
      </c>
      <c r="E278" s="178">
        <f>C6</f>
        <v>2004.68</v>
      </c>
      <c r="F278" s="178"/>
      <c r="G278" s="186">
        <v>204</v>
      </c>
      <c r="H278" s="214"/>
      <c r="I278" s="180">
        <f>SUM(E278:G278)*C278</f>
        <v>12589.476000000002</v>
      </c>
    </row>
    <row r="279" spans="1:9">
      <c r="A279" s="174">
        <v>2</v>
      </c>
      <c r="B279" s="175" t="s">
        <v>128</v>
      </c>
      <c r="C279" s="181">
        <v>39</v>
      </c>
      <c r="D279" s="177" t="s">
        <v>21</v>
      </c>
      <c r="E279" s="182">
        <v>120</v>
      </c>
      <c r="F279" s="182"/>
      <c r="G279" s="186">
        <v>75</v>
      </c>
      <c r="H279" s="214"/>
      <c r="I279" s="180">
        <f>SUM(E279:G279)*C279</f>
        <v>7605</v>
      </c>
    </row>
    <row r="280" spans="1:9">
      <c r="A280" s="174">
        <v>3</v>
      </c>
      <c r="B280" s="175" t="s">
        <v>144</v>
      </c>
      <c r="C280" s="177" t="s">
        <v>114</v>
      </c>
      <c r="D280" s="177"/>
      <c r="E280" s="183"/>
      <c r="F280" s="183"/>
      <c r="G280" s="175"/>
      <c r="H280" s="179"/>
      <c r="I280" s="200"/>
    </row>
    <row r="281" spans="1:9">
      <c r="A281" s="174"/>
      <c r="B281" s="175" t="s">
        <v>145</v>
      </c>
      <c r="C281" s="215">
        <v>18.149999999999999</v>
      </c>
      <c r="D281" s="177" t="s">
        <v>17</v>
      </c>
      <c r="E281" s="185">
        <f t="shared" ref="E281:E287" si="25">C9</f>
        <v>25.64</v>
      </c>
      <c r="F281" s="185"/>
      <c r="G281" s="186">
        <v>3</v>
      </c>
      <c r="H281" s="214"/>
      <c r="I281" s="180">
        <f t="shared" ref="I281:I287" si="26">SUM(E281:G281)*C281</f>
        <v>519.81599999999992</v>
      </c>
    </row>
    <row r="282" spans="1:9">
      <c r="A282" s="174"/>
      <c r="B282" s="175" t="s">
        <v>146</v>
      </c>
      <c r="C282" s="216">
        <v>228</v>
      </c>
      <c r="D282" s="171" t="s">
        <v>17</v>
      </c>
      <c r="E282" s="185">
        <f t="shared" si="25"/>
        <v>23.97</v>
      </c>
      <c r="F282" s="185"/>
      <c r="G282" s="186">
        <v>3</v>
      </c>
      <c r="H282" s="214"/>
      <c r="I282" s="180">
        <f t="shared" si="26"/>
        <v>6149.16</v>
      </c>
    </row>
    <row r="283" spans="1:9">
      <c r="A283" s="174"/>
      <c r="B283" s="175" t="s">
        <v>147</v>
      </c>
      <c r="C283" s="216">
        <v>218</v>
      </c>
      <c r="D283" s="177" t="s">
        <v>17</v>
      </c>
      <c r="E283" s="185">
        <f t="shared" si="25"/>
        <v>24.46</v>
      </c>
      <c r="F283" s="185"/>
      <c r="G283" s="186">
        <v>3</v>
      </c>
      <c r="H283" s="214"/>
      <c r="I283" s="180">
        <f t="shared" si="26"/>
        <v>5986.28</v>
      </c>
    </row>
    <row r="284" spans="1:9">
      <c r="A284" s="174"/>
      <c r="B284" s="175" t="s">
        <v>148</v>
      </c>
      <c r="C284" s="176">
        <v>49.1</v>
      </c>
      <c r="D284" s="177" t="s">
        <v>17</v>
      </c>
      <c r="E284" s="185">
        <f t="shared" si="25"/>
        <v>23.7</v>
      </c>
      <c r="F284" s="185"/>
      <c r="G284" s="186">
        <v>3</v>
      </c>
      <c r="H284" s="214"/>
      <c r="I284" s="180">
        <f t="shared" si="26"/>
        <v>1310.97</v>
      </c>
    </row>
    <row r="285" spans="1:9">
      <c r="A285" s="174"/>
      <c r="B285" s="175" t="s">
        <v>149</v>
      </c>
      <c r="C285" s="176"/>
      <c r="D285" s="177" t="s">
        <v>17</v>
      </c>
      <c r="E285" s="185">
        <f t="shared" si="25"/>
        <v>23.53</v>
      </c>
      <c r="F285" s="185"/>
      <c r="G285" s="186">
        <v>3</v>
      </c>
      <c r="H285" s="214"/>
      <c r="I285" s="180">
        <f t="shared" si="26"/>
        <v>0</v>
      </c>
    </row>
    <row r="286" spans="1:9">
      <c r="A286" s="174"/>
      <c r="B286" s="175" t="s">
        <v>150</v>
      </c>
      <c r="C286" s="176">
        <v>212</v>
      </c>
      <c r="D286" s="177" t="s">
        <v>17</v>
      </c>
      <c r="E286" s="185">
        <f t="shared" si="25"/>
        <v>24.06</v>
      </c>
      <c r="F286" s="185"/>
      <c r="G286" s="186">
        <v>3</v>
      </c>
      <c r="H286" s="214"/>
      <c r="I286" s="180">
        <f t="shared" si="26"/>
        <v>5736.7199999999993</v>
      </c>
    </row>
    <row r="287" spans="1:9">
      <c r="A287" s="174">
        <v>4</v>
      </c>
      <c r="B287" s="169" t="s">
        <v>167</v>
      </c>
      <c r="C287" s="181">
        <f>SUM(C281:C286)*0.03</f>
        <v>21.7575</v>
      </c>
      <c r="D287" s="177" t="s">
        <v>17</v>
      </c>
      <c r="E287" s="185">
        <f t="shared" si="25"/>
        <v>35</v>
      </c>
      <c r="F287" s="185"/>
      <c r="G287" s="175"/>
      <c r="H287" s="179"/>
      <c r="I287" s="180">
        <f t="shared" si="26"/>
        <v>761.51250000000005</v>
      </c>
    </row>
    <row r="288" spans="1:9">
      <c r="A288" s="174">
        <v>5</v>
      </c>
      <c r="B288" s="169" t="s">
        <v>152</v>
      </c>
      <c r="C288" s="176" t="s">
        <v>114</v>
      </c>
      <c r="D288" s="177" t="s">
        <v>114</v>
      </c>
      <c r="E288" s="185"/>
      <c r="F288" s="185"/>
      <c r="G288" s="175" t="s">
        <v>114</v>
      </c>
      <c r="H288" s="179"/>
      <c r="I288" s="180"/>
    </row>
    <row r="289" spans="1:9">
      <c r="A289" s="174"/>
      <c r="B289" s="175" t="s">
        <v>168</v>
      </c>
      <c r="C289" s="217">
        <v>3.2</v>
      </c>
      <c r="D289" s="177" t="s">
        <v>21</v>
      </c>
      <c r="E289" s="185">
        <v>60</v>
      </c>
      <c r="F289" s="185"/>
      <c r="G289" s="186">
        <v>2</v>
      </c>
      <c r="H289" s="214"/>
      <c r="I289" s="180">
        <f>SUM(E289:G289)*C289</f>
        <v>198.4</v>
      </c>
    </row>
    <row r="290" spans="1:9">
      <c r="A290" s="174"/>
      <c r="B290" s="175" t="s">
        <v>179</v>
      </c>
      <c r="C290" s="176">
        <v>8.1999999999999993</v>
      </c>
      <c r="D290" s="177" t="s">
        <v>170</v>
      </c>
      <c r="E290" s="178">
        <v>690</v>
      </c>
      <c r="F290" s="178"/>
      <c r="G290" s="186">
        <v>210</v>
      </c>
      <c r="H290" s="214"/>
      <c r="I290" s="180">
        <f>SUM(E290:G290)*C290</f>
        <v>7379.9999999999991</v>
      </c>
    </row>
    <row r="291" spans="1:9">
      <c r="A291" s="174"/>
      <c r="B291" s="175" t="s">
        <v>180</v>
      </c>
      <c r="C291" s="217">
        <v>3</v>
      </c>
      <c r="D291" s="177" t="s">
        <v>15</v>
      </c>
      <c r="E291" s="292">
        <f>I236</f>
        <v>22418.4156</v>
      </c>
      <c r="F291" s="292"/>
      <c r="G291" s="186">
        <v>1105</v>
      </c>
      <c r="H291" s="214"/>
      <c r="I291" s="180">
        <f>SUM(E291:G291)*C291</f>
        <v>70570.246799999994</v>
      </c>
    </row>
    <row r="292" spans="1:9">
      <c r="A292" s="174"/>
      <c r="B292" s="175" t="s">
        <v>181</v>
      </c>
      <c r="C292" s="217">
        <v>3</v>
      </c>
      <c r="D292" s="177" t="s">
        <v>15</v>
      </c>
      <c r="E292" s="178"/>
      <c r="F292" s="178"/>
      <c r="G292" s="186">
        <v>250</v>
      </c>
      <c r="H292" s="214"/>
      <c r="I292" s="180">
        <f>SUM(E292:G292)*C292</f>
        <v>750</v>
      </c>
    </row>
    <row r="293" spans="1:9">
      <c r="A293" s="174"/>
      <c r="B293" s="175"/>
      <c r="C293" s="176"/>
      <c r="D293" s="177"/>
      <c r="E293" s="219"/>
      <c r="F293" s="219"/>
      <c r="G293" s="175"/>
      <c r="H293" s="179"/>
      <c r="I293" s="180"/>
    </row>
    <row r="294" spans="1:9">
      <c r="A294" s="174"/>
      <c r="B294" s="169"/>
      <c r="C294" s="177"/>
      <c r="D294" s="177"/>
      <c r="E294" s="175"/>
      <c r="F294" s="175"/>
      <c r="G294" s="175"/>
      <c r="H294" s="179"/>
      <c r="I294" s="200"/>
    </row>
    <row r="295" spans="1:9">
      <c r="A295" s="174"/>
      <c r="B295" s="169"/>
      <c r="C295" s="177"/>
      <c r="D295" s="177"/>
      <c r="E295" s="175"/>
      <c r="F295" s="175"/>
      <c r="G295" s="175" t="s">
        <v>114</v>
      </c>
      <c r="H295" s="179"/>
      <c r="I295" s="200"/>
    </row>
    <row r="296" spans="1:9">
      <c r="A296" s="174"/>
      <c r="B296" s="191" t="s">
        <v>154</v>
      </c>
      <c r="C296" s="177"/>
      <c r="D296" s="177"/>
      <c r="E296" s="175"/>
      <c r="F296" s="175"/>
      <c r="G296" s="177" t="s">
        <v>155</v>
      </c>
      <c r="H296" s="193"/>
      <c r="I296" s="194">
        <f>SUM(I278:I295)</f>
        <v>119557.58129999999</v>
      </c>
    </row>
    <row r="297" spans="1:9">
      <c r="A297" s="174"/>
      <c r="B297" s="175"/>
      <c r="C297" s="177" t="s">
        <v>114</v>
      </c>
      <c r="D297" s="177"/>
      <c r="E297" s="175"/>
      <c r="F297" s="179"/>
      <c r="G297" s="179"/>
      <c r="H297" s="179"/>
      <c r="I297" s="200"/>
    </row>
    <row r="298" spans="1:9" ht="21.6" thickBot="1">
      <c r="A298" s="202"/>
      <c r="B298" s="205"/>
      <c r="C298" s="204"/>
      <c r="D298" s="204"/>
      <c r="E298" s="204" t="s">
        <v>171</v>
      </c>
      <c r="F298" s="220"/>
      <c r="G298" s="203"/>
      <c r="H298" s="203"/>
      <c r="I298" s="221">
        <f>I296</f>
        <v>119557.58129999999</v>
      </c>
    </row>
    <row r="299" spans="1:9">
      <c r="A299" s="213"/>
      <c r="B299" s="197"/>
      <c r="C299" s="213"/>
      <c r="D299" s="213"/>
      <c r="E299" s="213"/>
      <c r="F299" s="213"/>
      <c r="G299" s="198"/>
      <c r="H299" s="198"/>
      <c r="I299" s="222"/>
    </row>
    <row r="300" spans="1:9">
      <c r="A300" s="213"/>
      <c r="B300" s="197"/>
      <c r="C300" s="213"/>
      <c r="D300" s="213"/>
      <c r="E300" s="213"/>
      <c r="F300" s="213"/>
      <c r="G300" s="198"/>
      <c r="H300" s="198"/>
      <c r="I300" s="222"/>
    </row>
    <row r="301" spans="1:9">
      <c r="A301" s="213"/>
      <c r="B301" s="197" t="s">
        <v>189</v>
      </c>
      <c r="C301" s="213"/>
      <c r="D301" s="213"/>
      <c r="E301" s="213"/>
      <c r="F301" s="213"/>
      <c r="G301" s="198"/>
      <c r="H301" s="198"/>
      <c r="I301" s="222"/>
    </row>
    <row r="302" spans="1:9">
      <c r="A302" s="213"/>
      <c r="B302" s="197" t="s">
        <v>187</v>
      </c>
      <c r="C302" s="213">
        <f>(0.3+0.2+0.35)*0.1</f>
        <v>8.5000000000000006E-2</v>
      </c>
      <c r="D302" s="213" t="s">
        <v>23</v>
      </c>
      <c r="E302" s="296">
        <f>E278</f>
        <v>2004.68</v>
      </c>
      <c r="F302" s="213">
        <f>E302*C302</f>
        <v>170.39780000000002</v>
      </c>
      <c r="G302" s="297">
        <f>G278</f>
        <v>204</v>
      </c>
      <c r="H302" s="198">
        <f>G302*C302</f>
        <v>17.34</v>
      </c>
      <c r="I302" s="298">
        <f>H302+F302</f>
        <v>187.73780000000002</v>
      </c>
    </row>
    <row r="303" spans="1:9">
      <c r="A303" s="213"/>
      <c r="B303" s="197" t="s">
        <v>188</v>
      </c>
      <c r="C303" s="213">
        <f>3*0.2886</f>
        <v>0.86580000000000013</v>
      </c>
      <c r="D303" s="213" t="s">
        <v>190</v>
      </c>
      <c r="E303" s="213">
        <v>24</v>
      </c>
      <c r="F303" s="213">
        <f>E303*C303</f>
        <v>20.779200000000003</v>
      </c>
      <c r="G303" s="198">
        <v>3</v>
      </c>
      <c r="H303" s="198">
        <f>G303*C303</f>
        <v>2.5974000000000004</v>
      </c>
      <c r="I303" s="298">
        <f>H303+F303</f>
        <v>23.376600000000003</v>
      </c>
    </row>
    <row r="304" spans="1:9">
      <c r="A304" s="213"/>
      <c r="B304" s="197" t="s">
        <v>128</v>
      </c>
      <c r="C304" s="213">
        <f>0.25+0.2</f>
        <v>0.45</v>
      </c>
      <c r="D304" s="213" t="s">
        <v>21</v>
      </c>
      <c r="E304" s="213">
        <v>280</v>
      </c>
      <c r="F304" s="213">
        <f>E304*C304</f>
        <v>126</v>
      </c>
      <c r="G304" s="198">
        <v>0</v>
      </c>
      <c r="H304" s="198">
        <f>G304*C304</f>
        <v>0</v>
      </c>
      <c r="I304" s="298">
        <f>H304+F304</f>
        <v>126</v>
      </c>
    </row>
    <row r="305" spans="1:9">
      <c r="A305" s="213"/>
      <c r="B305" s="197"/>
      <c r="C305" s="213"/>
      <c r="D305" s="213"/>
      <c r="E305" s="213"/>
      <c r="F305" s="213"/>
      <c r="G305" s="198"/>
      <c r="H305" s="198"/>
      <c r="I305" s="299">
        <f>SUM(I302:I303)</f>
        <v>211.11440000000002</v>
      </c>
    </row>
    <row r="307" spans="1:9" ht="26.4">
      <c r="A307" s="789"/>
      <c r="B307" s="789"/>
      <c r="C307" s="789"/>
      <c r="D307" s="789"/>
      <c r="E307" s="789"/>
      <c r="F307" s="789"/>
      <c r="G307" s="789"/>
      <c r="H307" s="789"/>
      <c r="I307" s="789"/>
    </row>
    <row r="308" spans="1:9" ht="21.6" thickBot="1">
      <c r="A308" s="213"/>
      <c r="B308" s="197" t="s">
        <v>114</v>
      </c>
      <c r="C308" s="213"/>
      <c r="D308" s="213"/>
      <c r="E308" s="197"/>
      <c r="F308" s="197"/>
      <c r="G308" s="197"/>
      <c r="H308" s="197"/>
      <c r="I308" s="197"/>
    </row>
    <row r="309" spans="1:9">
      <c r="A309" s="156" t="s">
        <v>12</v>
      </c>
      <c r="B309" s="157" t="s">
        <v>0</v>
      </c>
      <c r="C309" s="157" t="s">
        <v>1</v>
      </c>
      <c r="D309" s="157" t="s">
        <v>2</v>
      </c>
      <c r="E309" s="793" t="s">
        <v>11</v>
      </c>
      <c r="F309" s="794"/>
      <c r="G309" s="793" t="s">
        <v>3</v>
      </c>
      <c r="H309" s="794"/>
      <c r="I309" s="158" t="s">
        <v>139</v>
      </c>
    </row>
    <row r="310" spans="1:9" ht="21.6" thickBot="1">
      <c r="A310" s="159"/>
      <c r="B310" s="160"/>
      <c r="C310" s="160"/>
      <c r="D310" s="160"/>
      <c r="E310" s="161" t="s">
        <v>140</v>
      </c>
      <c r="F310" s="161" t="s">
        <v>141</v>
      </c>
      <c r="G310" s="161" t="s">
        <v>140</v>
      </c>
      <c r="H310" s="161" t="s">
        <v>141</v>
      </c>
      <c r="I310" s="162" t="s">
        <v>113</v>
      </c>
    </row>
    <row r="311" spans="1:9">
      <c r="A311" s="163" t="s">
        <v>114</v>
      </c>
      <c r="B311" s="164" t="s">
        <v>166</v>
      </c>
      <c r="C311" s="165"/>
      <c r="D311" s="165"/>
      <c r="E311" s="165"/>
      <c r="F311" s="165"/>
      <c r="G311" s="165"/>
      <c r="H311" s="166"/>
      <c r="I311" s="167"/>
    </row>
    <row r="312" spans="1:9">
      <c r="A312" s="168" t="s">
        <v>114</v>
      </c>
      <c r="B312" s="169" t="s">
        <v>114</v>
      </c>
      <c r="C312" s="170"/>
      <c r="D312" s="171"/>
      <c r="E312" s="169"/>
      <c r="F312" s="169"/>
      <c r="G312" s="169"/>
      <c r="H312" s="172"/>
      <c r="I312" s="173"/>
    </row>
    <row r="313" spans="1:9">
      <c r="A313" s="174">
        <v>1</v>
      </c>
      <c r="B313" s="175" t="s">
        <v>158</v>
      </c>
      <c r="C313" s="176"/>
      <c r="D313" s="177"/>
      <c r="E313" s="178"/>
      <c r="F313" s="178"/>
      <c r="G313" s="186"/>
      <c r="H313" s="214"/>
      <c r="I313" s="180"/>
    </row>
    <row r="314" spans="1:9">
      <c r="A314" s="174">
        <v>2</v>
      </c>
      <c r="B314" s="175" t="s">
        <v>128</v>
      </c>
      <c r="C314" s="181"/>
      <c r="D314" s="177"/>
      <c r="E314" s="182"/>
      <c r="F314" s="182"/>
      <c r="G314" s="186"/>
      <c r="H314" s="214"/>
      <c r="I314" s="180"/>
    </row>
    <row r="315" spans="1:9">
      <c r="A315" s="174">
        <v>3</v>
      </c>
      <c r="B315" s="175" t="s">
        <v>144</v>
      </c>
      <c r="C315" s="177"/>
      <c r="D315" s="177"/>
      <c r="E315" s="183"/>
      <c r="F315" s="183"/>
      <c r="G315" s="175"/>
      <c r="H315" s="179"/>
      <c r="I315" s="200"/>
    </row>
    <row r="316" spans="1:9">
      <c r="A316" s="174"/>
      <c r="B316" s="175" t="s">
        <v>145</v>
      </c>
      <c r="C316" s="215"/>
      <c r="D316" s="177"/>
      <c r="E316" s="185"/>
      <c r="F316" s="185"/>
      <c r="G316" s="186"/>
      <c r="H316" s="214"/>
      <c r="I316" s="180"/>
    </row>
    <row r="317" spans="1:9">
      <c r="A317" s="174"/>
      <c r="B317" s="175" t="s">
        <v>146</v>
      </c>
      <c r="C317" s="216"/>
      <c r="D317" s="171"/>
      <c r="E317" s="185"/>
      <c r="F317" s="185"/>
      <c r="G317" s="186"/>
      <c r="H317" s="214"/>
      <c r="I317" s="180"/>
    </row>
    <row r="318" spans="1:9">
      <c r="A318" s="174"/>
      <c r="B318" s="175" t="s">
        <v>147</v>
      </c>
      <c r="C318" s="216"/>
      <c r="D318" s="177"/>
      <c r="E318" s="185"/>
      <c r="F318" s="185"/>
      <c r="G318" s="186"/>
      <c r="H318" s="214"/>
      <c r="I318" s="180"/>
    </row>
    <row r="319" spans="1:9">
      <c r="A319" s="174"/>
      <c r="B319" s="175" t="s">
        <v>148</v>
      </c>
      <c r="C319" s="176"/>
      <c r="D319" s="177"/>
      <c r="E319" s="185"/>
      <c r="F319" s="185"/>
      <c r="G319" s="186"/>
      <c r="H319" s="214"/>
      <c r="I319" s="180"/>
    </row>
    <row r="320" spans="1:9">
      <c r="A320" s="174"/>
      <c r="B320" s="175" t="s">
        <v>149</v>
      </c>
      <c r="C320" s="176"/>
      <c r="D320" s="177"/>
      <c r="E320" s="185"/>
      <c r="F320" s="185"/>
      <c r="G320" s="186"/>
      <c r="H320" s="214"/>
      <c r="I320" s="180"/>
    </row>
    <row r="321" spans="1:9">
      <c r="A321" s="174"/>
      <c r="B321" s="175" t="s">
        <v>150</v>
      </c>
      <c r="C321" s="176"/>
      <c r="D321" s="177"/>
      <c r="E321" s="185"/>
      <c r="F321" s="185"/>
      <c r="G321" s="186"/>
      <c r="H321" s="214"/>
      <c r="I321" s="180"/>
    </row>
    <row r="322" spans="1:9">
      <c r="A322" s="174">
        <v>4</v>
      </c>
      <c r="B322" s="169" t="s">
        <v>167</v>
      </c>
      <c r="C322" s="181"/>
      <c r="D322" s="177"/>
      <c r="E322" s="185"/>
      <c r="F322" s="185"/>
      <c r="G322" s="175"/>
      <c r="H322" s="179"/>
      <c r="I322" s="180"/>
    </row>
    <row r="323" spans="1:9">
      <c r="A323" s="174">
        <v>5</v>
      </c>
      <c r="B323" s="169" t="s">
        <v>152</v>
      </c>
      <c r="C323" s="176"/>
      <c r="D323" s="177"/>
      <c r="E323" s="185"/>
      <c r="F323" s="185"/>
      <c r="G323" s="175"/>
      <c r="H323" s="179"/>
      <c r="I323" s="180"/>
    </row>
    <row r="324" spans="1:9">
      <c r="A324" s="174"/>
      <c r="B324" s="175" t="s">
        <v>182</v>
      </c>
      <c r="C324" s="217">
        <v>1</v>
      </c>
      <c r="D324" s="177" t="s">
        <v>183</v>
      </c>
      <c r="E324" s="185">
        <f>SUM(I298)</f>
        <v>119557.58129999999</v>
      </c>
      <c r="F324" s="185"/>
      <c r="G324" s="186"/>
      <c r="H324" s="214"/>
      <c r="I324" s="180">
        <f>SUM(E324:G324)*C324</f>
        <v>119557.58129999999</v>
      </c>
    </row>
    <row r="325" spans="1:9">
      <c r="A325" s="174"/>
      <c r="B325" s="175" t="s">
        <v>184</v>
      </c>
      <c r="C325" s="217">
        <v>1</v>
      </c>
      <c r="D325" s="177" t="s">
        <v>183</v>
      </c>
      <c r="E325" s="178">
        <f>SUM(I138)</f>
        <v>102269.22610000001</v>
      </c>
      <c r="F325" s="178"/>
      <c r="G325" s="186"/>
      <c r="H325" s="214"/>
      <c r="I325" s="180">
        <f>SUM(E325:G325)*C325</f>
        <v>102269.22610000001</v>
      </c>
    </row>
    <row r="326" spans="1:9">
      <c r="A326" s="174"/>
      <c r="B326" s="175"/>
      <c r="C326" s="217"/>
      <c r="D326" s="177"/>
      <c r="E326" s="292"/>
      <c r="F326" s="292"/>
      <c r="G326" s="186"/>
      <c r="H326" s="214"/>
      <c r="I326" s="180"/>
    </row>
    <row r="327" spans="1:9">
      <c r="A327" s="174"/>
      <c r="B327" s="175"/>
      <c r="C327" s="217"/>
      <c r="D327" s="177"/>
      <c r="E327" s="178"/>
      <c r="F327" s="178"/>
      <c r="G327" s="186"/>
      <c r="H327" s="214"/>
      <c r="I327" s="180"/>
    </row>
    <row r="328" spans="1:9">
      <c r="A328" s="174"/>
      <c r="B328" s="175"/>
      <c r="C328" s="176"/>
      <c r="D328" s="177"/>
      <c r="E328" s="219"/>
      <c r="F328" s="219"/>
      <c r="G328" s="175"/>
      <c r="H328" s="179"/>
      <c r="I328" s="180"/>
    </row>
    <row r="329" spans="1:9">
      <c r="A329" s="174"/>
      <c r="B329" s="169"/>
      <c r="C329" s="177"/>
      <c r="D329" s="177"/>
      <c r="E329" s="175"/>
      <c r="F329" s="175"/>
      <c r="G329" s="175"/>
      <c r="H329" s="179"/>
      <c r="I329" s="200"/>
    </row>
    <row r="330" spans="1:9">
      <c r="A330" s="174"/>
      <c r="B330" s="169"/>
      <c r="C330" s="177"/>
      <c r="D330" s="177"/>
      <c r="E330" s="175"/>
      <c r="F330" s="175"/>
      <c r="G330" s="175" t="s">
        <v>114</v>
      </c>
      <c r="H330" s="179"/>
      <c r="I330" s="200"/>
    </row>
    <row r="331" spans="1:9">
      <c r="A331" s="174"/>
      <c r="B331" s="191" t="s">
        <v>154</v>
      </c>
      <c r="C331" s="177"/>
      <c r="D331" s="177"/>
      <c r="E331" s="175"/>
      <c r="F331" s="175"/>
      <c r="G331" s="177" t="s">
        <v>155</v>
      </c>
      <c r="H331" s="193"/>
      <c r="I331" s="194">
        <f>SUM(I313:I330)</f>
        <v>221826.80739999999</v>
      </c>
    </row>
    <row r="332" spans="1:9">
      <c r="A332" s="174"/>
      <c r="B332" s="175"/>
      <c r="C332" s="177" t="s">
        <v>114</v>
      </c>
      <c r="D332" s="177"/>
      <c r="E332" s="175"/>
      <c r="F332" s="179"/>
      <c r="G332" s="179"/>
      <c r="H332" s="179"/>
      <c r="I332" s="200"/>
    </row>
    <row r="333" spans="1:9" ht="21.6" thickBot="1">
      <c r="A333" s="202"/>
      <c r="B333" s="205"/>
      <c r="C333" s="204"/>
      <c r="D333" s="204"/>
      <c r="E333" s="204" t="s">
        <v>171</v>
      </c>
      <c r="F333" s="220"/>
      <c r="G333" s="203"/>
      <c r="H333" s="203"/>
      <c r="I333" s="221">
        <f>I331</f>
        <v>221826.80739999999</v>
      </c>
    </row>
  </sheetData>
  <mergeCells count="35">
    <mergeCell ref="E274:F274"/>
    <mergeCell ref="G274:H274"/>
    <mergeCell ref="A307:I307"/>
    <mergeCell ref="E309:F309"/>
    <mergeCell ref="G309:H309"/>
    <mergeCell ref="A272:I272"/>
    <mergeCell ref="E180:F180"/>
    <mergeCell ref="G180:H180"/>
    <mergeCell ref="B182:C182"/>
    <mergeCell ref="A210:I210"/>
    <mergeCell ref="E212:F212"/>
    <mergeCell ref="G212:H212"/>
    <mergeCell ref="B214:C214"/>
    <mergeCell ref="A242:I242"/>
    <mergeCell ref="E244:F244"/>
    <mergeCell ref="G244:H244"/>
    <mergeCell ref="B246:C246"/>
    <mergeCell ref="A178:I178"/>
    <mergeCell ref="A69:I69"/>
    <mergeCell ref="B70:E70"/>
    <mergeCell ref="E71:F71"/>
    <mergeCell ref="G71:H71"/>
    <mergeCell ref="A103:I103"/>
    <mergeCell ref="A112:I112"/>
    <mergeCell ref="E114:F114"/>
    <mergeCell ref="G114:H114"/>
    <mergeCell ref="A146:I146"/>
    <mergeCell ref="E148:F148"/>
    <mergeCell ref="G148:H148"/>
    <mergeCell ref="A2:I2"/>
    <mergeCell ref="B3:G3"/>
    <mergeCell ref="A35:I35"/>
    <mergeCell ref="B36:E36"/>
    <mergeCell ref="E38:F38"/>
    <mergeCell ref="G38:H3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2"/>
  <sheetViews>
    <sheetView workbookViewId="0">
      <selection activeCell="K11" sqref="K11"/>
    </sheetView>
  </sheetViews>
  <sheetFormatPr defaultRowHeight="21"/>
  <cols>
    <col min="1" max="1" width="9.125" style="300"/>
    <col min="2" max="3" width="9.625" bestFit="1" customWidth="1"/>
    <col min="4" max="4" width="11.625" bestFit="1" customWidth="1"/>
    <col min="5" max="6" width="9.625" bestFit="1" customWidth="1"/>
    <col min="7" max="7" width="11.875" customWidth="1"/>
    <col min="8" max="8" width="10.625" bestFit="1" customWidth="1"/>
  </cols>
  <sheetData>
    <row r="1" spans="1:19">
      <c r="A1" s="797" t="s">
        <v>216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</row>
    <row r="2" spans="1:19">
      <c r="B2" t="s">
        <v>210</v>
      </c>
      <c r="C2" t="s">
        <v>215</v>
      </c>
      <c r="D2" t="s">
        <v>242</v>
      </c>
      <c r="E2" t="s">
        <v>212</v>
      </c>
      <c r="F2" t="s">
        <v>137</v>
      </c>
      <c r="G2" t="s">
        <v>217</v>
      </c>
      <c r="H2" t="s">
        <v>213</v>
      </c>
      <c r="I2" t="s">
        <v>90</v>
      </c>
      <c r="J2" t="s">
        <v>91</v>
      </c>
      <c r="K2" t="s">
        <v>92</v>
      </c>
      <c r="L2" t="s">
        <v>93</v>
      </c>
      <c r="M2" t="s">
        <v>214</v>
      </c>
      <c r="N2" t="s">
        <v>94</v>
      </c>
    </row>
    <row r="3" spans="1:19">
      <c r="A3" s="300" t="s">
        <v>240</v>
      </c>
      <c r="P3" t="s">
        <v>243</v>
      </c>
    </row>
    <row r="4" spans="1:19">
      <c r="A4" s="300" t="s">
        <v>241</v>
      </c>
      <c r="B4" s="302">
        <v>1</v>
      </c>
      <c r="C4" s="302">
        <v>1</v>
      </c>
      <c r="D4" s="302">
        <v>0.25</v>
      </c>
      <c r="E4" s="302">
        <f>(C4+C4)+(B4+B4)*P4</f>
        <v>22</v>
      </c>
      <c r="F4" s="302">
        <f>0.1*B4*C4*P4</f>
        <v>1</v>
      </c>
      <c r="G4" s="302">
        <f>0.05*B4*D4*P4</f>
        <v>0.125</v>
      </c>
      <c r="H4" s="302">
        <f>B4*C4*D4*P4</f>
        <v>2.5</v>
      </c>
      <c r="I4" s="302">
        <v>0</v>
      </c>
      <c r="J4" s="302">
        <v>40</v>
      </c>
      <c r="K4" s="302">
        <v>100</v>
      </c>
      <c r="L4" s="302"/>
      <c r="M4" s="302"/>
      <c r="N4" s="302"/>
      <c r="O4" s="301"/>
      <c r="P4" s="301">
        <v>10</v>
      </c>
    </row>
    <row r="5" spans="1:19"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1"/>
      <c r="P5" s="301"/>
    </row>
    <row r="6" spans="1:19">
      <c r="A6" s="303"/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1"/>
      <c r="P6" s="301"/>
      <c r="S6" s="301"/>
    </row>
    <row r="7" spans="1:19"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1"/>
      <c r="P7" s="305" t="s">
        <v>15</v>
      </c>
    </row>
    <row r="8" spans="1:19">
      <c r="A8" s="303" t="s">
        <v>222</v>
      </c>
      <c r="B8" s="302">
        <v>0.2</v>
      </c>
      <c r="C8" s="302">
        <v>0.2</v>
      </c>
      <c r="D8" s="302">
        <v>0.8</v>
      </c>
      <c r="E8" s="302">
        <f>(C8*4)*D8*P4</f>
        <v>6.4000000000000012</v>
      </c>
      <c r="F8" s="302"/>
      <c r="G8" s="302"/>
      <c r="H8" s="302">
        <f>B8*C8*D8*P8</f>
        <v>0.32000000000000006</v>
      </c>
      <c r="I8" s="313"/>
      <c r="J8" s="313"/>
      <c r="K8" s="313"/>
      <c r="L8" s="313"/>
      <c r="M8" s="313"/>
      <c r="N8" s="313"/>
      <c r="O8" s="301"/>
      <c r="P8">
        <v>10</v>
      </c>
    </row>
    <row r="9" spans="1:19">
      <c r="A9" s="303"/>
      <c r="B9" s="302"/>
      <c r="C9" s="302"/>
      <c r="D9" s="302">
        <v>0.8</v>
      </c>
      <c r="E9" s="302">
        <f>(C9*4)*D9</f>
        <v>0</v>
      </c>
      <c r="F9" s="302"/>
      <c r="G9" s="302"/>
      <c r="H9" s="302">
        <f>B9*C9*D9*P9</f>
        <v>0</v>
      </c>
      <c r="I9" s="313"/>
      <c r="J9" s="313"/>
      <c r="K9" s="313"/>
      <c r="L9" s="313"/>
      <c r="M9" s="313"/>
      <c r="N9" s="313"/>
      <c r="O9" s="301"/>
      <c r="P9" s="301"/>
    </row>
    <row r="10" spans="1:19" ht="21.6" thickBot="1">
      <c r="A10" s="303"/>
      <c r="B10" s="302"/>
      <c r="C10" s="302"/>
      <c r="D10" s="302">
        <v>0.8</v>
      </c>
      <c r="E10" s="302">
        <f>(C10*4)*D10</f>
        <v>0</v>
      </c>
      <c r="F10" s="302"/>
      <c r="G10" s="302"/>
      <c r="H10" s="302">
        <f>B10*C10*D10*P10</f>
        <v>0</v>
      </c>
      <c r="J10" s="313"/>
      <c r="K10" s="313"/>
      <c r="L10" s="313"/>
      <c r="M10" s="313"/>
      <c r="N10" s="313"/>
      <c r="O10" s="301"/>
      <c r="P10" s="301"/>
    </row>
    <row r="11" spans="1:19" ht="22.2" thickTop="1" thickBot="1">
      <c r="E11" s="304">
        <f>SUM(E4:E10)</f>
        <v>28.400000000000002</v>
      </c>
      <c r="F11" s="304">
        <f>SUM(F4:F10)</f>
        <v>1</v>
      </c>
      <c r="G11" s="304">
        <f t="shared" ref="G11:K11" si="0">SUM(G4:G10)</f>
        <v>0.125</v>
      </c>
      <c r="H11" s="304">
        <f>SUM(H4:H10)</f>
        <v>2.8200000000000003</v>
      </c>
      <c r="I11" s="304">
        <f t="shared" si="0"/>
        <v>0</v>
      </c>
      <c r="J11" s="304">
        <f t="shared" si="0"/>
        <v>40</v>
      </c>
      <c r="K11" s="304">
        <f t="shared" si="0"/>
        <v>100</v>
      </c>
      <c r="L11" s="304">
        <f t="shared" ref="L11:N11" si="1">SUM(L4:L10)</f>
        <v>0</v>
      </c>
      <c r="M11" s="304">
        <f t="shared" si="1"/>
        <v>0</v>
      </c>
      <c r="N11" s="304">
        <f t="shared" si="1"/>
        <v>0</v>
      </c>
    </row>
    <row r="12" spans="1:19" ht="21.6" thickTop="1"/>
  </sheetData>
  <mergeCells count="1">
    <mergeCell ref="A1: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13</vt:i4>
      </vt:variant>
      <vt:variant>
        <vt:lpstr>ช่วงที่มีชื่อ</vt:lpstr>
      </vt:variant>
      <vt:variant>
        <vt:i4>8</vt:i4>
      </vt:variant>
    </vt:vector>
  </HeadingPairs>
  <TitlesOfParts>
    <vt:vector size="21" baseType="lpstr">
      <vt:lpstr>f อาคาร</vt:lpstr>
      <vt:lpstr>ปร.6</vt:lpstr>
      <vt:lpstr> 1.งานโครงสร้าง สนง (2)</vt:lpstr>
      <vt:lpstr>ปร.5</vt:lpstr>
      <vt:lpstr>ปร.4 </vt:lpstr>
      <vt:lpstr>factor F</vt:lpstr>
      <vt:lpstr>งวดงาน</vt:lpstr>
      <vt:lpstr>Sheet1</vt:lpstr>
      <vt:lpstr>ฐานราก</vt:lpstr>
      <vt:lpstr>2 งานสถาปัตยกรรม</vt:lpstr>
      <vt:lpstr>ชั้น1</vt:lpstr>
      <vt:lpstr>ชั้น2</vt:lpstr>
      <vt:lpstr>หลังคา</vt:lpstr>
      <vt:lpstr>'factor F'!factor_table</vt:lpstr>
      <vt:lpstr>'f อาคาร'!Print_Area</vt:lpstr>
      <vt:lpstr>งวดงาน!Print_Area</vt:lpstr>
      <vt:lpstr>'ปร.4 '!Print_Area</vt:lpstr>
      <vt:lpstr>ปร.5!Print_Area</vt:lpstr>
      <vt:lpstr>ปร.6!Print_Area</vt:lpstr>
      <vt:lpstr>งวดงาน!Print_Titles</vt:lpstr>
      <vt:lpstr>'ปร.4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EKACHAI</dc:creator>
  <cp:lastModifiedBy>กมลพรรณ เจริญสรรพพืช</cp:lastModifiedBy>
  <cp:lastPrinted>2024-04-03T07:38:59Z</cp:lastPrinted>
  <dcterms:created xsi:type="dcterms:W3CDTF">1999-06-06T14:04:39Z</dcterms:created>
  <dcterms:modified xsi:type="dcterms:W3CDTF">2024-04-03T09:23:32Z</dcterms:modified>
</cp:coreProperties>
</file>