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อั๋น\2567\ประมาณการ\จ่ายขาด\ราคากลาง2\ราคากลาง\"/>
    </mc:Choice>
  </mc:AlternateContent>
  <xr:revisionPtr revIDLastSave="0" documentId="13_ncr:1_{20412BCE-975F-44B1-8CCB-D157E42C2D48}" xr6:coauthVersionLast="47" xr6:coauthVersionMax="47" xr10:uidLastSave="{00000000-0000-0000-0000-000000000000}"/>
  <bookViews>
    <workbookView xWindow="-120" yWindow="-120" windowWidth="29040" windowHeight="15720" tabRatio="825" xr2:uid="{00000000-000D-0000-FFFF-FFFF00000000}"/>
  </bookViews>
  <sheets>
    <sheet name="ปร.5" sheetId="1" r:id="rId1"/>
    <sheet name="ปร.4" sheetId="4" r:id="rId2"/>
    <sheet name="หลักเกณฑ์คำนวณ" sheetId="2" r:id="rId3"/>
    <sheet name="ราคางานคอนกรีต" sheetId="3" r:id="rId4"/>
    <sheet name="ราคาไม้แบบ" sheetId="6" r:id="rId5"/>
    <sheet name="สรุปรายการปริมาณงาน" sheetId="7" r:id="rId6"/>
    <sheet name="คำนวณเหล็กเสริม" sheetId="8" r:id="rId7"/>
    <sheet name="คำนวณดินขุด" sheetId="9" r:id="rId8"/>
    <sheet name="คำนวณคอนกรีต" sheetId="10" r:id="rId9"/>
    <sheet name="คำนวณไม้แบบ" sheetId="11" r:id="rId10"/>
    <sheet name="ราคาเฉลี่ยเหล็กเสริม" sheetId="12" r:id="rId11"/>
    <sheet name="ราคาวัสดุ" sheetId="5" r:id="rId12"/>
  </sheets>
  <definedNames>
    <definedName name="_xlnm.Print_Area" localSheetId="1">ปร.4!$A$1:$G$18</definedName>
    <definedName name="_xlnm.Print_Area" localSheetId="0">ปร.5!$A$1:$J$36</definedName>
    <definedName name="_xlnm.Print_Area" localSheetId="3">ราคางานคอนกรีต!$A$1:$X$35</definedName>
    <definedName name="_xlnm.Print_Area" localSheetId="2">หลักเกณฑ์คำนวณ!$A$1:$L$42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7" i="1" l="1"/>
  <c r="A4" i="4" l="1"/>
  <c r="D20" i="11"/>
  <c r="K22" i="8" l="1"/>
  <c r="B9" i="9"/>
  <c r="J13" i="9"/>
  <c r="D14" i="9" s="1"/>
  <c r="D22" i="11"/>
  <c r="D23" i="11" s="1"/>
  <c r="D27" i="8" l="1"/>
  <c r="E24" i="8"/>
  <c r="J17" i="10"/>
  <c r="J12" i="10"/>
  <c r="D20" i="10" l="1"/>
  <c r="D18" i="10"/>
  <c r="B3" i="5"/>
  <c r="B12" i="9" l="1"/>
  <c r="B21" i="8" l="1"/>
  <c r="B14" i="8"/>
  <c r="J22" i="8"/>
  <c r="B16" i="10"/>
  <c r="B11" i="10"/>
  <c r="B4" i="5"/>
  <c r="J8" i="8"/>
  <c r="J15" i="8" l="1"/>
  <c r="J10" i="9"/>
  <c r="H10" i="9"/>
  <c r="I10" i="9"/>
  <c r="I12" i="10"/>
  <c r="D13" i="10" s="1"/>
  <c r="H12" i="10"/>
  <c r="J15" i="11"/>
  <c r="D13" i="11"/>
  <c r="C14" i="1" l="1"/>
  <c r="D15" i="11"/>
  <c r="D16" i="11" s="1"/>
  <c r="K15" i="8"/>
  <c r="D15" i="10"/>
  <c r="G10" i="9"/>
  <c r="D11" i="9" s="1"/>
  <c r="D15" i="9" s="1"/>
  <c r="L15" i="2" l="1"/>
  <c r="D24" i="11"/>
  <c r="C12" i="7" s="1"/>
  <c r="C10" i="7" s="1"/>
  <c r="D21" i="10"/>
  <c r="L24" i="2" s="1"/>
  <c r="D20" i="8"/>
  <c r="D28" i="8" s="1"/>
  <c r="D30" i="8" s="1"/>
  <c r="E17" i="8"/>
  <c r="C8" i="7"/>
  <c r="A11" i="4"/>
  <c r="C12" i="1" s="1"/>
  <c r="G7" i="6"/>
  <c r="E17" i="2" s="1"/>
  <c r="D7" i="6"/>
  <c r="C7" i="6"/>
  <c r="F7" i="6" s="1"/>
  <c r="G6" i="6"/>
  <c r="D6" i="6"/>
  <c r="C6" i="6"/>
  <c r="F6" i="6" s="1"/>
  <c r="E16" i="2" l="1"/>
  <c r="E29" i="8"/>
  <c r="E30" i="8" s="1"/>
  <c r="C9" i="7"/>
  <c r="G9" i="6"/>
  <c r="G10" i="6" s="1"/>
  <c r="L20" i="2" s="1"/>
  <c r="E22" i="2" s="1"/>
  <c r="J10" i="11"/>
  <c r="E25" i="2" l="1"/>
  <c r="H7" i="10"/>
  <c r="G7" i="10"/>
  <c r="G7" i="9" s="1"/>
  <c r="H8" i="8" l="1"/>
  <c r="B4" i="7"/>
  <c r="I11" i="5" l="1"/>
  <c r="G19" i="5"/>
  <c r="A3" i="12"/>
  <c r="A2" i="12"/>
  <c r="E10" i="8"/>
  <c r="B7" i="8"/>
  <c r="E18" i="2" l="1"/>
  <c r="E19" i="2" s="1"/>
  <c r="D10" i="11"/>
  <c r="D8" i="11"/>
  <c r="G15" i="5"/>
  <c r="G13" i="5"/>
  <c r="I7" i="10"/>
  <c r="I8" i="5"/>
  <c r="B10" i="3" s="1"/>
  <c r="I17" i="5" l="1"/>
  <c r="F8" i="12" s="1"/>
  <c r="G21" i="5"/>
  <c r="I21" i="5" s="1"/>
  <c r="F10" i="12" s="1"/>
  <c r="I19" i="5"/>
  <c r="F9" i="12" s="1"/>
  <c r="G23" i="5"/>
  <c r="I23" i="5" s="1"/>
  <c r="B6" i="9"/>
  <c r="B6" i="10"/>
  <c r="A3" i="11"/>
  <c r="I7" i="9"/>
  <c r="H7" i="9"/>
  <c r="I8" i="8" l="1"/>
  <c r="D13" i="8" s="1"/>
  <c r="D8" i="9"/>
  <c r="F11" i="12"/>
  <c r="J11" i="12" s="1"/>
  <c r="I24" i="5"/>
  <c r="I22" i="5"/>
  <c r="J10" i="12"/>
  <c r="I20" i="5"/>
  <c r="J9" i="12"/>
  <c r="I18" i="5"/>
  <c r="J8" i="12"/>
  <c r="A4" i="6"/>
  <c r="A6" i="4"/>
  <c r="I15" i="5"/>
  <c r="F7" i="12" s="1"/>
  <c r="I13" i="5"/>
  <c r="I10" i="5"/>
  <c r="B8" i="3" s="1"/>
  <c r="H9" i="5"/>
  <c r="I9" i="5" s="1"/>
  <c r="B9" i="3" s="1"/>
  <c r="J7" i="10"/>
  <c r="D10" i="10" s="1"/>
  <c r="A2" i="11"/>
  <c r="A3" i="10"/>
  <c r="A2" i="10"/>
  <c r="A3" i="9"/>
  <c r="A2" i="9"/>
  <c r="A3" i="8"/>
  <c r="A2" i="8"/>
  <c r="A3" i="6"/>
  <c r="A2" i="6"/>
  <c r="B2" i="5"/>
  <c r="A5" i="7"/>
  <c r="A2" i="7"/>
  <c r="A7" i="4"/>
  <c r="A5" i="4"/>
  <c r="A3" i="4"/>
  <c r="E6" i="2"/>
  <c r="E7" i="2" s="1"/>
  <c r="I12" i="5"/>
  <c r="B11" i="3" s="1"/>
  <c r="C13" i="7" l="1"/>
  <c r="E12" i="1"/>
  <c r="H12" i="1" s="1"/>
  <c r="D11" i="4"/>
  <c r="F6" i="12"/>
  <c r="J6" i="12" s="1"/>
  <c r="I14" i="5"/>
  <c r="I16" i="5"/>
  <c r="J7" i="12"/>
  <c r="D8" i="10"/>
  <c r="S11" i="3"/>
  <c r="M9" i="3"/>
  <c r="I9" i="3"/>
  <c r="U9" i="3"/>
  <c r="O9" i="3"/>
  <c r="E10" i="3"/>
  <c r="S10" i="3"/>
  <c r="I10" i="3"/>
  <c r="M10" i="3"/>
  <c r="U10" i="3"/>
  <c r="S8" i="3"/>
  <c r="E8" i="3"/>
  <c r="W8" i="3"/>
  <c r="V24" i="3" s="1"/>
  <c r="U8" i="3"/>
  <c r="E9" i="3"/>
  <c r="G11" i="3"/>
  <c r="K11" i="3"/>
  <c r="O11" i="3"/>
  <c r="U11" i="3"/>
  <c r="Q8" i="3"/>
  <c r="P24" i="3" s="1"/>
  <c r="G9" i="3"/>
  <c r="K9" i="3"/>
  <c r="G10" i="3"/>
  <c r="K10" i="3"/>
  <c r="O10" i="3"/>
  <c r="E11" i="3"/>
  <c r="I11" i="3"/>
  <c r="M11" i="3"/>
  <c r="J12" i="12" l="1"/>
  <c r="A15" i="4"/>
  <c r="F12" i="1"/>
  <c r="R24" i="3"/>
  <c r="H24" i="3"/>
  <c r="F24" i="3"/>
  <c r="E11" i="2" s="1"/>
  <c r="E26" i="2" s="1"/>
  <c r="L24" i="3"/>
  <c r="D24" i="3"/>
  <c r="T24" i="3"/>
  <c r="N24" i="3"/>
  <c r="J24" i="3"/>
  <c r="E28" i="2" l="1"/>
  <c r="E30" i="2" s="1"/>
  <c r="D14" i="4"/>
  <c r="A14" i="4"/>
  <c r="D15" i="12"/>
  <c r="J15" i="12" s="1"/>
  <c r="J17" i="12" s="1"/>
  <c r="E11" i="4"/>
  <c r="E32" i="2" l="1"/>
  <c r="D15" i="4" s="1"/>
  <c r="E15" i="4" s="1"/>
  <c r="E14" i="4"/>
  <c r="F12" i="4"/>
  <c r="F16" i="4" l="1"/>
  <c r="L14" i="1" l="1"/>
  <c r="E14" i="1" s="1"/>
  <c r="F14" i="1" s="1"/>
  <c r="F16" i="1" s="1"/>
  <c r="H14" i="1" l="1"/>
  <c r="I14" i="1" s="1"/>
  <c r="I16" i="1" s="1"/>
  <c r="L17" i="1" s="1"/>
</calcChain>
</file>

<file path=xl/sharedStrings.xml><?xml version="1.0" encoding="utf-8"?>
<sst xmlns="http://schemas.openxmlformats.org/spreadsheetml/2006/main" count="678" uniqueCount="292">
  <si>
    <t>รายการ</t>
  </si>
  <si>
    <t>จำนวน</t>
  </si>
  <si>
    <t>หน่วย</t>
  </si>
  <si>
    <t>ค่าแรงงาน</t>
  </si>
  <si>
    <t>หมายเหตุ</t>
  </si>
  <si>
    <t>จำนวนเงิน</t>
  </si>
  <si>
    <t>ปริมาณ</t>
  </si>
  <si>
    <t>ราคากลาง</t>
  </si>
  <si>
    <t>ราคากลางต่อหน่วย</t>
  </si>
  <si>
    <t>ค่างานต้นทุน</t>
  </si>
  <si>
    <t>ต่อหน่วย(บาท)</t>
  </si>
  <si>
    <t>ลำดับ</t>
  </si>
  <si>
    <t>ที่</t>
  </si>
  <si>
    <t>ถุง</t>
  </si>
  <si>
    <t>กก.</t>
  </si>
  <si>
    <t>ลบ.ม.</t>
  </si>
  <si>
    <t>ราคาค่าวัสดุก่อสร้าง</t>
  </si>
  <si>
    <t>ลบ.ฟ./ท่อน</t>
  </si>
  <si>
    <t>ลบ.ม./ท่อน</t>
  </si>
  <si>
    <t>ราคา/ท่อน</t>
  </si>
  <si>
    <t>ราคา(ลบ.ม.)</t>
  </si>
  <si>
    <t>รวม</t>
  </si>
  <si>
    <t>เฉลี่ย</t>
  </si>
  <si>
    <t>อัตราราคาวัสดุ</t>
  </si>
  <si>
    <t>ค่าวัสดุ</t>
  </si>
  <si>
    <t>ค่าขนส่ง</t>
  </si>
  <si>
    <t>รวมเงิน</t>
  </si>
  <si>
    <t>บาท/ตัน</t>
  </si>
  <si>
    <t>บาท/ลบ.ม.</t>
  </si>
  <si>
    <t>บาท / ตัน</t>
  </si>
  <si>
    <t>บาท</t>
  </si>
  <si>
    <t>ตารางคำนวณอัตราราคางานคอนกรีตและหิน</t>
  </si>
  <si>
    <t>งานก่อสร้างชลประทาน</t>
  </si>
  <si>
    <t>องค์ประกอบ</t>
  </si>
  <si>
    <t>งาน</t>
  </si>
  <si>
    <t>คอนกรีตล้วน</t>
  </si>
  <si>
    <t>คอนกรีตโครงสร้าง</t>
  </si>
  <si>
    <t>คอนกรีตดาด</t>
  </si>
  <si>
    <t>คอนกรีตหยาบ</t>
  </si>
  <si>
    <t>หินเรียง</t>
  </si>
  <si>
    <t>หินเรียงยาแนว</t>
  </si>
  <si>
    <t>หินก่อ</t>
  </si>
  <si>
    <t>หินทิ้ง</t>
  </si>
  <si>
    <t>ปนหินใหญ่</t>
  </si>
  <si>
    <t>140 KSC</t>
  </si>
  <si>
    <t>175 KSC</t>
  </si>
  <si>
    <t>210 KSC</t>
  </si>
  <si>
    <t>อัตราต่อหน่วย</t>
  </si>
  <si>
    <t>ราคา</t>
  </si>
  <si>
    <t>บาท/หน่วย</t>
  </si>
  <si>
    <t>วัสดุหลัก</t>
  </si>
  <si>
    <t>1.หินใหญ่</t>
  </si>
  <si>
    <t>-</t>
  </si>
  <si>
    <t>2.หินย่อย</t>
  </si>
  <si>
    <t>3.ทรายหยาบ</t>
  </si>
  <si>
    <t>4.ปูนซีเมนต์</t>
  </si>
  <si>
    <t>1.ค่าแรงงานทั่วไป</t>
  </si>
  <si>
    <t>เหมารวม</t>
  </si>
  <si>
    <t>2.ค่าผสมคอนกรีต</t>
  </si>
  <si>
    <t>3.ค่าเทคอนกรีต</t>
  </si>
  <si>
    <t>4.ค่าบ่มคอนกรีต</t>
  </si>
  <si>
    <t>ค่าใช้จ่ายอื่นๆ</t>
  </si>
  <si>
    <t>1.ค่าซ่อมเครื่องจักร</t>
  </si>
  <si>
    <t>2.ค่าน้ำมันเชื้อเพลิง</t>
  </si>
  <si>
    <t>3.ค่าอุปกรณ์ต่างๆ</t>
  </si>
  <si>
    <t>ราคารวม(บาท/ลบ.ม.)</t>
  </si>
  <si>
    <t>1.ราคาหิน,กรวด และทราย ให้ใช้ราคาที่แหล่งวัสดุจากสำนักดัชนีเศรษฐกิจการค้า กระทรวงพานิชย์ หรือสำนักงานพานิชย์ของจังหวัดที่มีแหล่งวัสดุอยู่ ซึ่งใกล้สถานที่ก่อสร้าง หากสำนักดัชนีเศรษฐกิจการค้าหรือสำนักงานพานิชย์</t>
  </si>
  <si>
    <t xml:space="preserve">   จังหวัด ไม่ได้กำหนดราคาวัสดุที่แหล่งไว้ ให้สืบราคาจากแหล่งโดยตรง  การคิดคำนวณค่าขนส่งให้คิดระยะทางจากแหล่งถึงสถานที่ก่อสร้าง</t>
  </si>
  <si>
    <t>2.ราคาปูนซีเมนต์ให้ใช้ราคาในจังหวัดจากสำนักดัชนีเศรษฐกิจการค้า กระทรวงพานิชย์ หรือสำนักงานพานิชย์จังหวัดแล้วแต่กรณี การคิดคำนวณค่าขนส่งให้คำนวณระยะทางจากจังหวัดถึงสถานที่ก่อสร้าง</t>
  </si>
  <si>
    <t>3.ราคาวัสดุหลักไม่รวมภาษีมูลค่าเพิ่ม</t>
  </si>
  <si>
    <t>4.ราคาวัสดุใช้ทศนิยม 2 ตำแหน่ง(ไม่ปัด) และผลรวมอัตราราคางานแต่ละรายการตัดทศนิยมทิ้ง(ไม่ปัด)</t>
  </si>
  <si>
    <t>5.ค่าเทคอนกรีตของงานคอนกรีตดาด ไม่รวมค่าแต่งผิวหน้าคอนกรีตดาด</t>
  </si>
  <si>
    <t>หลักเกณฑ์คำนวณการคำนวณราคาต้นทุนต่อหน่วย</t>
  </si>
  <si>
    <t xml:space="preserve"> กิจกรรมงานดิน</t>
  </si>
  <si>
    <t xml:space="preserve"> งานขุดดินด้วยเครื่องจักร</t>
  </si>
  <si>
    <t xml:space="preserve">   - ค่าขุดดินด้วยเครื่องจักร</t>
  </si>
  <si>
    <t>( 1 )</t>
  </si>
  <si>
    <t xml:space="preserve"> =</t>
  </si>
  <si>
    <t>บาท / ลบ.ม.</t>
  </si>
  <si>
    <t>( 2 )</t>
  </si>
  <si>
    <t>รวมทั้งสิ้น ( 1 ) + ( 2 )</t>
  </si>
  <si>
    <t>( 3 )</t>
  </si>
  <si>
    <t>( 4 )</t>
  </si>
  <si>
    <t xml:space="preserve"> กิจกรรมงานอาคาร</t>
  </si>
  <si>
    <t xml:space="preserve"> รางริน</t>
  </si>
  <si>
    <t xml:space="preserve"> งานคอนกรีตเสริมเหล็ก</t>
  </si>
  <si>
    <t xml:space="preserve">     - ราคาคอนกรีต</t>
  </si>
  <si>
    <t xml:space="preserve">        ( จากตารางคำนวณอัตราราคางานคอนกรีตและหิน )</t>
  </si>
  <si>
    <t xml:space="preserve">     - ค่างานไม้แบบ</t>
  </si>
  <si>
    <t xml:space="preserve">              ค่าแรงต่อรื้อแบบ</t>
  </si>
  <si>
    <t xml:space="preserve"> ( พ.ท.ไม้แบบ(ตร.ม.) x อัตราราคาค่าต่อรื้อแบบ )</t>
  </si>
  <si>
    <t xml:space="preserve"> บาท</t>
  </si>
  <si>
    <t xml:space="preserve">              ค่าไม้แบบ</t>
  </si>
  <si>
    <t xml:space="preserve">              รวม</t>
  </si>
  <si>
    <t xml:space="preserve"> บาท / ลบ.ม.</t>
  </si>
  <si>
    <t xml:space="preserve">              รวมทั้งสิ้น     =  ( ( 1 ) + ( 4 ) )</t>
  </si>
  <si>
    <t xml:space="preserve"> งานเหล็กเสริมคอนกรีต</t>
  </si>
  <si>
    <t xml:space="preserve"> บาท / กก.</t>
  </si>
  <si>
    <t xml:space="preserve">                         รวมทั้งสิ้น ( 1 ) + ( 2 ) +( 3 )</t>
  </si>
  <si>
    <t>กลุ่มงาน / งาน    ชลประทาน</t>
  </si>
  <si>
    <t>สรุปรายละเอียด</t>
  </si>
  <si>
    <t>อัตรา</t>
  </si>
  <si>
    <t xml:space="preserve"> -  งานคอนกรีตเสริมเหล็ก ( รวมไม้แบบ )</t>
  </si>
  <si>
    <t>ช่องที่ 1</t>
  </si>
  <si>
    <t>ช่องที่ 2</t>
  </si>
  <si>
    <t>ช่องที่ 3</t>
  </si>
  <si>
    <t>ช่องที่ 4</t>
  </si>
  <si>
    <t>ช่องที่ 5</t>
  </si>
  <si>
    <t>ช่องที่ 6</t>
  </si>
  <si>
    <t>ช่องที่ 7</t>
  </si>
  <si>
    <t>( บาท )</t>
  </si>
  <si>
    <t>ค่า Factor</t>
  </si>
  <si>
    <t xml:space="preserve">   - ค่าขนส่ง    -    กม.</t>
  </si>
  <si>
    <t xml:space="preserve">   - ค่าส่วนขยายตัว    0  x 1.25</t>
  </si>
  <si>
    <t xml:space="preserve"> งานคอนกรีตโครงสร้าง</t>
  </si>
  <si>
    <t xml:space="preserve"> - ดินขุด</t>
  </si>
  <si>
    <t xml:space="preserve">  กิจกรรมงานดิน</t>
  </si>
  <si>
    <t xml:space="preserve">  - รางส่งน้ำ</t>
  </si>
  <si>
    <t xml:space="preserve">  กิจกรรมงานอาคาร</t>
  </si>
  <si>
    <t>เมตร</t>
  </si>
  <si>
    <t>สรุปปริมาณงาน</t>
  </si>
  <si>
    <t>กิจกรรม</t>
  </si>
  <si>
    <t>ลำดับที่</t>
  </si>
  <si>
    <t>ปริมาตร / หน่วย</t>
  </si>
  <si>
    <t xml:space="preserve"> ค่าแรงต่อตั้งรื้อแบบ</t>
  </si>
  <si>
    <t xml:space="preserve"> ลบ.ม.</t>
  </si>
  <si>
    <t xml:space="preserve"> ตารางเมตร</t>
  </si>
  <si>
    <t>รายการคำนวณปริมาณเหล็กเสริมคอนกรีต</t>
  </si>
  <si>
    <t>กิโลกรัม</t>
  </si>
  <si>
    <t>ลูกบาศก์เมตร</t>
  </si>
  <si>
    <t>รายการคำนวณปริมาณดินขุด</t>
  </si>
  <si>
    <t>รายการคำนวณปริมาณคอนกรีต</t>
  </si>
  <si>
    <t>รายการคำนวณปริมาณไม้แบบ</t>
  </si>
  <si>
    <t>ตารางเมตร</t>
  </si>
  <si>
    <t>ค่าแรงต่อรื้อแบบ</t>
  </si>
  <si>
    <t>พื้นที่ไม้แบบทั้งหมด</t>
  </si>
  <si>
    <t>ปริมาณคอนกรีตทั้งหมด</t>
  </si>
  <si>
    <t>รายละเอียดราง</t>
  </si>
  <si>
    <t>ลึก</t>
  </si>
  <si>
    <t>หนา</t>
  </si>
  <si>
    <t>ยาว</t>
  </si>
  <si>
    <t>กว้าง</t>
  </si>
  <si>
    <t>พื้นกว้าง</t>
  </si>
  <si>
    <t>รางลึก</t>
  </si>
  <si>
    <t xml:space="preserve">  ดินขุด</t>
  </si>
  <si>
    <t xml:space="preserve">ตำแหน่งอาคาร     </t>
  </si>
  <si>
    <t>บาท/ถุง</t>
  </si>
  <si>
    <t>บาท/กก.</t>
  </si>
  <si>
    <t>ราคาไม้ต่อ ลบ.ม.</t>
  </si>
  <si>
    <t xml:space="preserve">    - ค่าเหล็กเสริมคอนกรีตรวมค่าขนส่งถึงสถานที่ก่อสร้าง ( 1 )</t>
  </si>
  <si>
    <t xml:space="preserve">    - ค่าเผื่อตัดเศษและสูญเสีย  ( 2 )</t>
  </si>
  <si>
    <t xml:space="preserve">     - ค่าดัดผูกเหล็ก รวมอุปกรณ์  ( 3 )</t>
  </si>
  <si>
    <t>ความกว้าง</t>
  </si>
  <si>
    <t>ความลึก</t>
  </si>
  <si>
    <t xml:space="preserve"> ไม้แบบ   ( ปริมาณไม้แบบ  1  ตร.ม.  = ปริมาตรไม้แบบ  1  ลบ.ฟ. )</t>
  </si>
  <si>
    <t xml:space="preserve">                 ( ปริมาตรไม้ 1 ลบ.ม. = ปริมาตรไม้  35.31   ลบ.ฟ. )</t>
  </si>
  <si>
    <t>บาท/ท่อน</t>
  </si>
  <si>
    <t>ระยะ</t>
  </si>
  <si>
    <t>ทาง กม.</t>
  </si>
  <si>
    <t>F ชลประทาน</t>
  </si>
  <si>
    <t xml:space="preserve">รายละเอียดประมาณราคาค่าก่อสร้าง </t>
  </si>
  <si>
    <t xml:space="preserve">   คอนกรีตผนังราง = ( ความลึก x ความหนา x ความยาว x จำนวนข้าง ) </t>
  </si>
  <si>
    <t>รางส่งน้ำ</t>
  </si>
  <si>
    <t xml:space="preserve"> ทรายหยาบ  </t>
  </si>
  <si>
    <t xml:space="preserve"> หินใหญ่</t>
  </si>
  <si>
    <t xml:space="preserve"> หินย่อย เบอร์ 1</t>
  </si>
  <si>
    <t xml:space="preserve"> ปูนซีเมนต์ปอร์ตแลนด์ ประเภท 1</t>
  </si>
  <si>
    <t xml:space="preserve"> ไม้แบบผนังด้านใน          = ( ความลึก x ความยาว x จำนวนข้างของผนัง ) </t>
  </si>
  <si>
    <t>สูง</t>
  </si>
  <si>
    <t>รายละเอียดผนังรางด้านใน</t>
  </si>
  <si>
    <t>รายละเอียดผนังรางด้านนอก</t>
  </si>
  <si>
    <t>ราคาเฉลี่ยไม้แบบ</t>
  </si>
  <si>
    <t xml:space="preserve">                           1 ลูกบาศก์ฟุต จึงเท่ากับ 30.48*30.48*30.48 = 28,316.85 ลูกบาศก์เซนติเมตร</t>
  </si>
  <si>
    <t xml:space="preserve">                           1 ลูกบาศก์เมตร มีค่าเท่ากับ 100*100*100 = 1,000,000 ลูกบาศก์เซนติเมตร</t>
  </si>
  <si>
    <t xml:space="preserve">                           1 ลบ.ม.มีค่าเท่ากับ 1,000,000/28,316.85 = 35.3147 ลูกบาศก์ฟุต (โดยประมาณ) </t>
  </si>
  <si>
    <t xml:space="preserve">
</t>
  </si>
  <si>
    <t xml:space="preserve"> ( ( 2 ) + ( 3 ) ) / ปริมาตรคอนกรีตโครงสร้างแต่ละแห่ง</t>
  </si>
  <si>
    <t xml:space="preserve">                           1 ฟุต = 30.48  ซม.  และ  1  นิ้ว  =  2.54  ซม.</t>
  </si>
  <si>
    <t>ม.</t>
  </si>
  <si>
    <t>RB 9</t>
  </si>
  <si>
    <t>RB 6</t>
  </si>
  <si>
    <t>รายละเอียด</t>
  </si>
  <si>
    <t xml:space="preserve">จำนวนเหล็กยาว(นอน) </t>
  </si>
  <si>
    <t xml:space="preserve"> - เหล็กวิ่งยาว</t>
  </si>
  <si>
    <t xml:space="preserve"> - เหล็กตั้งรูปตัว ยู</t>
  </si>
  <si>
    <t xml:space="preserve">      = จำนวนปลอก * ( ลึก + กว้าง + ลึก )</t>
  </si>
  <si>
    <t>เหล็ก  RB 9    หนักเส้นละ   4.99  กก. / 10  เมตร</t>
  </si>
  <si>
    <t>เหล็ก  RB 6    หนักเส้นละ   2.22  กก. / 10  เมตร</t>
  </si>
  <si>
    <t>งานเหล็กเสริมคอนกรีต</t>
  </si>
  <si>
    <t>เหล็กเส้นกลมผิวเรียบ  SR.24  ขนาด      6    มม.         =</t>
  </si>
  <si>
    <t>เหล็กเส้นกลมผิวเรียบ  SR.24  ขนาด      9    มม.         =</t>
  </si>
  <si>
    <t>เหล็กข้ออ้อย                 SD.30  ขนาด    12    มม.        =</t>
  </si>
  <si>
    <t>เหล็กข้ออ้อย                 SD.30  ขนาด    16    มม.        =</t>
  </si>
  <si>
    <t>เหล็กข้ออ้อย                 SD.30  ขนาด    20    มม.        =</t>
  </si>
  <si>
    <t>เหล็กข้ออ้อย                 SD.30  ขนาด    25    มม.        =</t>
  </si>
  <si>
    <t>÷</t>
  </si>
  <si>
    <t>บาท / กก.</t>
  </si>
  <si>
    <t xml:space="preserve">    - เฉลี่ยค่าเหล็กเสริมคอนกรีต</t>
  </si>
  <si>
    <t xml:space="preserve">    - ค่าเผื่อตัดเศษและสูญเสีย</t>
  </si>
  <si>
    <t xml:space="preserve">   = ( ค่าเหล็กเสริมคอนกรีต ) x  0.10</t>
  </si>
  <si>
    <t xml:space="preserve">   =</t>
  </si>
  <si>
    <t>x</t>
  </si>
  <si>
    <t>?</t>
  </si>
  <si>
    <t xml:space="preserve">    - ค่าแรงดัดผูกเหล็ก  รวมอุปกรณ์</t>
  </si>
  <si>
    <t>รวมทั้งสิ้น ( 1 ) + ( 2 ) + ( 3 )</t>
  </si>
  <si>
    <t>( แพร่ )</t>
  </si>
  <si>
    <t>( พย. )</t>
  </si>
  <si>
    <t xml:space="preserve"> -  งานเหล็กเสริมคอนกรีต </t>
  </si>
  <si>
    <t>6.ความสามารถรับแรงกดของคอนกรีตโครงสร้าง ทดสอบโดยแท่งคอนกรีตมาตรฐานรูปทรงกระบอก เมื่ออายุได้ 28 วัน ( หรือค่าแรงอัดต้องได้ไม่น้อยกว่า 75 % ของค่าแรงอัดประลัยต่ำสุดที่ระบุ  ที่อายุ 7 วัน )</t>
  </si>
  <si>
    <t>รายการราคาเหล็กเสริมโดยเฉลี่ย</t>
  </si>
  <si>
    <t xml:space="preserve">  - ดินขุด</t>
  </si>
  <si>
    <t>ค่าเหล็กเสริมคอนกรีตรวมค่าขนส่งถึงสถานที่ก่อสร้าง</t>
  </si>
  <si>
    <t xml:space="preserve"> ไม้แบบผนังด้านนอก       = ( ความลึก x ความยาวรวม x จำนวนข้างของผนัง ) </t>
  </si>
  <si>
    <t xml:space="preserve">      = จำนวนเหล็กนอนที่ใส่ * ความยาวรวมราง</t>
  </si>
  <si>
    <t xml:space="preserve">      = ( ความกว้างรางส่งน้ำ x ความลึก x ความยาวรวม ) * 20%</t>
  </si>
  <si>
    <t xml:space="preserve">     คอนกรีตพื้นราง = ( ความกว้างพื้นราง x ความหนา x ความยาวรวม ) </t>
  </si>
  <si>
    <t>ไม้ยางแปรรูป ( ขนาด 1 1/2" x 3" x 3.5-4 ม. )</t>
  </si>
  <si>
    <t>ไม้กระบาก ( ขนาด 1" x 6"-8" x 4 ม. )</t>
  </si>
  <si>
    <t xml:space="preserve"> เหล็กเสริมคอนกรีต</t>
  </si>
  <si>
    <t xml:space="preserve"> </t>
  </si>
  <si>
    <t>ราคาไม้(ลบ.ฟ.)</t>
  </si>
  <si>
    <r>
      <t xml:space="preserve"> ไม้กระบากไม่ไส ขนาด 1</t>
    </r>
    <r>
      <rPr>
        <sz val="12"/>
        <rFont val="TH SarabunPSK"/>
        <family val="2"/>
      </rPr>
      <t>"</t>
    </r>
    <r>
      <rPr>
        <sz val="16"/>
        <rFont val="TH SarabunPSK"/>
        <family val="2"/>
      </rPr>
      <t>x6</t>
    </r>
    <r>
      <rPr>
        <sz val="12"/>
        <rFont val="TH SarabunPSK"/>
        <family val="2"/>
      </rPr>
      <t>"</t>
    </r>
    <r>
      <rPr>
        <sz val="16"/>
        <rFont val="TH SarabunPSK"/>
        <family val="2"/>
      </rPr>
      <t xml:space="preserve"> ยาว 4-4.50 ม.</t>
    </r>
  </si>
  <si>
    <r>
      <t xml:space="preserve"> ไม้ยางไม่ไส ขนาด 11/2</t>
    </r>
    <r>
      <rPr>
        <sz val="12"/>
        <rFont val="TH SarabunPSK"/>
        <family val="2"/>
      </rPr>
      <t>"</t>
    </r>
    <r>
      <rPr>
        <sz val="16"/>
        <rFont val="TH SarabunPSK"/>
        <family val="2"/>
      </rPr>
      <t>x3</t>
    </r>
    <r>
      <rPr>
        <sz val="12"/>
        <rFont val="TH SarabunPSK"/>
        <family val="2"/>
      </rPr>
      <t>"</t>
    </r>
    <r>
      <rPr>
        <sz val="16"/>
        <rFont val="TH SarabunPSK"/>
        <family val="2"/>
      </rPr>
      <t xml:space="preserve"> ยาว 4-4.50 ม.</t>
    </r>
  </si>
  <si>
    <r>
      <rPr>
        <u/>
        <sz val="16"/>
        <rFont val="TH SarabunPSK"/>
        <family val="2"/>
      </rPr>
      <t xml:space="preserve">*หมายเหตุ* </t>
    </r>
    <r>
      <rPr>
        <sz val="16"/>
        <rFont val="TH SarabunPSK"/>
        <family val="2"/>
      </rPr>
      <t xml:space="preserve">   ปริมาตรไม้ 1 ลบ.ม. = ปริมาตรไม้  35.31   ลบ.ฟ. </t>
    </r>
  </si>
  <si>
    <r>
      <t xml:space="preserve">ระยะห่างเหล็ก </t>
    </r>
    <r>
      <rPr>
        <sz val="14"/>
        <color theme="1"/>
        <rFont val="TH SarabunPSK"/>
        <family val="2"/>
      </rPr>
      <t>U</t>
    </r>
  </si>
  <si>
    <t>พื้นหนา&amp;ผนังหนา</t>
  </si>
  <si>
    <t xml:space="preserve"> เหล็กเส้นกลมผิวเรียบ  SR 24   Ø  6  มม.</t>
  </si>
  <si>
    <t xml:space="preserve"> เหล็กเส้นกลมผิวเรียบ  SR 24   Ø  9  มม.</t>
  </si>
  <si>
    <t xml:space="preserve"> เหล็กเส้นกลมข้ออ้อย  SD 30   Ø  12  มม.</t>
  </si>
  <si>
    <t xml:space="preserve"> เหล็กเส้นกลมข้ออ้อย  SD 30   Ø  16  มม.</t>
  </si>
  <si>
    <t xml:space="preserve"> เหล็กเส้นกลมข้ออ้อย  SD 30   Ø  20  มม.</t>
  </si>
  <si>
    <t xml:space="preserve"> เหล็กเส้นกลมข้ออ้อย  SD 30   Ø  25  มม.</t>
  </si>
  <si>
    <t>.</t>
  </si>
  <si>
    <t xml:space="preserve">                                   = ( 0.50 x 0.10 x 146 )</t>
  </si>
  <si>
    <t xml:space="preserve">                                   = ((0.30 x 0.10 x 146 ) x 2 )</t>
  </si>
  <si>
    <t xml:space="preserve">       = 7 x 146</t>
  </si>
  <si>
    <t xml:space="preserve">      = ( 146 / 0.15 ) * ( 0.40 + 0.50 + 0.40 ) </t>
  </si>
  <si>
    <t xml:space="preserve">           รวมราคาทั้งสิ้น</t>
  </si>
  <si>
    <r>
      <t>*</t>
    </r>
    <r>
      <rPr>
        <u/>
        <sz val="16"/>
        <color theme="1"/>
        <rFont val="TH SarabunPSK"/>
        <family val="2"/>
      </rPr>
      <t>หมายเหตุ</t>
    </r>
    <r>
      <rPr>
        <sz val="16"/>
        <color theme="1"/>
        <rFont val="TH SarabunPSK"/>
        <family val="2"/>
      </rPr>
      <t>*    คิดปริมาตรดินขุดเพียง  20%</t>
    </r>
  </si>
  <si>
    <t xml:space="preserve">                                   = ( 1.20 x 0.10 x 45 )</t>
  </si>
  <si>
    <t xml:space="preserve">                                   = ((1.00 x 0.10 x 45 ) x 2 )</t>
  </si>
  <si>
    <t xml:space="preserve">       = 16 x 45</t>
  </si>
  <si>
    <t xml:space="preserve">      = ( 45 / 0.20 ) * ( 1.00 + 1.10 + 1.00 ) </t>
  </si>
  <si>
    <t>รวมไม้แบบทั้งหมด</t>
  </si>
  <si>
    <t xml:space="preserve">                     =    26.99  x 0.10</t>
  </si>
  <si>
    <t xml:space="preserve">  รวมค่างานต้นทุนทั้งสิ้น</t>
  </si>
  <si>
    <t>ลงชื่อ..............................................................ผู้อนุมัติ</t>
  </si>
  <si>
    <t>สถานที่ก่อสร้าง ต่อลำเหมืองคอนกรีตเดิม บ้านดอนมูล หมู่ที่ 16  ตำบลปง   อำเภอปง   จังหวัดพะเยา</t>
  </si>
  <si>
    <t xml:space="preserve">โครงการ  ก่อสร้างรางส่งน้ำคอนกรีตเสริมเหล็ก บ้านดอนมูล หมู่ที่ 16 </t>
  </si>
  <si>
    <t xml:space="preserve">ปริมาณงาน   ขนาดกว้าง  2.00  เมตร ยาว 240.00 เมตร  ลึก  1.00  เมตร  หนา   0.10   </t>
  </si>
  <si>
    <t xml:space="preserve">แบบเลขที่      เทศบาลตำบลแม่ยมกำหนด  </t>
  </si>
  <si>
    <t>คำนวณราคากลางโดย คณะกรรมการกำหนดราคากลางตามคำสั่งเทศบาลตำบลแม่ยมเลขที่ 262/2567 ลงวันที่ 25 เมษายน 2567</t>
  </si>
  <si>
    <t xml:space="preserve">แบบสรุปราคากลางงานก่อสร้างชลประทาน </t>
  </si>
  <si>
    <t>ตามประกาศอัตราดอกเบี้ยเงินกู้สำหรับใช้เป็นเกณฑ์ในการคำนวณราคากลางงงานก่อสร้าง และปรับปรุง  FACTOR- F ใหม่ ลงวันที่ 28 สิงหาคม 2566  ประเภทงานทาง</t>
  </si>
  <si>
    <t>ราคาวัสดุของจังหวัดพะเยา เดือน มี.ค. 2567 และราคาท้องตลาด</t>
  </si>
  <si>
    <t>เรียน  นายกเทศมนตรีตำบลแม่ยม</t>
  </si>
  <si>
    <t xml:space="preserve"> - คณะกรรมการกำหนดราคากลาง ตามคำสั่ง เทศบาลตำบลแม่ยม</t>
  </si>
  <si>
    <t xml:space="preserve"> - เห็นควรแจ้ง หน.จนท.พัสดุและผู้มีส่วนเกี่ยวข้องทราบและดำเนินการตามระเบียบต่อไป </t>
  </si>
  <si>
    <t xml:space="preserve">  ลงชื่อ....................................................ประธานกรรมการ          </t>
  </si>
  <si>
    <t xml:space="preserve">  ลงชื่อ....................................................กรรมการ          </t>
  </si>
  <si>
    <t xml:space="preserve">             ( นายธีรพงษ์  บุญทา )                                                                      </t>
  </si>
  <si>
    <t xml:space="preserve">  (ผู้ช่วยนายช่างโยธาเทศบาลตำบลแม่ยม )</t>
  </si>
  <si>
    <t xml:space="preserve">           ( นายณัฐ  อุทธิยัง )                                                                      </t>
  </si>
  <si>
    <t xml:space="preserve">        (ปลัดเทศบาลตำบลแม่ยม )</t>
  </si>
  <si>
    <t xml:space="preserve">       ( นายกาญจนภักษ์  มานะกูล )                                                                      </t>
  </si>
  <si>
    <t xml:space="preserve">  หัวหน้าสำนักปลัดเทศบาลตำบลแม่ยม )</t>
  </si>
  <si>
    <t xml:space="preserve">เลขที่ 262/2567  ลว. 25 เมษายน 2567 ได้คำนวณราคากลางเรียบร้อยแล้ว เห็นควรกำหนดเป็นราคากลางต่อไป        </t>
  </si>
  <si>
    <t>ราคาน้ำมันที่  อ.เมือง จ.พะเยา  31.00-31.99    บาท / ลิตร  ขนส่งบรรทุกโดยรถสิบล้อ</t>
  </si>
  <si>
    <t xml:space="preserve"> รางส่งน้ำเพื่อการเกษตร ขนาด 0.30 x 0.30 x 0 ม.</t>
  </si>
  <si>
    <t xml:space="preserve">                                               = ( 0.40 x 0 x 2 )</t>
  </si>
  <si>
    <t xml:space="preserve">                                               = ( 0.30 x 0 x 2 )</t>
  </si>
  <si>
    <t xml:space="preserve"> รางส่งน้ำคอนกรีตเสริมเหล็ก ขนาด 1.00 x 1.00 x 0 ม.</t>
  </si>
  <si>
    <t xml:space="preserve">                                               = ( 1.10 x 0 x 2 )</t>
  </si>
  <si>
    <t xml:space="preserve">                                               = ( 1.00 x 0 x 2 )</t>
  </si>
  <si>
    <t xml:space="preserve"> รางส่งน้ำคอนกรีตเสริมเหล็ก ขนาด 2.00 x 1.00 x 240 ม.</t>
  </si>
  <si>
    <t xml:space="preserve">                                               = ( 1.10 x 240 x 2 )</t>
  </si>
  <si>
    <t xml:space="preserve">                                               = ( 1.00 x 240 x 2 )</t>
  </si>
  <si>
    <t xml:space="preserve">      = (0.50 x 0.40 x 0 ) * 20%</t>
  </si>
  <si>
    <t xml:space="preserve">      = (1.20 x 1.10 x 0 ) * 20%</t>
  </si>
  <si>
    <t xml:space="preserve">      = (2.20 x 1.10 x 240 ) * 20%</t>
  </si>
  <si>
    <t xml:space="preserve">       = 21 x 240</t>
  </si>
  <si>
    <t xml:space="preserve">      = ( 240 / 0.20 ) * ( 1.00 + 2.10 + 1.00 ) </t>
  </si>
  <si>
    <t xml:space="preserve">                 ( พื้นที่ไม้แบบ =1,008 ตร.ม. )</t>
  </si>
  <si>
    <t>1,008 x 139</t>
  </si>
  <si>
    <t xml:space="preserve"> ( พื้นที่ไม้แบบ(ตร.ม.) x 0.06/10 ) x ( ราคาไม้แบบ/ลบ.ม. )</t>
  </si>
  <si>
    <t xml:space="preserve"> ( 1,008 x 0.06/10 ) x 23,166.00</t>
  </si>
  <si>
    <t xml:space="preserve">คำนวณราคาเมื่อวันที่   2   พฤษภาคม     2567    ใช้ราคาพาณิชย์ของจังหวัดพะเยาประจำเดือน    มีนาคม    2567  </t>
  </si>
  <si>
    <t xml:space="preserve">                                   = ( 2.20 x 0.10 x 240 )</t>
  </si>
  <si>
    <t xml:space="preserve">                                   = ((1.00 x 0.10 x 240 ) x 2 )</t>
  </si>
  <si>
    <t xml:space="preserve"> (140,112 + 140,107.96 ) / 100.80</t>
  </si>
  <si>
    <t xml:space="preserve">          (นายประดิษฐ     ชัยชนะ )</t>
  </si>
  <si>
    <t xml:space="preserve">         นายกเทศมนตรีตำบลแม่ยม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</si>
</sst>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(* #,##0.00_);_(* \(#,##0.00\);_(* &quot;-&quot;??_);_(@_)"/>
    <numFmt numFmtId="165" formatCode="_-* #,##0.0000_-;\-* #,##0.0000_-;_-* &quot;-&quot;??_-;_-@_-"/>
    <numFmt numFmtId="166" formatCode="0.0000000"/>
  </numFmts>
  <fonts count="33"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4"/>
      <color theme="1"/>
      <name val="AngsanaUPC"/>
      <family val="1"/>
    </font>
    <font>
      <b/>
      <sz val="14"/>
      <name val="TH SarabunPSK"/>
      <family val="2"/>
    </font>
    <font>
      <sz val="14"/>
      <name val="TH SarabunPSK"/>
      <family val="2"/>
    </font>
    <font>
      <sz val="14"/>
      <color theme="1"/>
      <name val="TH SarabunPSK"/>
      <family val="2"/>
    </font>
    <font>
      <sz val="14"/>
      <color indexed="8"/>
      <name val="TH SarabunPSK"/>
      <family val="2"/>
    </font>
    <font>
      <sz val="12"/>
      <color theme="1"/>
      <name val="TH SarabunPSK"/>
      <family val="2"/>
    </font>
    <font>
      <b/>
      <sz val="15"/>
      <name val="TH SarabunPSK"/>
      <family val="2"/>
    </font>
    <font>
      <sz val="15"/>
      <name val="TH SarabunPSK"/>
      <family val="2"/>
    </font>
    <font>
      <u/>
      <sz val="14"/>
      <name val="TH SarabunPSK"/>
      <family val="2"/>
    </font>
    <font>
      <sz val="8"/>
      <name val="TH SarabunPSK"/>
      <family val="2"/>
    </font>
    <font>
      <sz val="12"/>
      <name val="TH SarabunPSK"/>
      <family val="2"/>
    </font>
    <font>
      <sz val="10"/>
      <name val="TH SarabunPSK"/>
      <family val="2"/>
    </font>
    <font>
      <b/>
      <sz val="16"/>
      <name val="TH SarabunPSK"/>
      <family val="2"/>
    </font>
    <font>
      <b/>
      <u/>
      <sz val="12"/>
      <name val="TH SarabunPSK"/>
      <family val="2"/>
    </font>
    <font>
      <b/>
      <sz val="12"/>
      <name val="TH SarabunPSK"/>
      <family val="2"/>
    </font>
    <font>
      <sz val="16"/>
      <name val="TH SarabunPSK"/>
      <family val="2"/>
    </font>
    <font>
      <u/>
      <sz val="16"/>
      <name val="TH SarabunPSK"/>
      <family val="2"/>
    </font>
    <font>
      <sz val="16"/>
      <color theme="1"/>
      <name val="TH SarabunPSK"/>
      <family val="2"/>
    </font>
    <font>
      <sz val="11"/>
      <color theme="1"/>
      <name val="TH SarabunPSK"/>
      <family val="2"/>
    </font>
    <font>
      <sz val="8"/>
      <color theme="1"/>
      <name val="TH SarabunPSK"/>
      <family val="2"/>
    </font>
    <font>
      <u/>
      <sz val="16"/>
      <color theme="1"/>
      <name val="TH SarabunPSK"/>
      <family val="2"/>
    </font>
    <font>
      <sz val="15"/>
      <name val="AngsanaUPC"/>
      <family val="1"/>
    </font>
    <font>
      <sz val="14"/>
      <name val="Cordia New"/>
      <family val="2"/>
    </font>
    <font>
      <b/>
      <sz val="14"/>
      <color theme="1"/>
      <name val="TH SarabunPSK"/>
      <family val="2"/>
    </font>
    <font>
      <sz val="16"/>
      <name val="TH SarabunPSK"/>
      <family val="2"/>
      <charset val="222"/>
    </font>
    <font>
      <sz val="16"/>
      <color theme="1"/>
      <name val="TH SarabunPSK"/>
      <family val="2"/>
      <charset val="222"/>
    </font>
    <font>
      <sz val="16"/>
      <color theme="1"/>
      <name val="AngsanaUPC"/>
      <family val="1"/>
      <charset val="222"/>
    </font>
    <font>
      <sz val="16"/>
      <color rgb="FF000000"/>
      <name val="TH SarabunPSK"/>
      <family val="2"/>
      <charset val="222"/>
    </font>
    <font>
      <sz val="16"/>
      <color indexed="8"/>
      <name val="TH SarabunPSK"/>
      <family val="2"/>
    </font>
    <font>
      <b/>
      <u/>
      <sz val="16"/>
      <name val="TH SarabunPSK"/>
      <family val="2"/>
    </font>
    <font>
      <sz val="16"/>
      <color rgb="FF000000"/>
      <name val="TH SarabunPSK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23" fillId="0" borderId="0"/>
    <xf numFmtId="0" fontId="24" fillId="0" borderId="0"/>
  </cellStyleXfs>
  <cellXfs count="240">
    <xf numFmtId="0" fontId="0" fillId="0" borderId="0" xfId="0"/>
    <xf numFmtId="0" fontId="2" fillId="0" borderId="0" xfId="0" applyFont="1"/>
    <xf numFmtId="164" fontId="2" fillId="0" borderId="0" xfId="0" applyNumberFormat="1" applyFont="1"/>
    <xf numFmtId="0" fontId="4" fillId="2" borderId="0" xfId="0" applyFont="1" applyFill="1"/>
    <xf numFmtId="0" fontId="4" fillId="0" borderId="0" xfId="0" applyFont="1"/>
    <xf numFmtId="0" fontId="5" fillId="0" borderId="0" xfId="0" applyFont="1"/>
    <xf numFmtId="0" fontId="6" fillId="2" borderId="0" xfId="0" applyFont="1" applyFill="1"/>
    <xf numFmtId="0" fontId="6" fillId="2" borderId="5" xfId="0" applyFont="1" applyFill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164" fontId="5" fillId="0" borderId="0" xfId="0" applyNumberFormat="1" applyFont="1"/>
    <xf numFmtId="0" fontId="5" fillId="0" borderId="4" xfId="0" applyFont="1" applyBorder="1" applyAlignment="1">
      <alignment horizontal="center"/>
    </xf>
    <xf numFmtId="0" fontId="5" fillId="0" borderId="4" xfId="0" applyFont="1" applyBorder="1"/>
    <xf numFmtId="164" fontId="5" fillId="0" borderId="5" xfId="0" applyNumberFormat="1" applyFont="1" applyBorder="1"/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8" fillId="0" borderId="0" xfId="0" applyFont="1"/>
    <xf numFmtId="0" fontId="9" fillId="0" borderId="0" xfId="0" applyFont="1"/>
    <xf numFmtId="0" fontId="8" fillId="0" borderId="0" xfId="0" applyFont="1" applyAlignment="1">
      <alignment horizontal="center"/>
    </xf>
    <xf numFmtId="0" fontId="4" fillId="0" borderId="5" xfId="0" applyFont="1" applyBorder="1" applyAlignment="1">
      <alignment horizontal="center"/>
    </xf>
    <xf numFmtId="49" fontId="4" fillId="0" borderId="5" xfId="0" applyNumberFormat="1" applyFont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4" fillId="0" borderId="1" xfId="0" applyFont="1" applyBorder="1"/>
    <xf numFmtId="49" fontId="4" fillId="0" borderId="1" xfId="0" applyNumberFormat="1" applyFont="1" applyBorder="1"/>
    <xf numFmtId="0" fontId="4" fillId="2" borderId="1" xfId="0" applyFont="1" applyFill="1" applyBorder="1"/>
    <xf numFmtId="164" fontId="4" fillId="0" borderId="6" xfId="1" applyFont="1" applyBorder="1"/>
    <xf numFmtId="0" fontId="4" fillId="0" borderId="6" xfId="0" applyFont="1" applyBorder="1"/>
    <xf numFmtId="49" fontId="4" fillId="0" borderId="6" xfId="0" applyNumberFormat="1" applyFont="1" applyBorder="1" applyAlignment="1">
      <alignment horizontal="center"/>
    </xf>
    <xf numFmtId="164" fontId="4" fillId="0" borderId="4" xfId="0" applyNumberFormat="1" applyFont="1" applyBorder="1"/>
    <xf numFmtId="164" fontId="4" fillId="2" borderId="4" xfId="1" applyFont="1" applyFill="1" applyBorder="1"/>
    <xf numFmtId="0" fontId="4" fillId="0" borderId="4" xfId="0" applyFont="1" applyBorder="1"/>
    <xf numFmtId="0" fontId="4" fillId="2" borderId="6" xfId="0" applyFont="1" applyFill="1" applyBorder="1"/>
    <xf numFmtId="164" fontId="4" fillId="0" borderId="14" xfId="0" applyNumberFormat="1" applyFont="1" applyBorder="1"/>
    <xf numFmtId="164" fontId="4" fillId="0" borderId="6" xfId="0" applyNumberFormat="1" applyFont="1" applyBorder="1"/>
    <xf numFmtId="164" fontId="4" fillId="2" borderId="6" xfId="1" applyFont="1" applyFill="1" applyBorder="1"/>
    <xf numFmtId="164" fontId="4" fillId="0" borderId="4" xfId="1" applyFont="1" applyBorder="1"/>
    <xf numFmtId="49" fontId="4" fillId="0" borderId="6" xfId="0" applyNumberFormat="1" applyFont="1" applyBorder="1"/>
    <xf numFmtId="164" fontId="4" fillId="0" borderId="7" xfId="0" applyNumberFormat="1" applyFont="1" applyBorder="1"/>
    <xf numFmtId="0" fontId="11" fillId="0" borderId="4" xfId="0" applyFont="1" applyBorder="1"/>
    <xf numFmtId="49" fontId="11" fillId="0" borderId="4" xfId="0" applyNumberFormat="1" applyFont="1" applyBorder="1"/>
    <xf numFmtId="0" fontId="11" fillId="2" borderId="4" xfId="0" applyFont="1" applyFill="1" applyBorder="1"/>
    <xf numFmtId="0" fontId="11" fillId="0" borderId="0" xfId="0" applyFont="1"/>
    <xf numFmtId="49" fontId="4" fillId="0" borderId="0" xfId="0" applyNumberFormat="1" applyFont="1"/>
    <xf numFmtId="0" fontId="12" fillId="0" borderId="0" xfId="0" applyFont="1"/>
    <xf numFmtId="49" fontId="12" fillId="0" borderId="0" xfId="0" applyNumberFormat="1" applyFont="1"/>
    <xf numFmtId="164" fontId="4" fillId="0" borderId="0" xfId="0" applyNumberFormat="1" applyFont="1"/>
    <xf numFmtId="164" fontId="4" fillId="0" borderId="0" xfId="1" applyFont="1"/>
    <xf numFmtId="0" fontId="13" fillId="0" borderId="0" xfId="0" applyFont="1" applyAlignment="1">
      <alignment horizontal="center"/>
    </xf>
    <xf numFmtId="164" fontId="13" fillId="0" borderId="0" xfId="1" applyFont="1"/>
    <xf numFmtId="0" fontId="13" fillId="0" borderId="0" xfId="0" applyFont="1"/>
    <xf numFmtId="0" fontId="3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16" fontId="4" fillId="0" borderId="0" xfId="0" applyNumberFormat="1" applyFont="1" applyAlignment="1">
      <alignment horizontal="left"/>
    </xf>
    <xf numFmtId="49" fontId="4" fillId="0" borderId="0" xfId="0" applyNumberFormat="1" applyFont="1" applyAlignment="1">
      <alignment horizontal="center"/>
    </xf>
    <xf numFmtId="164" fontId="5" fillId="3" borderId="0" xfId="1" applyFont="1" applyFill="1" applyBorder="1" applyAlignment="1">
      <alignment horizontal="center"/>
    </xf>
    <xf numFmtId="164" fontId="4" fillId="0" borderId="0" xfId="1" applyFont="1" applyBorder="1" applyAlignment="1">
      <alignment horizontal="center"/>
    </xf>
    <xf numFmtId="164" fontId="5" fillId="0" borderId="13" xfId="0" applyNumberFormat="1" applyFont="1" applyBorder="1"/>
    <xf numFmtId="164" fontId="5" fillId="0" borderId="0" xfId="1" applyFont="1" applyBorder="1"/>
    <xf numFmtId="164" fontId="5" fillId="0" borderId="13" xfId="1" applyFont="1" applyBorder="1"/>
    <xf numFmtId="164" fontId="5" fillId="0" borderId="0" xfId="1" applyFont="1"/>
    <xf numFmtId="0" fontId="4" fillId="3" borderId="0" xfId="0" applyFont="1" applyFill="1"/>
    <xf numFmtId="0" fontId="5" fillId="3" borderId="0" xfId="0" applyFont="1" applyFill="1" applyAlignment="1">
      <alignment horizontal="center"/>
    </xf>
    <xf numFmtId="0" fontId="5" fillId="3" borderId="0" xfId="0" applyFont="1" applyFill="1"/>
    <xf numFmtId="0" fontId="4" fillId="4" borderId="0" xfId="0" applyFont="1" applyFill="1"/>
    <xf numFmtId="0" fontId="5" fillId="4" borderId="0" xfId="0" applyFont="1" applyFill="1"/>
    <xf numFmtId="0" fontId="12" fillId="0" borderId="1" xfId="0" applyFont="1" applyBorder="1" applyAlignment="1">
      <alignment horizontal="center"/>
    </xf>
    <xf numFmtId="0" fontId="12" fillId="0" borderId="4" xfId="0" applyFont="1" applyBorder="1"/>
    <xf numFmtId="0" fontId="12" fillId="0" borderId="4" xfId="0" applyFont="1" applyBorder="1" applyAlignment="1">
      <alignment horizontal="center"/>
    </xf>
    <xf numFmtId="0" fontId="15" fillId="0" borderId="1" xfId="0" applyFont="1" applyBorder="1"/>
    <xf numFmtId="0" fontId="12" fillId="0" borderId="1" xfId="0" applyFont="1" applyBorder="1"/>
    <xf numFmtId="0" fontId="12" fillId="0" borderId="6" xfId="0" applyFont="1" applyBorder="1"/>
    <xf numFmtId="4" fontId="12" fillId="0" borderId="6" xfId="0" applyNumberFormat="1" applyFont="1" applyBorder="1"/>
    <xf numFmtId="0" fontId="12" fillId="0" borderId="6" xfId="0" applyFont="1" applyBorder="1" applyAlignment="1">
      <alignment horizontal="center"/>
    </xf>
    <xf numFmtId="2" fontId="12" fillId="0" borderId="6" xfId="0" applyNumberFormat="1" applyFont="1" applyBorder="1" applyAlignment="1">
      <alignment horizontal="center"/>
    </xf>
    <xf numFmtId="0" fontId="12" fillId="0" borderId="6" xfId="1" applyNumberFormat="1" applyFont="1" applyBorder="1" applyAlignment="1">
      <alignment horizontal="center"/>
    </xf>
    <xf numFmtId="2" fontId="12" fillId="0" borderId="6" xfId="0" applyNumberFormat="1" applyFont="1" applyBorder="1"/>
    <xf numFmtId="0" fontId="15" fillId="0" borderId="6" xfId="0" applyFont="1" applyBorder="1"/>
    <xf numFmtId="0" fontId="12" fillId="0" borderId="5" xfId="0" applyFont="1" applyBorder="1"/>
    <xf numFmtId="0" fontId="16" fillId="0" borderId="0" xfId="0" applyFont="1"/>
    <xf numFmtId="0" fontId="12" fillId="0" borderId="0" xfId="0" applyFont="1" applyAlignment="1">
      <alignment wrapText="1"/>
    </xf>
    <xf numFmtId="0" fontId="17" fillId="0" borderId="0" xfId="0" applyFont="1"/>
    <xf numFmtId="0" fontId="17" fillId="0" borderId="5" xfId="0" applyFont="1" applyBorder="1" applyAlignment="1">
      <alignment horizontal="center"/>
    </xf>
    <xf numFmtId="0" fontId="17" fillId="0" borderId="5" xfId="0" applyFont="1" applyBorder="1"/>
    <xf numFmtId="165" fontId="17" fillId="0" borderId="5" xfId="1" applyNumberFormat="1" applyFont="1" applyBorder="1"/>
    <xf numFmtId="164" fontId="17" fillId="3" borderId="5" xfId="1" applyFont="1" applyFill="1" applyBorder="1"/>
    <xf numFmtId="164" fontId="17" fillId="0" borderId="5" xfId="0" applyNumberFormat="1" applyFont="1" applyBorder="1"/>
    <xf numFmtId="164" fontId="17" fillId="0" borderId="5" xfId="1" applyFont="1" applyBorder="1"/>
    <xf numFmtId="0" fontId="17" fillId="0" borderId="2" xfId="0" applyFont="1" applyBorder="1" applyAlignment="1">
      <alignment horizontal="center"/>
    </xf>
    <xf numFmtId="0" fontId="17" fillId="0" borderId="3" xfId="0" applyFont="1" applyBorder="1" applyAlignment="1">
      <alignment horizontal="center"/>
    </xf>
    <xf numFmtId="166" fontId="17" fillId="0" borderId="0" xfId="0" applyNumberFormat="1" applyFont="1"/>
    <xf numFmtId="0" fontId="17" fillId="0" borderId="2" xfId="0" applyFont="1" applyBorder="1"/>
    <xf numFmtId="0" fontId="17" fillId="0" borderId="3" xfId="0" applyFont="1" applyBorder="1"/>
    <xf numFmtId="0" fontId="17" fillId="0" borderId="0" xfId="0" applyFont="1" applyAlignment="1">
      <alignment horizontal="left"/>
    </xf>
    <xf numFmtId="0" fontId="19" fillId="0" borderId="0" xfId="0" applyFont="1"/>
    <xf numFmtId="0" fontId="17" fillId="0" borderId="0" xfId="0" applyFont="1" applyAlignment="1">
      <alignment wrapText="1"/>
    </xf>
    <xf numFmtId="0" fontId="20" fillId="0" borderId="0" xfId="0" applyFont="1"/>
    <xf numFmtId="0" fontId="21" fillId="0" borderId="0" xfId="0" applyFont="1"/>
    <xf numFmtId="0" fontId="5" fillId="0" borderId="5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164" fontId="5" fillId="0" borderId="1" xfId="0" applyNumberFormat="1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6" xfId="0" applyFont="1" applyBorder="1"/>
    <xf numFmtId="164" fontId="5" fillId="0" borderId="6" xfId="1" applyFont="1" applyBorder="1" applyAlignment="1">
      <alignment horizontal="center"/>
    </xf>
    <xf numFmtId="164" fontId="5" fillId="0" borderId="6" xfId="0" applyNumberFormat="1" applyFont="1" applyBorder="1"/>
    <xf numFmtId="0" fontId="19" fillId="0" borderId="0" xfId="0" applyFont="1" applyAlignment="1">
      <alignment horizontal="center"/>
    </xf>
    <xf numFmtId="0" fontId="19" fillId="0" borderId="5" xfId="0" applyFont="1" applyBorder="1" applyAlignment="1">
      <alignment horizontal="center"/>
    </xf>
    <xf numFmtId="0" fontId="19" fillId="0" borderId="1" xfId="0" applyFont="1" applyBorder="1" applyAlignment="1">
      <alignment horizontal="center"/>
    </xf>
    <xf numFmtId="0" fontId="19" fillId="3" borderId="1" xfId="0" applyFont="1" applyFill="1" applyBorder="1"/>
    <xf numFmtId="164" fontId="19" fillId="0" borderId="1" xfId="1" applyFont="1" applyBorder="1"/>
    <xf numFmtId="0" fontId="19" fillId="0" borderId="6" xfId="0" applyFont="1" applyBorder="1" applyAlignment="1">
      <alignment horizontal="center"/>
    </xf>
    <xf numFmtId="0" fontId="19" fillId="0" borderId="6" xfId="0" applyFont="1" applyBorder="1"/>
    <xf numFmtId="164" fontId="19" fillId="0" borderId="6" xfId="1" applyFont="1" applyBorder="1"/>
    <xf numFmtId="164" fontId="19" fillId="0" borderId="0" xfId="1" applyFont="1"/>
    <xf numFmtId="0" fontId="19" fillId="4" borderId="6" xfId="0" applyFont="1" applyFill="1" applyBorder="1"/>
    <xf numFmtId="164" fontId="19" fillId="4" borderId="0" xfId="1" applyFont="1" applyFill="1"/>
    <xf numFmtId="0" fontId="19" fillId="4" borderId="0" xfId="0" applyFont="1" applyFill="1"/>
    <xf numFmtId="0" fontId="19" fillId="0" borderId="5" xfId="0" applyFont="1" applyBorder="1"/>
    <xf numFmtId="164" fontId="19" fillId="0" borderId="5" xfId="1" applyFont="1" applyBorder="1"/>
    <xf numFmtId="164" fontId="19" fillId="0" borderId="0" xfId="1" applyFont="1" applyAlignment="1">
      <alignment horizontal="center"/>
    </xf>
    <xf numFmtId="0" fontId="19" fillId="3" borderId="1" xfId="0" applyFont="1" applyFill="1" applyBorder="1" applyAlignment="1">
      <alignment horizontal="center"/>
    </xf>
    <xf numFmtId="0" fontId="19" fillId="3" borderId="10" xfId="0" applyFont="1" applyFill="1" applyBorder="1"/>
    <xf numFmtId="0" fontId="19" fillId="0" borderId="15" xfId="0" applyFont="1" applyBorder="1"/>
    <xf numFmtId="0" fontId="19" fillId="0" borderId="15" xfId="0" applyFont="1" applyBorder="1" applyAlignment="1">
      <alignment horizontal="center"/>
    </xf>
    <xf numFmtId="0" fontId="19" fillId="4" borderId="15" xfId="0" applyFont="1" applyFill="1" applyBorder="1"/>
    <xf numFmtId="3" fontId="5" fillId="0" borderId="0" xfId="0" applyNumberFormat="1" applyFont="1" applyAlignment="1">
      <alignment horizontal="center"/>
    </xf>
    <xf numFmtId="164" fontId="5" fillId="0" borderId="16" xfId="0" applyNumberFormat="1" applyFont="1" applyBorder="1"/>
    <xf numFmtId="164" fontId="5" fillId="0" borderId="17" xfId="1" applyFont="1" applyBorder="1"/>
    <xf numFmtId="49" fontId="5" fillId="0" borderId="0" xfId="0" applyNumberFormat="1" applyFont="1" applyAlignment="1">
      <alignment horizontal="center"/>
    </xf>
    <xf numFmtId="0" fontId="5" fillId="0" borderId="16" xfId="0" applyFont="1" applyBorder="1" applyAlignment="1">
      <alignment horizontal="center"/>
    </xf>
    <xf numFmtId="2" fontId="5" fillId="0" borderId="0" xfId="0" applyNumberFormat="1" applyFont="1" applyAlignment="1">
      <alignment horizontal="center"/>
    </xf>
    <xf numFmtId="164" fontId="5" fillId="0" borderId="17" xfId="0" applyNumberFormat="1" applyFont="1" applyBorder="1"/>
    <xf numFmtId="0" fontId="5" fillId="0" borderId="17" xfId="0" applyFont="1" applyBorder="1"/>
    <xf numFmtId="164" fontId="5" fillId="0" borderId="18" xfId="0" applyNumberFormat="1" applyFont="1" applyBorder="1"/>
    <xf numFmtId="164" fontId="4" fillId="0" borderId="1" xfId="1" applyFont="1" applyBorder="1"/>
    <xf numFmtId="164" fontId="4" fillId="0" borderId="1" xfId="0" applyNumberFormat="1" applyFont="1" applyBorder="1"/>
    <xf numFmtId="164" fontId="5" fillId="3" borderId="16" xfId="0" applyNumberFormat="1" applyFont="1" applyFill="1" applyBorder="1"/>
    <xf numFmtId="164" fontId="5" fillId="3" borderId="16" xfId="0" applyNumberFormat="1" applyFont="1" applyFill="1" applyBorder="1" applyAlignment="1">
      <alignment horizontal="center"/>
    </xf>
    <xf numFmtId="164" fontId="19" fillId="3" borderId="0" xfId="1" applyFont="1" applyFill="1"/>
    <xf numFmtId="0" fontId="20" fillId="4" borderId="0" xfId="0" applyFont="1" applyFill="1"/>
    <xf numFmtId="0" fontId="6" fillId="2" borderId="19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/>
    </xf>
    <xf numFmtId="0" fontId="5" fillId="0" borderId="21" xfId="0" applyFont="1" applyBorder="1"/>
    <xf numFmtId="0" fontId="4" fillId="0" borderId="19" xfId="0" applyFont="1" applyBorder="1" applyAlignment="1">
      <alignment horizontal="center"/>
    </xf>
    <xf numFmtId="0" fontId="4" fillId="0" borderId="22" xfId="0" applyFont="1" applyBorder="1" applyAlignment="1">
      <alignment horizontal="left" vertical="center"/>
    </xf>
    <xf numFmtId="0" fontId="4" fillId="0" borderId="19" xfId="0" applyFont="1" applyBorder="1" applyAlignment="1">
      <alignment horizontal="center" vertical="center"/>
    </xf>
    <xf numFmtId="164" fontId="4" fillId="0" borderId="19" xfId="1" applyFont="1" applyBorder="1" applyAlignment="1">
      <alignment horizontal="center"/>
    </xf>
    <xf numFmtId="0" fontId="5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/>
    </xf>
    <xf numFmtId="0" fontId="4" fillId="0" borderId="23" xfId="0" applyFont="1" applyBorder="1" applyAlignment="1">
      <alignment horizontal="left" vertical="center"/>
    </xf>
    <xf numFmtId="164" fontId="4" fillId="0" borderId="20" xfId="1" applyFont="1" applyBorder="1" applyAlignment="1">
      <alignment horizontal="center" vertical="center"/>
    </xf>
    <xf numFmtId="164" fontId="4" fillId="0" borderId="20" xfId="1" applyFont="1" applyBorder="1" applyAlignment="1">
      <alignment horizontal="center"/>
    </xf>
    <xf numFmtId="0" fontId="7" fillId="0" borderId="20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164" fontId="5" fillId="0" borderId="24" xfId="0" applyNumberFormat="1" applyFont="1" applyBorder="1"/>
    <xf numFmtId="0" fontId="5" fillId="0" borderId="21" xfId="0" applyFont="1" applyBorder="1" applyAlignment="1">
      <alignment horizontal="center"/>
    </xf>
    <xf numFmtId="0" fontId="5" fillId="0" borderId="25" xfId="0" applyFont="1" applyBorder="1" applyAlignment="1">
      <alignment horizontal="left"/>
    </xf>
    <xf numFmtId="164" fontId="5" fillId="0" borderId="21" xfId="1" applyFont="1" applyBorder="1"/>
    <xf numFmtId="164" fontId="5" fillId="0" borderId="26" xfId="0" applyNumberFormat="1" applyFont="1" applyBorder="1"/>
    <xf numFmtId="164" fontId="4" fillId="0" borderId="19" xfId="1" applyFont="1" applyBorder="1" applyAlignment="1">
      <alignment horizontal="right" vertical="center"/>
    </xf>
    <xf numFmtId="164" fontId="4" fillId="0" borderId="20" xfId="1" applyFont="1" applyBorder="1" applyAlignment="1">
      <alignment horizontal="right" vertical="center"/>
    </xf>
    <xf numFmtId="164" fontId="5" fillId="0" borderId="21" xfId="1" applyFont="1" applyBorder="1" applyAlignment="1">
      <alignment horizontal="right"/>
    </xf>
    <xf numFmtId="43" fontId="19" fillId="0" borderId="5" xfId="1" applyNumberFormat="1" applyFont="1" applyBorder="1"/>
    <xf numFmtId="0" fontId="26" fillId="0" borderId="0" xfId="0" applyFont="1"/>
    <xf numFmtId="0" fontId="27" fillId="0" borderId="0" xfId="0" applyFont="1"/>
    <xf numFmtId="0" fontId="28" fillId="0" borderId="0" xfId="0" applyFont="1"/>
    <xf numFmtId="0" fontId="26" fillId="0" borderId="0" xfId="0" applyFont="1" applyAlignment="1">
      <alignment horizontal="left" vertical="center" readingOrder="1"/>
    </xf>
    <xf numFmtId="0" fontId="29" fillId="0" borderId="0" xfId="0" applyFont="1" applyAlignment="1">
      <alignment horizontal="left" vertical="center" readingOrder="1"/>
    </xf>
    <xf numFmtId="0" fontId="29" fillId="0" borderId="0" xfId="0" applyFont="1" applyAlignment="1">
      <alignment vertical="center" readingOrder="1"/>
    </xf>
    <xf numFmtId="0" fontId="26" fillId="0" borderId="0" xfId="0" applyFont="1" applyAlignment="1">
      <alignment horizontal="center"/>
    </xf>
    <xf numFmtId="164" fontId="4" fillId="4" borderId="21" xfId="1" applyFont="1" applyFill="1" applyBorder="1"/>
    <xf numFmtId="164" fontId="25" fillId="0" borderId="7" xfId="0" applyNumberFormat="1" applyFont="1" applyBorder="1"/>
    <xf numFmtId="0" fontId="17" fillId="0" borderId="0" xfId="0" applyFont="1" applyAlignment="1">
      <alignment horizontal="center"/>
    </xf>
    <xf numFmtId="0" fontId="17" fillId="2" borderId="0" xfId="0" applyFont="1" applyFill="1"/>
    <xf numFmtId="0" fontId="17" fillId="0" borderId="0" xfId="0" applyFont="1" applyAlignment="1">
      <alignment horizontal="left" indent="12"/>
    </xf>
    <xf numFmtId="0" fontId="30" fillId="2" borderId="0" xfId="0" applyFont="1" applyFill="1"/>
    <xf numFmtId="0" fontId="31" fillId="0" borderId="0" xfId="0" applyFont="1"/>
    <xf numFmtId="0" fontId="17" fillId="4" borderId="0" xfId="0" applyFont="1" applyFill="1"/>
    <xf numFmtId="0" fontId="17" fillId="0" borderId="0" xfId="0" applyFont="1" applyAlignment="1">
      <alignment horizontal="left" vertical="center" readingOrder="1"/>
    </xf>
    <xf numFmtId="2" fontId="17" fillId="0" borderId="0" xfId="0" applyNumberFormat="1" applyFont="1"/>
    <xf numFmtId="0" fontId="14" fillId="0" borderId="0" xfId="0" applyFont="1" applyAlignment="1">
      <alignment horizontal="left" vertical="center" readingOrder="1"/>
    </xf>
    <xf numFmtId="0" fontId="17" fillId="4" borderId="0" xfId="0" applyFont="1" applyFill="1" applyAlignment="1">
      <alignment horizontal="left" vertical="center" readingOrder="1"/>
    </xf>
    <xf numFmtId="2" fontId="17" fillId="4" borderId="0" xfId="0" applyNumberFormat="1" applyFont="1" applyFill="1"/>
    <xf numFmtId="0" fontId="32" fillId="0" borderId="0" xfId="0" applyFont="1" applyAlignment="1">
      <alignment horizontal="left" vertical="center" readingOrder="1"/>
    </xf>
    <xf numFmtId="0" fontId="32" fillId="0" borderId="0" xfId="0" applyFont="1" applyAlignment="1">
      <alignment vertical="center" readingOrder="1"/>
    </xf>
    <xf numFmtId="0" fontId="14" fillId="0" borderId="0" xfId="2" applyFont="1" applyAlignment="1">
      <alignment vertical="center"/>
    </xf>
    <xf numFmtId="0" fontId="17" fillId="0" borderId="0" xfId="0" applyFont="1" applyAlignment="1">
      <alignment horizontal="centerContinuous"/>
    </xf>
    <xf numFmtId="0" fontId="17" fillId="0" borderId="0" xfId="2" applyFont="1" applyAlignment="1">
      <alignment vertical="center"/>
    </xf>
    <xf numFmtId="0" fontId="17" fillId="0" borderId="0" xfId="0" applyFont="1" applyAlignment="1">
      <alignment horizontal="left"/>
    </xf>
    <xf numFmtId="0" fontId="17" fillId="0" borderId="0" xfId="0" applyFont="1" applyAlignment="1">
      <alignment horizontal="center"/>
    </xf>
    <xf numFmtId="0" fontId="25" fillId="0" borderId="2" xfId="0" applyFont="1" applyBorder="1" applyAlignment="1">
      <alignment horizontal="center"/>
    </xf>
    <xf numFmtId="0" fontId="25" fillId="0" borderId="3" xfId="0" applyFont="1" applyBorder="1" applyAlignment="1">
      <alignment horizontal="center"/>
    </xf>
    <xf numFmtId="0" fontId="4" fillId="0" borderId="6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164" fontId="4" fillId="0" borderId="6" xfId="1" applyFont="1" applyBorder="1" applyAlignment="1">
      <alignment horizontal="right" vertical="center"/>
    </xf>
    <xf numFmtId="164" fontId="4" fillId="0" borderId="4" xfId="1" applyFont="1" applyBorder="1" applyAlignment="1">
      <alignment horizontal="right" vertical="center"/>
    </xf>
    <xf numFmtId="0" fontId="5" fillId="0" borderId="2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19" fillId="0" borderId="2" xfId="0" applyFont="1" applyBorder="1" applyAlignment="1">
      <alignment horizontal="center"/>
    </xf>
    <xf numFmtId="0" fontId="19" fillId="0" borderId="3" xfId="0" applyFont="1" applyBorder="1" applyAlignment="1">
      <alignment horizontal="center"/>
    </xf>
    <xf numFmtId="0" fontId="14" fillId="0" borderId="0" xfId="0" applyFont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10" fillId="0" borderId="13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2" fillId="0" borderId="1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/>
    </xf>
    <xf numFmtId="0" fontId="12" fillId="0" borderId="9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164" fontId="16" fillId="0" borderId="2" xfId="1" applyFont="1" applyBorder="1" applyAlignment="1">
      <alignment horizontal="center"/>
    </xf>
    <xf numFmtId="164" fontId="16" fillId="0" borderId="3" xfId="1" applyFont="1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7" fillId="0" borderId="2" xfId="0" applyFont="1" applyBorder="1" applyAlignment="1">
      <alignment horizontal="center"/>
    </xf>
    <xf numFmtId="0" fontId="17" fillId="0" borderId="3" xfId="0" applyFont="1" applyBorder="1" applyAlignment="1">
      <alignment horizontal="center"/>
    </xf>
    <xf numFmtId="0" fontId="19" fillId="0" borderId="0" xfId="0" applyFont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19" fillId="0" borderId="1" xfId="0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/>
    </xf>
  </cellXfs>
  <cellStyles count="4">
    <cellStyle name="จุลภาค" xfId="1" builtinId="3"/>
    <cellStyle name="ปกติ" xfId="0" builtinId="0"/>
    <cellStyle name="ปกติ 5" xfId="3" xr:uid="{00000000-0005-0000-0000-000002000000}"/>
    <cellStyle name="ปกติ_ราคากลาง_กิ่วคอหมา_2ธค47" xfId="2" xr:uid="{00000000-0005-0000-0000-000003000000}"/>
  </cellStyles>
  <dxfs count="0"/>
  <tableStyles count="0" defaultTableStyle="TableStyleMedium9" defaultPivotStyle="PivotStyleLight16"/>
  <colors>
    <mruColors>
      <color rgb="FFFFFF99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0"/>
  <sheetViews>
    <sheetView tabSelected="1" view="pageBreakPreview" topLeftCell="A16" zoomScaleNormal="100" zoomScaleSheetLayoutView="100" workbookViewId="0">
      <selection activeCell="C33" sqref="C33"/>
    </sheetView>
  </sheetViews>
  <sheetFormatPr defaultColWidth="9" defaultRowHeight="21"/>
  <cols>
    <col min="1" max="1" width="6" style="1" customWidth="1"/>
    <col min="2" max="2" width="39.85546875" style="1" customWidth="1"/>
    <col min="3" max="3" width="9" style="1" customWidth="1"/>
    <col min="4" max="4" width="8.85546875" style="1" customWidth="1"/>
    <col min="5" max="5" width="10.140625" style="1" customWidth="1"/>
    <col min="6" max="6" width="11.42578125" style="1" customWidth="1"/>
    <col min="7" max="7" width="10.5703125" style="1" customWidth="1"/>
    <col min="8" max="8" width="13" style="1" customWidth="1"/>
    <col min="9" max="9" width="11.28515625" style="1" customWidth="1"/>
    <col min="10" max="10" width="14.140625" style="1" customWidth="1"/>
    <col min="11" max="11" width="9" style="1"/>
    <col min="12" max="12" width="12.140625" style="1" customWidth="1"/>
    <col min="13" max="16384" width="9" style="1"/>
  </cols>
  <sheetData>
    <row r="1" spans="1:12" ht="24">
      <c r="A1" s="203" t="s">
        <v>252</v>
      </c>
      <c r="B1" s="203"/>
      <c r="C1" s="203"/>
      <c r="D1" s="203"/>
      <c r="E1" s="203"/>
      <c r="F1" s="203"/>
      <c r="G1" s="203"/>
      <c r="H1" s="203"/>
      <c r="I1" s="203"/>
      <c r="J1" s="203"/>
    </row>
    <row r="2" spans="1:12" ht="24">
      <c r="A2" s="176" t="s">
        <v>248</v>
      </c>
      <c r="B2" s="83"/>
      <c r="C2" s="83"/>
      <c r="D2" s="83"/>
      <c r="E2" s="83"/>
      <c r="F2" s="83"/>
      <c r="G2" s="83"/>
      <c r="H2" s="83"/>
      <c r="I2" s="83"/>
      <c r="J2" s="96"/>
    </row>
    <row r="3" spans="1:12" ht="24">
      <c r="A3" s="176" t="s">
        <v>249</v>
      </c>
      <c r="B3" s="83"/>
      <c r="C3" s="83"/>
      <c r="D3" s="83"/>
      <c r="E3" s="83"/>
      <c r="F3" s="83"/>
      <c r="G3" s="83"/>
      <c r="H3" s="83"/>
      <c r="I3" s="83"/>
      <c r="J3" s="96"/>
    </row>
    <row r="4" spans="1:12" ht="24">
      <c r="A4" s="176" t="s">
        <v>247</v>
      </c>
      <c r="B4" s="83"/>
      <c r="C4" s="177"/>
      <c r="D4" s="83"/>
      <c r="E4" s="96"/>
      <c r="F4" s="96"/>
      <c r="G4" s="96"/>
      <c r="H4" s="96"/>
      <c r="I4" s="96"/>
      <c r="J4" s="96"/>
    </row>
    <row r="5" spans="1:12" ht="24">
      <c r="A5" s="176" t="s">
        <v>250</v>
      </c>
      <c r="B5" s="83"/>
      <c r="C5" s="177"/>
      <c r="D5" s="83"/>
      <c r="E5" s="96"/>
      <c r="F5" s="96"/>
      <c r="G5" s="96"/>
      <c r="H5" s="96"/>
      <c r="I5" s="96"/>
      <c r="J5" s="96"/>
    </row>
    <row r="6" spans="1:12" ht="24">
      <c r="A6" s="178" t="s">
        <v>286</v>
      </c>
      <c r="B6" s="83"/>
      <c r="C6" s="83"/>
      <c r="D6" s="83"/>
      <c r="E6" s="83"/>
      <c r="F6" s="83"/>
      <c r="G6" s="96"/>
      <c r="H6" s="96"/>
      <c r="I6" s="96"/>
      <c r="J6" s="96"/>
      <c r="K6" s="168"/>
    </row>
    <row r="7" spans="1:12" ht="24">
      <c r="A7" s="178" t="s">
        <v>251</v>
      </c>
      <c r="B7" s="83"/>
      <c r="C7" s="83"/>
      <c r="D7" s="83"/>
      <c r="E7" s="83"/>
      <c r="F7" s="83"/>
      <c r="G7" s="96"/>
      <c r="H7" s="96"/>
      <c r="I7" s="96"/>
      <c r="J7" s="96"/>
      <c r="K7" s="168"/>
    </row>
    <row r="8" spans="1:12" ht="21.75">
      <c r="A8" s="7" t="s">
        <v>103</v>
      </c>
      <c r="B8" s="7" t="s">
        <v>104</v>
      </c>
      <c r="C8" s="7" t="s">
        <v>105</v>
      </c>
      <c r="D8" s="7" t="s">
        <v>106</v>
      </c>
      <c r="E8" s="7" t="s">
        <v>107</v>
      </c>
      <c r="F8" s="7" t="s">
        <v>108</v>
      </c>
      <c r="G8" s="211" t="s">
        <v>111</v>
      </c>
      <c r="H8" s="206" t="s">
        <v>109</v>
      </c>
      <c r="I8" s="207"/>
      <c r="J8" s="208" t="s">
        <v>4</v>
      </c>
    </row>
    <row r="9" spans="1:12" ht="21.75">
      <c r="A9" s="8" t="s">
        <v>11</v>
      </c>
      <c r="B9" s="195" t="s">
        <v>0</v>
      </c>
      <c r="C9" s="195" t="s">
        <v>6</v>
      </c>
      <c r="D9" s="197" t="s">
        <v>2</v>
      </c>
      <c r="E9" s="9" t="s">
        <v>9</v>
      </c>
      <c r="F9" s="10" t="s">
        <v>9</v>
      </c>
      <c r="G9" s="212"/>
      <c r="H9" s="204" t="s">
        <v>7</v>
      </c>
      <c r="I9" s="205"/>
      <c r="J9" s="209"/>
    </row>
    <row r="10" spans="1:12" ht="21.75">
      <c r="A10" s="11" t="s">
        <v>12</v>
      </c>
      <c r="B10" s="196"/>
      <c r="C10" s="196"/>
      <c r="D10" s="198"/>
      <c r="E10" s="11" t="s">
        <v>10</v>
      </c>
      <c r="F10" s="11" t="s">
        <v>110</v>
      </c>
      <c r="G10" s="213"/>
      <c r="H10" s="11" t="s">
        <v>8</v>
      </c>
      <c r="I10" s="11" t="s">
        <v>7</v>
      </c>
      <c r="J10" s="210"/>
    </row>
    <row r="11" spans="1:12" ht="21.75">
      <c r="A11" s="146">
        <v>1</v>
      </c>
      <c r="B11" s="147" t="s">
        <v>116</v>
      </c>
      <c r="C11" s="148"/>
      <c r="D11" s="162"/>
      <c r="E11" s="146"/>
      <c r="F11" s="149"/>
      <c r="G11" s="143"/>
      <c r="H11" s="149"/>
      <c r="I11" s="149"/>
      <c r="J11" s="150"/>
    </row>
    <row r="12" spans="1:12" ht="21.75">
      <c r="A12" s="151"/>
      <c r="B12" s="152" t="s">
        <v>210</v>
      </c>
      <c r="C12" s="153">
        <f>ปร.4!A11</f>
        <v>116.16000000000003</v>
      </c>
      <c r="D12" s="163" t="s">
        <v>15</v>
      </c>
      <c r="E12" s="154">
        <f>หลักเกณฑ์คำนวณ!E7</f>
        <v>18.59</v>
      </c>
      <c r="F12" s="154">
        <f>ROUNDDOWN(C12*E12,2)</f>
        <v>2159.41</v>
      </c>
      <c r="G12" s="144">
        <v>1.3391999999999999</v>
      </c>
      <c r="H12" s="154">
        <f>ROUNDDOWN(E12*G12,2)</f>
        <v>24.89</v>
      </c>
      <c r="I12" s="154">
        <v>922.07</v>
      </c>
      <c r="J12" s="155" t="s">
        <v>159</v>
      </c>
    </row>
    <row r="13" spans="1:12" ht="21.75">
      <c r="A13" s="151">
        <v>2</v>
      </c>
      <c r="B13" s="152" t="s">
        <v>118</v>
      </c>
      <c r="C13" s="153"/>
      <c r="D13" s="163"/>
      <c r="E13" s="154"/>
      <c r="F13" s="154"/>
      <c r="G13" s="144"/>
      <c r="H13" s="154"/>
      <c r="I13" s="154"/>
      <c r="J13" s="156"/>
    </row>
    <row r="14" spans="1:12" ht="21.75">
      <c r="A14" s="151"/>
      <c r="B14" s="152" t="s">
        <v>117</v>
      </c>
      <c r="C14" s="153">
        <f>คำนวณไม้แบบ!J19+คำนวณไม้แบบ!J15</f>
        <v>240</v>
      </c>
      <c r="D14" s="163" t="s">
        <v>119</v>
      </c>
      <c r="E14" s="157">
        <f>L14/C14</f>
        <v>2893.2881249999996</v>
      </c>
      <c r="F14" s="154">
        <f>ROUNDDOWN(C14*E14,2)</f>
        <v>694389.15</v>
      </c>
      <c r="G14" s="144">
        <v>1.3391999999999999</v>
      </c>
      <c r="H14" s="154">
        <f>ROUNDDOWN(E14*G14,2)</f>
        <v>3874.69</v>
      </c>
      <c r="I14" s="154">
        <f>ROUNDDOWN(C14*H14,2)</f>
        <v>929925.6</v>
      </c>
      <c r="J14" s="155" t="s">
        <v>159</v>
      </c>
      <c r="L14" s="2">
        <f>ปร.4!F16</f>
        <v>694389.14999999991</v>
      </c>
    </row>
    <row r="15" spans="1:12" ht="21.75">
      <c r="A15" s="158"/>
      <c r="B15" s="159"/>
      <c r="C15" s="160"/>
      <c r="D15" s="164"/>
      <c r="E15" s="173"/>
      <c r="F15" s="154"/>
      <c r="G15" s="144"/>
      <c r="H15" s="154"/>
      <c r="I15" s="154"/>
      <c r="J15" s="145"/>
    </row>
    <row r="16" spans="1:12" ht="24.75" thickBot="1">
      <c r="A16" s="5"/>
      <c r="B16" s="5"/>
      <c r="C16" s="5"/>
      <c r="D16" s="201" t="s">
        <v>245</v>
      </c>
      <c r="E16" s="202"/>
      <c r="F16" s="161">
        <f>SUM(F11:F15)</f>
        <v>696548.56</v>
      </c>
      <c r="G16" s="199" t="s">
        <v>237</v>
      </c>
      <c r="H16" s="200"/>
      <c r="I16" s="15">
        <f>SUM(I11:I15)</f>
        <v>930847.66999999993</v>
      </c>
      <c r="J16" s="5"/>
    </row>
    <row r="17" spans="1:13" ht="23.25" thickTop="1" thickBot="1">
      <c r="A17" s="5"/>
      <c r="B17" s="5"/>
      <c r="C17" s="5"/>
      <c r="D17" s="4"/>
      <c r="E17" s="5"/>
      <c r="F17" s="5"/>
      <c r="G17" s="193" t="s">
        <v>7</v>
      </c>
      <c r="H17" s="194"/>
      <c r="I17" s="174">
        <f>I16</f>
        <v>930847.66999999993</v>
      </c>
      <c r="J17" s="5"/>
      <c r="L17" s="2">
        <f>I17/คำนวณไม้แบบ!J19</f>
        <v>3878.531958333333</v>
      </c>
    </row>
    <row r="18" spans="1:13" ht="24.75" thickTop="1">
      <c r="A18" s="191" t="s">
        <v>253</v>
      </c>
      <c r="B18" s="191"/>
      <c r="C18" s="191"/>
      <c r="D18" s="191"/>
      <c r="E18" s="191"/>
      <c r="F18" s="191"/>
      <c r="G18" s="191"/>
      <c r="H18" s="191"/>
      <c r="I18" s="191"/>
      <c r="J18" s="191"/>
      <c r="K18" s="191"/>
      <c r="L18" s="83"/>
      <c r="M18" s="83"/>
    </row>
    <row r="19" spans="1:13" ht="24">
      <c r="A19" s="83" t="s">
        <v>254</v>
      </c>
      <c r="B19" s="83"/>
      <c r="C19" s="179"/>
      <c r="D19" s="180"/>
      <c r="E19" s="179"/>
      <c r="F19" s="83"/>
      <c r="G19" s="83"/>
      <c r="H19" s="192"/>
      <c r="I19" s="192"/>
      <c r="J19" s="192"/>
      <c r="K19" s="192"/>
      <c r="L19" s="192"/>
      <c r="M19" s="192"/>
    </row>
    <row r="20" spans="1:13" ht="24">
      <c r="A20" s="181"/>
      <c r="B20" s="83"/>
      <c r="C20" s="182"/>
      <c r="D20" s="83"/>
      <c r="E20" s="83"/>
      <c r="F20" s="83"/>
      <c r="G20" s="83"/>
      <c r="H20" s="83"/>
      <c r="I20" s="83"/>
      <c r="J20" s="83"/>
      <c r="K20" s="83"/>
      <c r="L20" s="83"/>
      <c r="M20" s="83"/>
    </row>
    <row r="21" spans="1:13" ht="24">
      <c r="A21" s="183" t="s">
        <v>255</v>
      </c>
      <c r="B21" s="83"/>
      <c r="C21" s="182"/>
      <c r="D21" s="83"/>
      <c r="E21" s="83"/>
      <c r="F21" s="83"/>
      <c r="G21" s="83"/>
      <c r="H21" s="83"/>
      <c r="I21" s="96"/>
      <c r="J21" s="96"/>
      <c r="K21" s="96"/>
      <c r="L21" s="83"/>
      <c r="M21" s="83"/>
    </row>
    <row r="22" spans="1:13" ht="24">
      <c r="A22" s="181" t="s">
        <v>256</v>
      </c>
      <c r="B22" s="83"/>
      <c r="C22" s="182"/>
      <c r="D22" s="83"/>
      <c r="E22" s="83"/>
      <c r="F22" s="83"/>
      <c r="G22" s="83"/>
      <c r="H22" s="83"/>
      <c r="I22" s="96"/>
      <c r="J22" s="96"/>
      <c r="K22" s="96"/>
      <c r="L22" s="83"/>
      <c r="M22" s="83"/>
    </row>
    <row r="23" spans="1:13" ht="24">
      <c r="A23" s="184" t="s">
        <v>266</v>
      </c>
      <c r="B23" s="180"/>
      <c r="C23" s="185"/>
      <c r="D23" s="180"/>
      <c r="E23" s="83"/>
      <c r="F23" s="83"/>
      <c r="G23" s="83"/>
      <c r="H23" s="83"/>
      <c r="I23" s="96"/>
      <c r="J23" s="96"/>
      <c r="K23" s="96"/>
      <c r="L23" s="83"/>
      <c r="M23" s="83"/>
    </row>
    <row r="24" spans="1:13" ht="24">
      <c r="A24" s="181" t="s">
        <v>257</v>
      </c>
      <c r="B24" s="83"/>
      <c r="C24" s="182"/>
      <c r="D24" s="83"/>
      <c r="E24" s="83"/>
      <c r="F24" s="83"/>
      <c r="G24" s="83"/>
      <c r="H24" s="83"/>
      <c r="I24" s="96"/>
      <c r="J24" s="96"/>
      <c r="K24" s="96"/>
      <c r="L24" s="83"/>
      <c r="M24" s="83"/>
    </row>
    <row r="25" spans="1:13" ht="24">
      <c r="A25" s="181"/>
      <c r="B25" s="83"/>
      <c r="C25" s="182"/>
      <c r="D25" s="83"/>
      <c r="E25" s="83"/>
      <c r="F25" s="83"/>
      <c r="G25" s="83"/>
      <c r="H25" s="83"/>
      <c r="I25" s="96"/>
      <c r="J25" s="96"/>
      <c r="K25" s="96"/>
      <c r="L25" s="83"/>
      <c r="M25" s="83"/>
    </row>
    <row r="26" spans="1:13" ht="24">
      <c r="A26" s="186" t="s">
        <v>258</v>
      </c>
      <c r="B26" s="83"/>
      <c r="C26" s="182"/>
      <c r="D26" s="83"/>
      <c r="E26" s="83" t="s">
        <v>246</v>
      </c>
      <c r="F26" s="186"/>
      <c r="G26" s="83"/>
      <c r="H26" s="182"/>
      <c r="I26" s="96"/>
      <c r="J26" s="96"/>
      <c r="K26" s="96"/>
      <c r="L26" s="83"/>
      <c r="M26" s="83"/>
    </row>
    <row r="27" spans="1:13" ht="24">
      <c r="A27" s="187" t="s">
        <v>262</v>
      </c>
      <c r="B27" s="187"/>
      <c r="C27" s="187"/>
      <c r="D27" s="187"/>
      <c r="E27" s="83" t="s">
        <v>290</v>
      </c>
      <c r="F27" s="187"/>
      <c r="G27" s="187"/>
      <c r="H27" s="187"/>
      <c r="I27" s="96"/>
      <c r="J27" s="96"/>
      <c r="K27" s="96"/>
      <c r="L27" s="83"/>
      <c r="M27" s="83"/>
    </row>
    <row r="28" spans="1:13" ht="24">
      <c r="A28" s="181" t="s">
        <v>263</v>
      </c>
      <c r="B28" s="175"/>
      <c r="C28" s="187"/>
      <c r="D28" s="187"/>
      <c r="E28" s="83" t="s">
        <v>291</v>
      </c>
      <c r="F28" s="175"/>
      <c r="G28" s="181"/>
      <c r="H28" s="175"/>
      <c r="I28" s="96"/>
      <c r="J28" s="96"/>
      <c r="K28" s="96"/>
      <c r="L28" s="83"/>
      <c r="M28" s="83"/>
    </row>
    <row r="29" spans="1:13" ht="24">
      <c r="A29" s="186"/>
      <c r="B29" s="83"/>
      <c r="C29" s="182"/>
      <c r="D29" s="83"/>
      <c r="E29" s="83"/>
      <c r="F29" s="83"/>
      <c r="G29" s="83"/>
      <c r="H29" s="83"/>
      <c r="I29" s="96"/>
      <c r="J29" s="96"/>
      <c r="K29" s="96"/>
      <c r="L29" s="83"/>
      <c r="M29" s="83"/>
    </row>
    <row r="30" spans="1:13" ht="24">
      <c r="A30" s="186" t="s">
        <v>259</v>
      </c>
      <c r="B30" s="83"/>
      <c r="C30" s="182"/>
      <c r="D30" s="83"/>
      <c r="E30" s="83"/>
      <c r="F30" s="83"/>
      <c r="G30" s="188"/>
      <c r="H30" s="83"/>
      <c r="I30" s="96"/>
      <c r="J30" s="96"/>
      <c r="K30" s="96"/>
      <c r="L30" s="83"/>
      <c r="M30" s="83"/>
    </row>
    <row r="31" spans="1:13" ht="24">
      <c r="A31" s="187" t="s">
        <v>264</v>
      </c>
      <c r="B31" s="187"/>
      <c r="C31" s="187"/>
      <c r="D31" s="187"/>
      <c r="E31" s="83"/>
      <c r="F31" s="83"/>
      <c r="G31" s="188"/>
      <c r="H31" s="83"/>
      <c r="I31" s="96"/>
      <c r="J31" s="96"/>
      <c r="K31" s="96"/>
      <c r="L31" s="83"/>
      <c r="M31" s="83"/>
    </row>
    <row r="32" spans="1:13" ht="24">
      <c r="A32" s="181" t="s">
        <v>265</v>
      </c>
      <c r="B32" s="175"/>
      <c r="C32" s="187"/>
      <c r="D32" s="187"/>
      <c r="E32" s="83"/>
      <c r="F32" s="189"/>
      <c r="G32" s="188"/>
      <c r="H32" s="83"/>
      <c r="I32" s="96"/>
      <c r="J32" s="96"/>
      <c r="K32" s="96"/>
      <c r="L32" s="190"/>
      <c r="M32" s="190"/>
    </row>
    <row r="33" spans="1:13" ht="24">
      <c r="A33" s="186"/>
      <c r="B33" s="83"/>
      <c r="C33" s="182"/>
      <c r="D33" s="83"/>
      <c r="E33" s="83"/>
      <c r="F33" s="189"/>
      <c r="G33" s="188"/>
      <c r="H33" s="83"/>
      <c r="I33" s="96"/>
      <c r="J33" s="96"/>
      <c r="K33" s="96"/>
      <c r="L33" s="83"/>
      <c r="M33" s="83"/>
    </row>
    <row r="34" spans="1:13" ht="24">
      <c r="A34" s="186" t="s">
        <v>259</v>
      </c>
      <c r="B34" s="83"/>
      <c r="C34" s="182"/>
      <c r="D34" s="83"/>
      <c r="E34" s="83"/>
      <c r="F34" s="83"/>
      <c r="G34" s="83"/>
      <c r="H34" s="83"/>
      <c r="I34" s="96"/>
      <c r="J34" s="96"/>
      <c r="K34" s="96"/>
      <c r="L34" s="83"/>
      <c r="M34" s="83"/>
    </row>
    <row r="35" spans="1:13" ht="24">
      <c r="A35" s="187" t="s">
        <v>260</v>
      </c>
      <c r="B35" s="187"/>
      <c r="C35" s="187"/>
      <c r="D35" s="187"/>
      <c r="E35" s="83"/>
      <c r="F35" s="83"/>
      <c r="G35" s="83"/>
      <c r="H35" s="83"/>
      <c r="I35" s="96"/>
      <c r="J35" s="96"/>
      <c r="K35" s="96"/>
      <c r="L35" s="83"/>
      <c r="M35" s="83"/>
    </row>
    <row r="36" spans="1:13" ht="24">
      <c r="A36" s="181" t="s">
        <v>261</v>
      </c>
      <c r="B36" s="175"/>
      <c r="C36" s="187"/>
      <c r="D36" s="187"/>
      <c r="E36" s="83"/>
      <c r="F36" s="83"/>
      <c r="G36" s="83"/>
      <c r="H36" s="83"/>
      <c r="I36" s="96"/>
      <c r="J36" s="96"/>
      <c r="K36" s="96"/>
      <c r="L36" s="83"/>
      <c r="M36" s="83"/>
    </row>
    <row r="37" spans="1:13" ht="24">
      <c r="A37" s="170"/>
      <c r="B37" s="166"/>
      <c r="C37" s="171"/>
      <c r="D37" s="171"/>
      <c r="E37" s="166"/>
      <c r="F37" s="166"/>
      <c r="G37" s="166"/>
      <c r="H37" s="166"/>
      <c r="I37" s="167"/>
      <c r="J37" s="168"/>
      <c r="K37" s="168"/>
    </row>
    <row r="38" spans="1:13" ht="24">
      <c r="A38" s="171"/>
      <c r="B38" s="171"/>
      <c r="C38" s="168"/>
      <c r="D38" s="168"/>
      <c r="E38" s="168"/>
      <c r="F38" s="168"/>
      <c r="G38" s="168"/>
      <c r="H38" s="168"/>
      <c r="I38" s="168"/>
      <c r="J38" s="168"/>
      <c r="K38" s="168"/>
    </row>
    <row r="39" spans="1:13" ht="24">
      <c r="A39" s="169"/>
      <c r="B39" s="172"/>
      <c r="C39" s="168"/>
      <c r="D39" s="168"/>
      <c r="E39" s="168"/>
      <c r="F39" s="168"/>
      <c r="G39" s="168"/>
      <c r="H39" s="168"/>
      <c r="I39" s="168"/>
      <c r="J39" s="168"/>
      <c r="K39" s="168"/>
    </row>
    <row r="40" spans="1:13" ht="23.25">
      <c r="A40" s="168"/>
      <c r="B40" s="168"/>
      <c r="C40" s="168"/>
      <c r="D40" s="168"/>
      <c r="E40" s="168"/>
      <c r="F40" s="168"/>
      <c r="G40" s="168"/>
      <c r="H40" s="168"/>
      <c r="I40" s="168"/>
      <c r="J40" s="168"/>
      <c r="K40" s="168"/>
    </row>
  </sheetData>
  <mergeCells count="13">
    <mergeCell ref="A1:J1"/>
    <mergeCell ref="H9:I9"/>
    <mergeCell ref="H8:I8"/>
    <mergeCell ref="J8:J10"/>
    <mergeCell ref="G8:G10"/>
    <mergeCell ref="A18:K18"/>
    <mergeCell ref="H19:M19"/>
    <mergeCell ref="G17:H17"/>
    <mergeCell ref="B9:B10"/>
    <mergeCell ref="C9:C10"/>
    <mergeCell ref="D9:D10"/>
    <mergeCell ref="G16:H16"/>
    <mergeCell ref="D16:E16"/>
  </mergeCells>
  <pageMargins left="0.70866141732283472" right="0.31496062992125984" top="0.74803149606299213" bottom="0.15748031496062992" header="0.70866141732283472" footer="0.11811023622047245"/>
  <pageSetup scale="70" orientation="portrait" r:id="rId1"/>
  <rowBreaks count="1" manualBreakCount="1">
    <brk id="36" max="10" man="1"/>
  </rowBreaks>
  <colBreaks count="1" manualBreakCount="1">
    <brk id="11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24"/>
  <sheetViews>
    <sheetView view="pageBreakPreview" zoomScale="110" zoomScaleNormal="100" zoomScaleSheetLayoutView="110" workbookViewId="0">
      <selection activeCell="D22" sqref="D22"/>
    </sheetView>
  </sheetViews>
  <sheetFormatPr defaultColWidth="9" defaultRowHeight="17.25"/>
  <cols>
    <col min="1" max="1" width="7" style="98" customWidth="1"/>
    <col min="2" max="2" width="58.140625" style="98" customWidth="1"/>
    <col min="3" max="3" width="11.5703125" style="98" customWidth="1"/>
    <col min="4" max="4" width="11.42578125" style="98" customWidth="1"/>
    <col min="5" max="5" width="5.5703125" style="98" customWidth="1"/>
    <col min="6" max="6" width="29" style="98" customWidth="1"/>
    <col min="7" max="16384" width="9" style="98"/>
  </cols>
  <sheetData>
    <row r="1" spans="1:11" ht="24">
      <c r="A1" s="233" t="s">
        <v>132</v>
      </c>
      <c r="B1" s="233"/>
      <c r="C1" s="233"/>
      <c r="D1" s="233"/>
    </row>
    <row r="2" spans="1:11" ht="24">
      <c r="A2" s="233" t="str">
        <f>ปร.5!A2</f>
        <v xml:space="preserve">โครงการ  ก่อสร้างรางส่งน้ำคอนกรีตเสริมเหล็ก บ้านดอนมูล หมู่ที่ 16 </v>
      </c>
      <c r="B2" s="233"/>
      <c r="C2" s="233"/>
      <c r="D2" s="233"/>
    </row>
    <row r="3" spans="1:11" ht="24">
      <c r="A3" s="233" t="str">
        <f>ปร.5!A4</f>
        <v>สถานที่ก่อสร้าง ต่อลำเหมืองคอนกรีตเดิม บ้านดอนมูล หมู่ที่ 16  ตำบลปง   อำเภอปง   จังหวัดพะเยา</v>
      </c>
      <c r="B3" s="233"/>
      <c r="C3" s="233"/>
      <c r="D3" s="233"/>
    </row>
    <row r="4" spans="1:11" ht="23.25" customHeight="1">
      <c r="A4" s="236" t="s">
        <v>12</v>
      </c>
      <c r="B4" s="236" t="s">
        <v>0</v>
      </c>
      <c r="C4" s="236" t="s">
        <v>2</v>
      </c>
      <c r="D4" s="236" t="s">
        <v>6</v>
      </c>
    </row>
    <row r="5" spans="1:11" ht="23.25" customHeight="1">
      <c r="A5" s="237"/>
      <c r="B5" s="237"/>
      <c r="C5" s="237"/>
      <c r="D5" s="237"/>
      <c r="F5" s="96"/>
    </row>
    <row r="6" spans="1:11" ht="24">
      <c r="A6" s="123">
        <v>1</v>
      </c>
      <c r="B6" s="124" t="s">
        <v>268</v>
      </c>
      <c r="C6" s="110"/>
      <c r="D6" s="112"/>
      <c r="E6" s="98">
        <v>1</v>
      </c>
      <c r="F6" s="96" t="s">
        <v>170</v>
      </c>
      <c r="G6" s="108" t="s">
        <v>141</v>
      </c>
      <c r="H6" s="108" t="s">
        <v>168</v>
      </c>
      <c r="I6" s="108" t="s">
        <v>139</v>
      </c>
      <c r="J6" s="108" t="s">
        <v>140</v>
      </c>
    </row>
    <row r="7" spans="1:11" ht="24">
      <c r="A7" s="113"/>
      <c r="B7" s="125" t="s">
        <v>212</v>
      </c>
      <c r="C7" s="113"/>
      <c r="D7" s="115"/>
      <c r="G7" s="141">
        <v>0</v>
      </c>
      <c r="H7" s="141">
        <v>0</v>
      </c>
      <c r="I7" s="116">
        <v>0.1</v>
      </c>
      <c r="J7" s="141"/>
    </row>
    <row r="8" spans="1:11" ht="24">
      <c r="A8" s="126"/>
      <c r="B8" s="127" t="s">
        <v>269</v>
      </c>
      <c r="C8" s="113" t="s">
        <v>133</v>
      </c>
      <c r="D8" s="115">
        <f>ROUNDDOWN((H7)*J7*2,0)</f>
        <v>0</v>
      </c>
      <c r="G8" s="96"/>
      <c r="H8" s="96"/>
      <c r="I8" s="96"/>
      <c r="J8" s="96"/>
    </row>
    <row r="9" spans="1:11" ht="24">
      <c r="A9" s="113"/>
      <c r="B9" s="127" t="s">
        <v>167</v>
      </c>
      <c r="C9" s="113"/>
      <c r="D9" s="115"/>
      <c r="E9" s="98">
        <v>1</v>
      </c>
      <c r="F9" s="96" t="s">
        <v>169</v>
      </c>
      <c r="G9" s="108" t="s">
        <v>141</v>
      </c>
      <c r="H9" s="108" t="s">
        <v>138</v>
      </c>
      <c r="I9" s="108" t="s">
        <v>139</v>
      </c>
      <c r="J9" s="108" t="s">
        <v>140</v>
      </c>
      <c r="K9" s="96"/>
    </row>
    <row r="10" spans="1:11" ht="24">
      <c r="A10" s="113"/>
      <c r="B10" s="127" t="s">
        <v>270</v>
      </c>
      <c r="C10" s="113" t="s">
        <v>133</v>
      </c>
      <c r="D10" s="115">
        <f>ROUNDDOWN((H10)*J10*2,0)</f>
        <v>0</v>
      </c>
      <c r="G10" s="141">
        <v>0</v>
      </c>
      <c r="H10" s="141">
        <v>0</v>
      </c>
      <c r="I10" s="116">
        <v>0.1</v>
      </c>
      <c r="J10" s="141">
        <f>J7</f>
        <v>0</v>
      </c>
    </row>
    <row r="11" spans="1:11" ht="24">
      <c r="A11" s="123">
        <v>2</v>
      </c>
      <c r="B11" s="124" t="s">
        <v>271</v>
      </c>
      <c r="C11" s="110"/>
      <c r="D11" s="112"/>
      <c r="E11" s="98">
        <v>2</v>
      </c>
      <c r="F11" s="96" t="s">
        <v>170</v>
      </c>
      <c r="G11" s="108" t="s">
        <v>141</v>
      </c>
      <c r="H11" s="108" t="s">
        <v>168</v>
      </c>
      <c r="I11" s="108" t="s">
        <v>139</v>
      </c>
      <c r="J11" s="108" t="s">
        <v>140</v>
      </c>
    </row>
    <row r="12" spans="1:11" ht="24">
      <c r="A12" s="113"/>
      <c r="B12" s="125" t="s">
        <v>212</v>
      </c>
      <c r="C12" s="113"/>
      <c r="D12" s="115"/>
      <c r="G12" s="141">
        <v>0</v>
      </c>
      <c r="H12" s="141">
        <v>0</v>
      </c>
      <c r="I12" s="116">
        <v>0.1</v>
      </c>
      <c r="J12" s="141">
        <v>0</v>
      </c>
    </row>
    <row r="13" spans="1:11" ht="24">
      <c r="A13" s="126"/>
      <c r="B13" s="127" t="s">
        <v>272</v>
      </c>
      <c r="C13" s="113" t="s">
        <v>133</v>
      </c>
      <c r="D13" s="115">
        <f>ROUNDDOWN((H12)*J12*2,0)</f>
        <v>0</v>
      </c>
      <c r="G13" s="96"/>
      <c r="H13" s="96"/>
      <c r="I13" s="96"/>
      <c r="J13" s="96"/>
    </row>
    <row r="14" spans="1:11" ht="24">
      <c r="A14" s="113"/>
      <c r="B14" s="127" t="s">
        <v>167</v>
      </c>
      <c r="C14" s="113"/>
      <c r="D14" s="115"/>
      <c r="E14" s="98">
        <v>2</v>
      </c>
      <c r="F14" s="96" t="s">
        <v>169</v>
      </c>
      <c r="G14" s="108" t="s">
        <v>141</v>
      </c>
      <c r="H14" s="108" t="s">
        <v>138</v>
      </c>
      <c r="I14" s="108" t="s">
        <v>139</v>
      </c>
      <c r="J14" s="108" t="s">
        <v>140</v>
      </c>
      <c r="K14" s="96"/>
    </row>
    <row r="15" spans="1:11" ht="24">
      <c r="A15" s="113"/>
      <c r="B15" s="127" t="s">
        <v>273</v>
      </c>
      <c r="C15" s="113" t="s">
        <v>133</v>
      </c>
      <c r="D15" s="115">
        <f>ROUNDDOWN((H15)*J15*2,0)</f>
        <v>0</v>
      </c>
      <c r="G15" s="141"/>
      <c r="H15" s="141">
        <v>0</v>
      </c>
      <c r="I15" s="116">
        <v>0.1</v>
      </c>
      <c r="J15" s="141">
        <f>J12</f>
        <v>0</v>
      </c>
    </row>
    <row r="16" spans="1:11" ht="24">
      <c r="A16" s="120"/>
      <c r="B16" s="109" t="s">
        <v>21</v>
      </c>
      <c r="C16" s="120"/>
      <c r="D16" s="121">
        <f>SUM(D13:D15)</f>
        <v>0</v>
      </c>
    </row>
    <row r="18" spans="1:11" ht="24">
      <c r="A18" s="123">
        <v>2</v>
      </c>
      <c r="B18" s="124" t="s">
        <v>274</v>
      </c>
      <c r="C18" s="110"/>
      <c r="D18" s="112"/>
      <c r="E18" s="98">
        <v>3</v>
      </c>
      <c r="F18" s="96" t="s">
        <v>170</v>
      </c>
      <c r="G18" s="108" t="s">
        <v>141</v>
      </c>
      <c r="H18" s="108" t="s">
        <v>168</v>
      </c>
      <c r="I18" s="108" t="s">
        <v>139</v>
      </c>
      <c r="J18" s="108" t="s">
        <v>140</v>
      </c>
    </row>
    <row r="19" spans="1:11" ht="24">
      <c r="A19" s="113"/>
      <c r="B19" s="125" t="s">
        <v>212</v>
      </c>
      <c r="C19" s="113"/>
      <c r="D19" s="115"/>
      <c r="G19" s="141"/>
      <c r="H19" s="141">
        <v>1.1000000000000001</v>
      </c>
      <c r="I19" s="116">
        <v>0.1</v>
      </c>
      <c r="J19" s="141">
        <v>240</v>
      </c>
    </row>
    <row r="20" spans="1:11" ht="24">
      <c r="A20" s="126"/>
      <c r="B20" s="127" t="s">
        <v>275</v>
      </c>
      <c r="C20" s="113" t="s">
        <v>133</v>
      </c>
      <c r="D20" s="115">
        <f>ROUNDDOWN((H19)*J19*2,0)</f>
        <v>528</v>
      </c>
      <c r="G20" s="96"/>
      <c r="H20" s="96"/>
      <c r="I20" s="96"/>
      <c r="J20" s="96"/>
    </row>
    <row r="21" spans="1:11" ht="24">
      <c r="A21" s="113"/>
      <c r="B21" s="127" t="s">
        <v>167</v>
      </c>
      <c r="C21" s="113"/>
      <c r="D21" s="115"/>
      <c r="E21" s="98">
        <v>3</v>
      </c>
      <c r="F21" s="96" t="s">
        <v>169</v>
      </c>
      <c r="G21" s="108" t="s">
        <v>141</v>
      </c>
      <c r="H21" s="108" t="s">
        <v>138</v>
      </c>
      <c r="I21" s="108" t="s">
        <v>139</v>
      </c>
      <c r="J21" s="108" t="s">
        <v>140</v>
      </c>
      <c r="K21" s="96"/>
    </row>
    <row r="22" spans="1:11" ht="24">
      <c r="A22" s="113"/>
      <c r="B22" s="127" t="s">
        <v>276</v>
      </c>
      <c r="C22" s="113" t="s">
        <v>133</v>
      </c>
      <c r="D22" s="115">
        <f>ROUNDDOWN((H22)*J22*2,0)</f>
        <v>480</v>
      </c>
      <c r="G22" s="141"/>
      <c r="H22" s="141">
        <v>1</v>
      </c>
      <c r="I22" s="116">
        <v>0.1</v>
      </c>
      <c r="J22" s="141">
        <v>240</v>
      </c>
    </row>
    <row r="23" spans="1:11" ht="24">
      <c r="A23" s="120"/>
      <c r="B23" s="109" t="s">
        <v>21</v>
      </c>
      <c r="C23" s="120"/>
      <c r="D23" s="121">
        <f>SUM(D20:D22)</f>
        <v>1008</v>
      </c>
    </row>
    <row r="24" spans="1:11" ht="24">
      <c r="A24" s="120"/>
      <c r="B24" s="109" t="s">
        <v>243</v>
      </c>
      <c r="C24" s="120"/>
      <c r="D24" s="121">
        <f>D16+D23</f>
        <v>1008</v>
      </c>
    </row>
  </sheetData>
  <mergeCells count="7">
    <mergeCell ref="A1:D1"/>
    <mergeCell ref="A2:D2"/>
    <mergeCell ref="A3:D3"/>
    <mergeCell ref="A4:A5"/>
    <mergeCell ref="B4:B5"/>
    <mergeCell ref="C4:C5"/>
    <mergeCell ref="D4:D5"/>
  </mergeCells>
  <pageMargins left="0.51181102362204722" right="0.31496062992125984" top="0.74803149606299213" bottom="0.35433070866141736" header="0.31496062992125984" footer="0.31496062992125984"/>
  <pageSetup orientation="portrait" r:id="rId1"/>
  <colBreaks count="1" manualBreakCount="1">
    <brk id="4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L20"/>
  <sheetViews>
    <sheetView view="pageBreakPreview" zoomScale="120" zoomScaleNormal="100" zoomScaleSheetLayoutView="120" workbookViewId="0">
      <selection activeCell="K20" sqref="K20"/>
    </sheetView>
  </sheetViews>
  <sheetFormatPr defaultColWidth="9" defaultRowHeight="21.75"/>
  <cols>
    <col min="1" max="1" width="4" style="5" customWidth="1"/>
    <col min="2" max="3" width="9" style="5"/>
    <col min="4" max="4" width="9.140625" style="5" bestFit="1" customWidth="1"/>
    <col min="5" max="5" width="9" style="5"/>
    <col min="6" max="6" width="10" style="5" bestFit="1" customWidth="1"/>
    <col min="7" max="7" width="4.28515625" style="5" customWidth="1"/>
    <col min="8" max="8" width="9.140625" style="5" bestFit="1" customWidth="1"/>
    <col min="9" max="9" width="3.28515625" style="5" customWidth="1"/>
    <col min="10" max="10" width="9.140625" style="5" bestFit="1" customWidth="1"/>
    <col min="11" max="16384" width="9" style="5"/>
  </cols>
  <sheetData>
    <row r="1" spans="1:12">
      <c r="A1" s="218" t="s">
        <v>209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  <c r="L1" s="218"/>
    </row>
    <row r="2" spans="1:12">
      <c r="A2" s="218" t="str">
        <f>ปร.5!A2</f>
        <v xml:space="preserve">โครงการ  ก่อสร้างรางส่งน้ำคอนกรีตเสริมเหล็ก บ้านดอนมูล หมู่ที่ 16 </v>
      </c>
      <c r="B2" s="218"/>
      <c r="C2" s="218"/>
      <c r="D2" s="218"/>
      <c r="E2" s="218"/>
      <c r="F2" s="218"/>
      <c r="G2" s="218"/>
      <c r="H2" s="218"/>
      <c r="I2" s="218"/>
      <c r="J2" s="218"/>
      <c r="K2" s="218"/>
      <c r="L2" s="218"/>
    </row>
    <row r="3" spans="1:12">
      <c r="A3" s="218" t="str">
        <f>ปร.5!A4</f>
        <v>สถานที่ก่อสร้าง ต่อลำเหมืองคอนกรีตเดิม บ้านดอนมูล หมู่ที่ 16  ตำบลปง   อำเภอปง   จังหวัดพะเยา</v>
      </c>
      <c r="B3" s="218"/>
      <c r="C3" s="218"/>
      <c r="D3" s="218"/>
      <c r="E3" s="218"/>
      <c r="F3" s="218"/>
      <c r="G3" s="218"/>
      <c r="H3" s="218"/>
      <c r="I3" s="218"/>
      <c r="J3" s="218"/>
      <c r="K3" s="218"/>
      <c r="L3" s="218"/>
    </row>
    <row r="4" spans="1:12">
      <c r="A4" s="5" t="s">
        <v>188</v>
      </c>
    </row>
    <row r="5" spans="1:12">
      <c r="B5" s="5" t="s">
        <v>211</v>
      </c>
    </row>
    <row r="6" spans="1:12">
      <c r="B6" s="5" t="s">
        <v>189</v>
      </c>
      <c r="F6" s="139">
        <f>ราคาวัสดุ!I13</f>
        <v>29306.97</v>
      </c>
      <c r="G6" s="53" t="s">
        <v>195</v>
      </c>
      <c r="H6" s="128">
        <v>1000</v>
      </c>
      <c r="I6" s="53" t="s">
        <v>77</v>
      </c>
      <c r="J6" s="129">
        <f>ROUNDDOWN(F6/H6,2)</f>
        <v>29.3</v>
      </c>
      <c r="K6" s="53" t="s">
        <v>196</v>
      </c>
      <c r="L6" s="5" t="s">
        <v>206</v>
      </c>
    </row>
    <row r="7" spans="1:12">
      <c r="B7" s="5" t="s">
        <v>190</v>
      </c>
      <c r="F7" s="139">
        <f>ราคาวัสดุ!I15</f>
        <v>24692.97</v>
      </c>
      <c r="G7" s="53" t="s">
        <v>195</v>
      </c>
      <c r="H7" s="128">
        <v>1000</v>
      </c>
      <c r="I7" s="53" t="s">
        <v>77</v>
      </c>
      <c r="J7" s="129">
        <f t="shared" ref="J7:J11" si="0">ROUNDDOWN(F7/H7,2)</f>
        <v>24.69</v>
      </c>
      <c r="K7" s="53" t="s">
        <v>196</v>
      </c>
      <c r="L7" s="5" t="s">
        <v>206</v>
      </c>
    </row>
    <row r="8" spans="1:12">
      <c r="B8" s="5" t="s">
        <v>191</v>
      </c>
      <c r="F8" s="139">
        <f>ราคาวัสดุ!I17</f>
        <v>0</v>
      </c>
      <c r="G8" s="53" t="s">
        <v>195</v>
      </c>
      <c r="H8" s="128">
        <v>1000</v>
      </c>
      <c r="I8" s="53" t="s">
        <v>77</v>
      </c>
      <c r="J8" s="129">
        <f t="shared" si="0"/>
        <v>0</v>
      </c>
      <c r="K8" s="53" t="s">
        <v>196</v>
      </c>
      <c r="L8" s="5" t="s">
        <v>205</v>
      </c>
    </row>
    <row r="9" spans="1:12">
      <c r="B9" s="5" t="s">
        <v>192</v>
      </c>
      <c r="F9" s="139">
        <f>ราคาวัสดุ!I19</f>
        <v>0</v>
      </c>
      <c r="G9" s="53" t="s">
        <v>195</v>
      </c>
      <c r="H9" s="128">
        <v>1000</v>
      </c>
      <c r="I9" s="53" t="s">
        <v>77</v>
      </c>
      <c r="J9" s="129">
        <f t="shared" si="0"/>
        <v>0</v>
      </c>
      <c r="K9" s="53" t="s">
        <v>196</v>
      </c>
      <c r="L9" s="5" t="s">
        <v>205</v>
      </c>
    </row>
    <row r="10" spans="1:12">
      <c r="B10" s="5" t="s">
        <v>193</v>
      </c>
      <c r="F10" s="139">
        <f>ราคาวัสดุ!I21</f>
        <v>0</v>
      </c>
      <c r="G10" s="53" t="s">
        <v>195</v>
      </c>
      <c r="H10" s="128">
        <v>1000</v>
      </c>
      <c r="I10" s="53" t="s">
        <v>77</v>
      </c>
      <c r="J10" s="129">
        <f t="shared" si="0"/>
        <v>0</v>
      </c>
      <c r="K10" s="53" t="s">
        <v>196</v>
      </c>
      <c r="L10" s="5" t="s">
        <v>205</v>
      </c>
    </row>
    <row r="11" spans="1:12">
      <c r="B11" s="5" t="s">
        <v>194</v>
      </c>
      <c r="F11" s="139">
        <f>ราคาวัสดุ!I23</f>
        <v>0</v>
      </c>
      <c r="G11" s="53" t="s">
        <v>195</v>
      </c>
      <c r="H11" s="128">
        <v>1000</v>
      </c>
      <c r="I11" s="53" t="s">
        <v>77</v>
      </c>
      <c r="J11" s="129">
        <f t="shared" si="0"/>
        <v>0</v>
      </c>
      <c r="K11" s="53" t="s">
        <v>196</v>
      </c>
      <c r="L11" s="5" t="s">
        <v>205</v>
      </c>
    </row>
    <row r="12" spans="1:12">
      <c r="B12" s="5" t="s">
        <v>197</v>
      </c>
      <c r="I12" s="53" t="s">
        <v>77</v>
      </c>
      <c r="J12" s="130">
        <f>ROUNDDOWN((J6+J7)/2,2)</f>
        <v>26.99</v>
      </c>
      <c r="K12" s="53" t="s">
        <v>196</v>
      </c>
      <c r="L12" s="131" t="s">
        <v>76</v>
      </c>
    </row>
    <row r="13" spans="1:12">
      <c r="B13" s="5" t="s">
        <v>198</v>
      </c>
    </row>
    <row r="14" spans="1:12">
      <c r="C14" s="5" t="s">
        <v>199</v>
      </c>
      <c r="I14" s="53" t="s">
        <v>77</v>
      </c>
      <c r="J14" s="132" t="s">
        <v>202</v>
      </c>
      <c r="K14" s="53" t="s">
        <v>196</v>
      </c>
    </row>
    <row r="15" spans="1:12">
      <c r="C15" s="5" t="s">
        <v>200</v>
      </c>
      <c r="D15" s="140">
        <f>J12</f>
        <v>26.99</v>
      </c>
      <c r="E15" s="53" t="s">
        <v>201</v>
      </c>
      <c r="F15" s="133">
        <v>0.1</v>
      </c>
      <c r="I15" s="53" t="s">
        <v>77</v>
      </c>
      <c r="J15" s="134">
        <f>ROUNDDOWN((D15*F15),2)</f>
        <v>2.69</v>
      </c>
      <c r="K15" s="53" t="s">
        <v>196</v>
      </c>
      <c r="L15" s="131" t="s">
        <v>79</v>
      </c>
    </row>
    <row r="16" spans="1:12">
      <c r="B16" s="5" t="s">
        <v>203</v>
      </c>
      <c r="I16" s="53" t="s">
        <v>77</v>
      </c>
      <c r="J16" s="135">
        <v>3.55</v>
      </c>
      <c r="K16" s="53" t="s">
        <v>196</v>
      </c>
      <c r="L16" s="131" t="s">
        <v>81</v>
      </c>
    </row>
    <row r="17" spans="1:11">
      <c r="C17" s="5" t="s">
        <v>204</v>
      </c>
      <c r="I17" s="53" t="s">
        <v>77</v>
      </c>
      <c r="J17" s="136">
        <f>J12+J15+J16</f>
        <v>33.229999999999997</v>
      </c>
      <c r="K17" s="53" t="s">
        <v>196</v>
      </c>
    </row>
    <row r="18" spans="1:11">
      <c r="I18" s="53"/>
      <c r="J18" s="12"/>
      <c r="K18" s="53"/>
    </row>
    <row r="20" spans="1:11">
      <c r="A20" s="4"/>
      <c r="C20" s="98"/>
      <c r="D20" s="98"/>
      <c r="E20" s="4"/>
    </row>
  </sheetData>
  <mergeCells count="3">
    <mergeCell ref="A1:L1"/>
    <mergeCell ref="A2:L2"/>
    <mergeCell ref="A3:L3"/>
  </mergeCells>
  <pageMargins left="0.31496062992125984" right="0.31496062992125984" top="0.74803149606299213" bottom="0.74803149606299213" header="0.31496062992125984" footer="0.31496062992125984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K24"/>
  <sheetViews>
    <sheetView view="pageBreakPreview" zoomScale="90" zoomScaleNormal="100" zoomScaleSheetLayoutView="90" workbookViewId="0">
      <selection activeCell="D12" sqref="D12"/>
    </sheetView>
  </sheetViews>
  <sheetFormatPr defaultColWidth="9" defaultRowHeight="21.75"/>
  <cols>
    <col min="1" max="1" width="4.7109375" style="4" customWidth="1"/>
    <col min="2" max="2" width="37.28515625" style="4" customWidth="1"/>
    <col min="3" max="3" width="8.140625" style="4" customWidth="1"/>
    <col min="4" max="4" width="9.5703125" style="4" customWidth="1"/>
    <col min="5" max="5" width="9.7109375" style="4" customWidth="1"/>
    <col min="6" max="6" width="9.85546875" style="4" customWidth="1"/>
    <col min="7" max="7" width="9.140625" style="4" customWidth="1"/>
    <col min="8" max="8" width="9.7109375" style="4" customWidth="1"/>
    <col min="9" max="9" width="10.28515625" style="4" customWidth="1"/>
    <col min="10" max="10" width="9.7109375" style="4" customWidth="1"/>
    <col min="11" max="16384" width="9" style="4"/>
  </cols>
  <sheetData>
    <row r="1" spans="1:11">
      <c r="B1" s="217" t="s">
        <v>23</v>
      </c>
      <c r="C1" s="217"/>
      <c r="D1" s="217"/>
      <c r="E1" s="217"/>
      <c r="F1" s="217"/>
      <c r="G1" s="217"/>
      <c r="H1" s="217"/>
      <c r="I1" s="217"/>
      <c r="J1" s="217"/>
    </row>
    <row r="2" spans="1:11">
      <c r="B2" s="217" t="str">
        <f>ปร.5!A2</f>
        <v xml:space="preserve">โครงการ  ก่อสร้างรางส่งน้ำคอนกรีตเสริมเหล็ก บ้านดอนมูล หมู่ที่ 16 </v>
      </c>
      <c r="C2" s="217"/>
      <c r="D2" s="217"/>
      <c r="E2" s="217"/>
      <c r="F2" s="217"/>
      <c r="G2" s="217"/>
      <c r="H2" s="217"/>
      <c r="I2" s="217"/>
      <c r="J2" s="217"/>
    </row>
    <row r="3" spans="1:11">
      <c r="B3" s="217" t="str">
        <f>ปร.5!A4</f>
        <v>สถานที่ก่อสร้าง ต่อลำเหมืองคอนกรีตเดิม บ้านดอนมูล หมู่ที่ 16  ตำบลปง   อำเภอปง   จังหวัดพะเยา</v>
      </c>
      <c r="C3" s="217"/>
      <c r="D3" s="217"/>
      <c r="E3" s="217"/>
      <c r="F3" s="217"/>
      <c r="G3" s="217"/>
      <c r="H3" s="217"/>
      <c r="I3" s="217"/>
      <c r="J3" s="217"/>
    </row>
    <row r="4" spans="1:11">
      <c r="B4" s="17" t="str">
        <f>ปร.5!A6</f>
        <v xml:space="preserve">คำนวณราคาเมื่อวันที่   2   พฤษภาคม     2567    ใช้ราคาพาณิชย์ของจังหวัดพะเยาประจำเดือน    มีนาคม    2567  </v>
      </c>
    </row>
    <row r="5" spans="1:11">
      <c r="B5" s="17" t="s">
        <v>267</v>
      </c>
    </row>
    <row r="6" spans="1:11">
      <c r="A6" s="238" t="s">
        <v>12</v>
      </c>
      <c r="B6" s="238" t="s">
        <v>0</v>
      </c>
      <c r="C6" s="10" t="s">
        <v>157</v>
      </c>
      <c r="D6" s="204" t="s">
        <v>24</v>
      </c>
      <c r="E6" s="205"/>
      <c r="F6" s="239"/>
      <c r="G6" s="204" t="s">
        <v>25</v>
      </c>
      <c r="H6" s="239"/>
      <c r="I6" s="10" t="s">
        <v>26</v>
      </c>
      <c r="J6" s="238" t="s">
        <v>2</v>
      </c>
      <c r="K6" s="238" t="s">
        <v>4</v>
      </c>
    </row>
    <row r="7" spans="1:11">
      <c r="A7" s="196"/>
      <c r="B7" s="196"/>
      <c r="C7" s="11" t="s">
        <v>158</v>
      </c>
      <c r="D7" s="21" t="s">
        <v>27</v>
      </c>
      <c r="E7" s="21" t="s">
        <v>28</v>
      </c>
      <c r="F7" s="21" t="s">
        <v>156</v>
      </c>
      <c r="G7" s="21" t="s">
        <v>29</v>
      </c>
      <c r="H7" s="21" t="s">
        <v>28</v>
      </c>
      <c r="I7" s="11" t="s">
        <v>30</v>
      </c>
      <c r="J7" s="196"/>
      <c r="K7" s="196"/>
    </row>
    <row r="8" spans="1:11">
      <c r="A8" s="21">
        <v>1</v>
      </c>
      <c r="B8" s="24" t="s">
        <v>163</v>
      </c>
      <c r="C8" s="137">
        <v>77</v>
      </c>
      <c r="D8" s="137"/>
      <c r="E8" s="137">
        <v>543.62</v>
      </c>
      <c r="F8" s="137"/>
      <c r="G8" s="24"/>
      <c r="H8" s="137">
        <v>274.52999999999997</v>
      </c>
      <c r="I8" s="138">
        <f>ROUNDDOWN(E8+H8,2)</f>
        <v>818.15</v>
      </c>
      <c r="J8" s="10" t="s">
        <v>28</v>
      </c>
      <c r="K8" s="21"/>
    </row>
    <row r="9" spans="1:11">
      <c r="A9" s="21">
        <v>2</v>
      </c>
      <c r="B9" s="24" t="s">
        <v>165</v>
      </c>
      <c r="C9" s="137">
        <v>77</v>
      </c>
      <c r="D9" s="24"/>
      <c r="E9" s="137">
        <v>471.97</v>
      </c>
      <c r="F9" s="137"/>
      <c r="G9" s="24"/>
      <c r="H9" s="137">
        <f>H8</f>
        <v>274.52999999999997</v>
      </c>
      <c r="I9" s="138">
        <f>ROUNDDOWN(E9+H9,2)</f>
        <v>746.5</v>
      </c>
      <c r="J9" s="10" t="s">
        <v>28</v>
      </c>
      <c r="K9" s="21"/>
    </row>
    <row r="10" spans="1:11">
      <c r="A10" s="21">
        <v>3</v>
      </c>
      <c r="B10" s="24" t="s">
        <v>164</v>
      </c>
      <c r="C10" s="137">
        <v>77</v>
      </c>
      <c r="D10" s="24"/>
      <c r="E10" s="137">
        <v>0</v>
      </c>
      <c r="F10" s="137"/>
      <c r="G10" s="24"/>
      <c r="H10" s="137">
        <v>0</v>
      </c>
      <c r="I10" s="138">
        <f>ROUNDDOWN(E10+H10,2)</f>
        <v>0</v>
      </c>
      <c r="J10" s="10" t="s">
        <v>28</v>
      </c>
      <c r="K10" s="21"/>
    </row>
    <row r="11" spans="1:11">
      <c r="A11" s="10">
        <v>4</v>
      </c>
      <c r="B11" s="24" t="s">
        <v>166</v>
      </c>
      <c r="C11" s="137">
        <v>77</v>
      </c>
      <c r="D11" s="137">
        <v>2995.33</v>
      </c>
      <c r="E11" s="24"/>
      <c r="F11" s="24"/>
      <c r="G11" s="137">
        <v>196.09</v>
      </c>
      <c r="H11" s="24"/>
      <c r="I11" s="138">
        <f>ROUNDDOWN(D11+G11,2)</f>
        <v>3191.42</v>
      </c>
      <c r="J11" s="10" t="s">
        <v>27</v>
      </c>
      <c r="K11" s="10"/>
    </row>
    <row r="12" spans="1:11">
      <c r="A12" s="11"/>
      <c r="B12" s="32"/>
      <c r="C12" s="37"/>
      <c r="D12" s="37" t="s">
        <v>232</v>
      </c>
      <c r="E12" s="32"/>
      <c r="F12" s="32"/>
      <c r="G12" s="37"/>
      <c r="H12" s="32"/>
      <c r="I12" s="37">
        <f>ROUNDDOWN((I11/1000)*50,2)</f>
        <v>159.57</v>
      </c>
      <c r="J12" s="11" t="s">
        <v>146</v>
      </c>
      <c r="K12" s="11"/>
    </row>
    <row r="13" spans="1:11">
      <c r="A13" s="10">
        <v>5</v>
      </c>
      <c r="B13" s="24" t="s">
        <v>226</v>
      </c>
      <c r="C13" s="137">
        <v>77</v>
      </c>
      <c r="D13" s="137">
        <v>29110.880000000001</v>
      </c>
      <c r="E13" s="24"/>
      <c r="F13" s="24"/>
      <c r="G13" s="137">
        <f>G11</f>
        <v>196.09</v>
      </c>
      <c r="H13" s="24"/>
      <c r="I13" s="138">
        <f>ROUNDDOWN(D13+G13,2)</f>
        <v>29306.97</v>
      </c>
      <c r="J13" s="10" t="s">
        <v>27</v>
      </c>
      <c r="K13" s="10"/>
    </row>
    <row r="14" spans="1:11">
      <c r="A14" s="11"/>
      <c r="B14" s="32"/>
      <c r="C14" s="37"/>
      <c r="D14" s="37"/>
      <c r="E14" s="32"/>
      <c r="F14" s="32"/>
      <c r="G14" s="37"/>
      <c r="H14" s="32"/>
      <c r="I14" s="37">
        <f>ROUNDDOWN(I13/1000,2)</f>
        <v>29.3</v>
      </c>
      <c r="J14" s="11" t="s">
        <v>147</v>
      </c>
      <c r="K14" s="11"/>
    </row>
    <row r="15" spans="1:11">
      <c r="A15" s="10">
        <v>6</v>
      </c>
      <c r="B15" s="24" t="s">
        <v>227</v>
      </c>
      <c r="C15" s="137">
        <v>77</v>
      </c>
      <c r="D15" s="137">
        <v>24496.880000000001</v>
      </c>
      <c r="E15" s="24"/>
      <c r="F15" s="24"/>
      <c r="G15" s="137">
        <f>G11</f>
        <v>196.09</v>
      </c>
      <c r="H15" s="24"/>
      <c r="I15" s="138">
        <f>ROUNDDOWN(D15+G15,2)</f>
        <v>24692.97</v>
      </c>
      <c r="J15" s="10" t="s">
        <v>27</v>
      </c>
      <c r="K15" s="10"/>
    </row>
    <row r="16" spans="1:11">
      <c r="A16" s="11"/>
      <c r="B16" s="32"/>
      <c r="C16" s="37"/>
      <c r="D16" s="37"/>
      <c r="E16" s="32"/>
      <c r="F16" s="32"/>
      <c r="G16" s="37"/>
      <c r="H16" s="32"/>
      <c r="I16" s="37">
        <f>ROUNDDOWN(I15/1000,2)</f>
        <v>24.69</v>
      </c>
      <c r="J16" s="11" t="s">
        <v>147</v>
      </c>
      <c r="K16" s="11"/>
    </row>
    <row r="17" spans="1:11">
      <c r="A17" s="10">
        <v>7</v>
      </c>
      <c r="B17" s="24" t="s">
        <v>228</v>
      </c>
      <c r="C17" s="137">
        <v>77</v>
      </c>
      <c r="D17" s="137">
        <v>0</v>
      </c>
      <c r="E17" s="24"/>
      <c r="F17" s="24"/>
      <c r="G17" s="137">
        <v>0</v>
      </c>
      <c r="H17" s="24"/>
      <c r="I17" s="138">
        <f>ROUNDDOWN(D17+G17,2)</f>
        <v>0</v>
      </c>
      <c r="J17" s="10" t="s">
        <v>27</v>
      </c>
      <c r="K17" s="10"/>
    </row>
    <row r="18" spans="1:11">
      <c r="A18" s="11"/>
      <c r="B18" s="32"/>
      <c r="C18" s="37"/>
      <c r="D18" s="37"/>
      <c r="E18" s="32"/>
      <c r="F18" s="32"/>
      <c r="G18" s="37"/>
      <c r="H18" s="32"/>
      <c r="I18" s="37">
        <f>ROUNDDOWN(I17/1000,2)</f>
        <v>0</v>
      </c>
      <c r="J18" s="11" t="s">
        <v>147</v>
      </c>
      <c r="K18" s="11"/>
    </row>
    <row r="19" spans="1:11">
      <c r="A19" s="10">
        <v>8</v>
      </c>
      <c r="B19" s="24" t="s">
        <v>229</v>
      </c>
      <c r="C19" s="137">
        <v>77</v>
      </c>
      <c r="D19" s="137">
        <v>0</v>
      </c>
      <c r="E19" s="24"/>
      <c r="F19" s="24"/>
      <c r="G19" s="137">
        <f>G17</f>
        <v>0</v>
      </c>
      <c r="H19" s="24"/>
      <c r="I19" s="138">
        <f>ROUNDDOWN(D19+G19,2)</f>
        <v>0</v>
      </c>
      <c r="J19" s="10" t="s">
        <v>27</v>
      </c>
      <c r="K19" s="10"/>
    </row>
    <row r="20" spans="1:11">
      <c r="A20" s="11"/>
      <c r="B20" s="32"/>
      <c r="C20" s="37"/>
      <c r="D20" s="37"/>
      <c r="E20" s="32"/>
      <c r="F20" s="32"/>
      <c r="G20" s="37"/>
      <c r="H20" s="32"/>
      <c r="I20" s="37">
        <f>ROUNDDOWN(I19/1000,2)</f>
        <v>0</v>
      </c>
      <c r="J20" s="11" t="s">
        <v>147</v>
      </c>
      <c r="K20" s="11"/>
    </row>
    <row r="21" spans="1:11">
      <c r="A21" s="10">
        <v>9</v>
      </c>
      <c r="B21" s="24" t="s">
        <v>230</v>
      </c>
      <c r="C21" s="137">
        <v>77</v>
      </c>
      <c r="D21" s="137">
        <v>0</v>
      </c>
      <c r="E21" s="24"/>
      <c r="F21" s="24"/>
      <c r="G21" s="137">
        <f>G17</f>
        <v>0</v>
      </c>
      <c r="H21" s="24"/>
      <c r="I21" s="138">
        <f>ROUNDDOWN(D21+G21,2)</f>
        <v>0</v>
      </c>
      <c r="J21" s="10" t="s">
        <v>27</v>
      </c>
      <c r="K21" s="10"/>
    </row>
    <row r="22" spans="1:11">
      <c r="A22" s="11"/>
      <c r="B22" s="32"/>
      <c r="C22" s="37"/>
      <c r="D22" s="37"/>
      <c r="E22" s="32"/>
      <c r="F22" s="32"/>
      <c r="G22" s="37"/>
      <c r="H22" s="32"/>
      <c r="I22" s="37">
        <f>ROUNDDOWN(I21/1000,2)</f>
        <v>0</v>
      </c>
      <c r="J22" s="11" t="s">
        <v>147</v>
      </c>
      <c r="K22" s="11"/>
    </row>
    <row r="23" spans="1:11">
      <c r="A23" s="10">
        <v>10</v>
      </c>
      <c r="B23" s="24" t="s">
        <v>231</v>
      </c>
      <c r="C23" s="137">
        <v>77</v>
      </c>
      <c r="D23" s="137">
        <v>0</v>
      </c>
      <c r="E23" s="24"/>
      <c r="F23" s="24"/>
      <c r="G23" s="137">
        <f>G19</f>
        <v>0</v>
      </c>
      <c r="H23" s="24"/>
      <c r="I23" s="138">
        <f>ROUNDDOWN(D23+G23,2)</f>
        <v>0</v>
      </c>
      <c r="J23" s="10" t="s">
        <v>27</v>
      </c>
      <c r="K23" s="10"/>
    </row>
    <row r="24" spans="1:11">
      <c r="A24" s="11"/>
      <c r="B24" s="32"/>
      <c r="C24" s="37"/>
      <c r="D24" s="37"/>
      <c r="E24" s="32"/>
      <c r="F24" s="32"/>
      <c r="G24" s="37"/>
      <c r="H24" s="32"/>
      <c r="I24" s="37">
        <f>ROUNDDOWN(I23/1000,2)</f>
        <v>0</v>
      </c>
      <c r="J24" s="11" t="s">
        <v>147</v>
      </c>
      <c r="K24" s="11"/>
    </row>
  </sheetData>
  <mergeCells count="9">
    <mergeCell ref="K6:K7"/>
    <mergeCell ref="A6:A7"/>
    <mergeCell ref="B1:J1"/>
    <mergeCell ref="B2:J2"/>
    <mergeCell ref="B3:J3"/>
    <mergeCell ref="B6:B7"/>
    <mergeCell ref="G6:H6"/>
    <mergeCell ref="J6:J7"/>
    <mergeCell ref="D6:F6"/>
  </mergeCells>
  <pageMargins left="0.70866141732283472" right="0.11811023622047245" top="0.15748031496062992" bottom="0.74803149606299213" header="0.11811023622047245" footer="0.11811023622047245"/>
  <pageSetup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40"/>
  <sheetViews>
    <sheetView view="pageBreakPreview" zoomScale="120" zoomScaleNormal="90" zoomScaleSheetLayoutView="120" workbookViewId="0">
      <selection activeCell="A8" sqref="A8:F8"/>
    </sheetView>
  </sheetViews>
  <sheetFormatPr defaultColWidth="9" defaultRowHeight="21.75"/>
  <cols>
    <col min="1" max="1" width="10.28515625" style="4" customWidth="1"/>
    <col min="2" max="2" width="56.42578125" style="4" customWidth="1"/>
    <col min="3" max="3" width="11.85546875" style="4" customWidth="1"/>
    <col min="4" max="4" width="14.5703125" style="4" customWidth="1"/>
    <col min="5" max="5" width="14.85546875" style="4" customWidth="1"/>
    <col min="6" max="6" width="16.28515625" style="4" customWidth="1"/>
    <col min="7" max="7" width="9.5703125" style="4" customWidth="1"/>
    <col min="8" max="8" width="9.42578125" style="4" customWidth="1"/>
    <col min="9" max="9" width="17.42578125" style="4" customWidth="1"/>
    <col min="10" max="16384" width="9" style="4"/>
  </cols>
  <sheetData>
    <row r="1" spans="1:10" s="19" customFormat="1" ht="23.25">
      <c r="A1" s="216" t="s">
        <v>160</v>
      </c>
      <c r="B1" s="216"/>
      <c r="C1" s="216"/>
      <c r="D1" s="216"/>
      <c r="E1" s="216"/>
      <c r="F1" s="216"/>
      <c r="G1" s="18"/>
      <c r="H1" s="18"/>
      <c r="I1" s="18"/>
      <c r="J1" s="18"/>
    </row>
    <row r="2" spans="1:10" s="19" customFormat="1" ht="23.25">
      <c r="A2" s="17" t="s">
        <v>99</v>
      </c>
      <c r="B2" s="20"/>
      <c r="C2" s="20"/>
      <c r="D2" s="20"/>
      <c r="E2" s="20"/>
      <c r="F2" s="20"/>
      <c r="G2" s="20"/>
      <c r="H2" s="20"/>
      <c r="I2" s="4"/>
      <c r="J2" s="20"/>
    </row>
    <row r="3" spans="1:10">
      <c r="A3" s="6" t="str">
        <f>ปร.5!A2</f>
        <v xml:space="preserve">โครงการ  ก่อสร้างรางส่งน้ำคอนกรีตเสริมเหล็ก บ้านดอนมูล หมู่ที่ 16 </v>
      </c>
    </row>
    <row r="4" spans="1:10">
      <c r="A4" s="6" t="str">
        <f>ปร.5!A3</f>
        <v xml:space="preserve">ปริมาณงาน   ขนาดกว้าง  2.00  เมตร ยาว 240.00 เมตร  ลึก  1.00  เมตร  หนา   0.10   </v>
      </c>
    </row>
    <row r="5" spans="1:10">
      <c r="A5" s="6" t="str">
        <f>ปร.5!A4</f>
        <v>สถานที่ก่อสร้าง ต่อลำเหมืองคอนกรีตเดิม บ้านดอนมูล หมู่ที่ 16  ตำบลปง   อำเภอปง   จังหวัดพะเยา</v>
      </c>
      <c r="C5" s="3"/>
      <c r="E5" s="3"/>
      <c r="G5" s="3"/>
      <c r="H5" s="3"/>
    </row>
    <row r="6" spans="1:10">
      <c r="A6" s="3" t="str">
        <f>ปร.5!A5</f>
        <v xml:space="preserve">แบบเลขที่      เทศบาลตำบลแม่ยมกำหนด  </v>
      </c>
      <c r="C6" s="3"/>
      <c r="E6" s="3"/>
    </row>
    <row r="7" spans="1:10">
      <c r="A7" s="4" t="str">
        <f>ปร.5!A6</f>
        <v xml:space="preserve">คำนวณราคาเมื่อวันที่   2   พฤษภาคม     2567    ใช้ราคาพาณิชย์ของจังหวัดพะเยาประจำเดือน    มีนาคม    2567  </v>
      </c>
      <c r="C7" s="3"/>
      <c r="E7" s="3"/>
    </row>
    <row r="8" spans="1:10">
      <c r="A8" s="214" t="s">
        <v>100</v>
      </c>
      <c r="B8" s="215"/>
      <c r="C8" s="215"/>
      <c r="D8" s="215"/>
      <c r="E8" s="215"/>
      <c r="F8" s="215"/>
    </row>
    <row r="9" spans="1:10">
      <c r="A9" s="21" t="s">
        <v>1</v>
      </c>
      <c r="B9" s="21" t="s">
        <v>0</v>
      </c>
      <c r="C9" s="22" t="s">
        <v>2</v>
      </c>
      <c r="D9" s="21" t="s">
        <v>101</v>
      </c>
      <c r="E9" s="23" t="s">
        <v>5</v>
      </c>
      <c r="F9" s="21" t="s">
        <v>26</v>
      </c>
    </row>
    <row r="10" spans="1:10">
      <c r="A10" s="24"/>
      <c r="B10" s="24" t="s">
        <v>73</v>
      </c>
      <c r="C10" s="25"/>
      <c r="D10" s="24"/>
      <c r="E10" s="26"/>
      <c r="F10" s="24"/>
    </row>
    <row r="11" spans="1:10">
      <c r="A11" s="27">
        <f>คำนวณดินขุด!D15</f>
        <v>116.16000000000003</v>
      </c>
      <c r="B11" s="28" t="s">
        <v>115</v>
      </c>
      <c r="C11" s="29" t="s">
        <v>15</v>
      </c>
      <c r="D11" s="30">
        <f>หลักเกณฑ์คำนวณ!E7</f>
        <v>18.59</v>
      </c>
      <c r="E11" s="31">
        <f>ROUNDDOWN(A11*D11,2)</f>
        <v>2159.41</v>
      </c>
      <c r="F11" s="32"/>
    </row>
    <row r="12" spans="1:10" ht="22.5" thickBot="1">
      <c r="A12" s="27"/>
      <c r="B12" s="8" t="s">
        <v>21</v>
      </c>
      <c r="C12" s="29"/>
      <c r="D12" s="28"/>
      <c r="E12" s="33"/>
      <c r="F12" s="34">
        <f>E11</f>
        <v>2159.41</v>
      </c>
    </row>
    <row r="13" spans="1:10" ht="22.5" thickTop="1">
      <c r="A13" s="28"/>
      <c r="B13" s="28" t="s">
        <v>83</v>
      </c>
      <c r="C13" s="29"/>
      <c r="D13" s="28"/>
      <c r="E13" s="33"/>
      <c r="F13" s="28"/>
    </row>
    <row r="14" spans="1:10">
      <c r="A14" s="27">
        <f>สรุปรายการปริมาณงาน!C9</f>
        <v>100.8</v>
      </c>
      <c r="B14" s="28" t="s">
        <v>102</v>
      </c>
      <c r="C14" s="29" t="s">
        <v>15</v>
      </c>
      <c r="D14" s="35">
        <f>หลักเกณฑ์คำนวณ!E26</f>
        <v>5710.58</v>
      </c>
      <c r="E14" s="36">
        <f>ROUND(A14*D14,2)</f>
        <v>575626.46</v>
      </c>
      <c r="F14" s="28"/>
    </row>
    <row r="15" spans="1:10">
      <c r="A15" s="27">
        <f>สรุปรายการปริมาณงาน!C13</f>
        <v>3573.96</v>
      </c>
      <c r="B15" s="28" t="s">
        <v>207</v>
      </c>
      <c r="C15" s="29" t="s">
        <v>14</v>
      </c>
      <c r="D15" s="37">
        <f>หลักเกณฑ์คำนวณ!E32</f>
        <v>33.229999999999997</v>
      </c>
      <c r="E15" s="31">
        <f>ROUND(A15*D15,2)</f>
        <v>118762.69</v>
      </c>
      <c r="F15" s="32"/>
    </row>
    <row r="16" spans="1:10" ht="22.5" thickBot="1">
      <c r="A16" s="28"/>
      <c r="B16" s="8" t="s">
        <v>21</v>
      </c>
      <c r="C16" s="38"/>
      <c r="D16" s="28"/>
      <c r="E16" s="33"/>
      <c r="F16" s="39">
        <f>E14+E15</f>
        <v>694389.14999999991</v>
      </c>
    </row>
    <row r="17" spans="1:6" s="43" customFormat="1" ht="14.25" thickTop="1">
      <c r="A17" s="40"/>
      <c r="B17" s="40"/>
      <c r="C17" s="41"/>
      <c r="D17" s="40"/>
      <c r="E17" s="42"/>
      <c r="F17" s="40"/>
    </row>
    <row r="18" spans="1:6">
      <c r="C18" s="44"/>
      <c r="E18" s="3"/>
    </row>
    <row r="19" spans="1:6" s="5" customFormat="1">
      <c r="B19" s="17"/>
      <c r="C19" s="4"/>
      <c r="D19" s="17"/>
    </row>
    <row r="20" spans="1:6" s="5" customFormat="1">
      <c r="B20" s="4"/>
      <c r="D20" s="4"/>
    </row>
    <row r="21" spans="1:6" s="5" customFormat="1">
      <c r="B21" s="4"/>
      <c r="D21" s="4"/>
    </row>
    <row r="22" spans="1:6" s="5" customFormat="1">
      <c r="B22" s="4"/>
      <c r="D22" s="4"/>
    </row>
    <row r="23" spans="1:6" s="5" customFormat="1">
      <c r="B23" s="17"/>
      <c r="D23" s="4"/>
    </row>
    <row r="24" spans="1:6" s="5" customFormat="1">
      <c r="B24" s="4"/>
      <c r="D24" s="4"/>
    </row>
    <row r="25" spans="1:6" s="5" customFormat="1">
      <c r="B25" s="4"/>
      <c r="D25" s="4"/>
    </row>
    <row r="26" spans="1:6">
      <c r="C26" s="44"/>
    </row>
    <row r="27" spans="1:6">
      <c r="C27" s="44"/>
    </row>
    <row r="28" spans="1:6">
      <c r="C28" s="44"/>
    </row>
    <row r="29" spans="1:6">
      <c r="C29" s="44"/>
    </row>
    <row r="30" spans="1:6">
      <c r="C30" s="44"/>
    </row>
    <row r="31" spans="1:6">
      <c r="C31" s="44"/>
    </row>
    <row r="32" spans="1:6">
      <c r="C32" s="44"/>
    </row>
    <row r="33" spans="2:8" s="45" customFormat="1" ht="18.75">
      <c r="C33" s="46"/>
    </row>
    <row r="34" spans="2:8">
      <c r="B34" s="17"/>
      <c r="D34" s="17"/>
      <c r="H34" s="47"/>
    </row>
    <row r="35" spans="2:8">
      <c r="E35" s="48"/>
    </row>
    <row r="36" spans="2:8">
      <c r="E36" s="48"/>
    </row>
    <row r="37" spans="2:8" s="51" customFormat="1" ht="15">
      <c r="B37" s="49"/>
      <c r="C37" s="49"/>
      <c r="D37" s="49"/>
      <c r="E37" s="50"/>
    </row>
    <row r="38" spans="2:8">
      <c r="E38" s="48"/>
    </row>
    <row r="39" spans="2:8">
      <c r="E39" s="48"/>
    </row>
    <row r="40" spans="2:8">
      <c r="E40" s="48"/>
    </row>
  </sheetData>
  <mergeCells count="2">
    <mergeCell ref="A8:F8"/>
    <mergeCell ref="A1:F1"/>
  </mergeCells>
  <pageMargins left="0.31496062992125984" right="0.31496062992125984" top="0.55118110236220474" bottom="0.15748031496062992" header="0.51181102362204722" footer="0.11811023622047245"/>
  <pageSetup scale="9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53"/>
  <sheetViews>
    <sheetView view="pageBreakPreview" topLeftCell="A7" zoomScaleNormal="100" zoomScaleSheetLayoutView="100" workbookViewId="0">
      <selection activeCell="E26" sqref="E26"/>
    </sheetView>
  </sheetViews>
  <sheetFormatPr defaultColWidth="9" defaultRowHeight="21.75"/>
  <cols>
    <col min="1" max="1" width="6.42578125" style="5" customWidth="1"/>
    <col min="2" max="2" width="29.140625" style="5" customWidth="1"/>
    <col min="3" max="3" width="11.5703125" style="5" customWidth="1"/>
    <col min="4" max="4" width="7.7109375" style="5" customWidth="1"/>
    <col min="5" max="5" width="12.42578125" style="5" customWidth="1"/>
    <col min="6" max="6" width="11" style="5" customWidth="1"/>
    <col min="7" max="7" width="15.7109375" style="5" customWidth="1"/>
    <col min="8" max="8" width="14.42578125" style="5" customWidth="1"/>
    <col min="9" max="9" width="12.7109375" style="5" customWidth="1"/>
    <col min="10" max="10" width="9.28515625" style="5" customWidth="1"/>
    <col min="11" max="11" width="9" style="5"/>
    <col min="12" max="12" width="13.28515625" style="5" bestFit="1" customWidth="1"/>
    <col min="13" max="16384" width="9" style="5"/>
  </cols>
  <sheetData>
    <row r="1" spans="1:12">
      <c r="A1" s="217" t="s">
        <v>72</v>
      </c>
      <c r="B1" s="218"/>
      <c r="C1" s="218"/>
      <c r="D1" s="218"/>
      <c r="E1" s="218"/>
      <c r="F1" s="218"/>
      <c r="G1" s="218"/>
    </row>
    <row r="2" spans="1:12">
      <c r="A2" s="52" t="s">
        <v>73</v>
      </c>
      <c r="B2" s="53"/>
      <c r="C2" s="53"/>
      <c r="D2" s="53"/>
      <c r="E2" s="53"/>
      <c r="F2" s="53"/>
      <c r="G2" s="53"/>
    </row>
    <row r="3" spans="1:12">
      <c r="A3" s="53">
        <v>1</v>
      </c>
      <c r="B3" s="17" t="s">
        <v>74</v>
      </c>
      <c r="C3" s="54"/>
      <c r="D3" s="55"/>
      <c r="E3" s="53"/>
      <c r="F3" s="53"/>
      <c r="G3" s="53"/>
    </row>
    <row r="4" spans="1:12">
      <c r="A4" s="53"/>
      <c r="B4" s="17" t="s">
        <v>75</v>
      </c>
      <c r="C4" s="56" t="s">
        <v>76</v>
      </c>
      <c r="D4" s="54" t="s">
        <v>77</v>
      </c>
      <c r="E4" s="57">
        <v>18.59</v>
      </c>
      <c r="F4" s="54" t="s">
        <v>78</v>
      </c>
      <c r="G4" s="53"/>
    </row>
    <row r="5" spans="1:12">
      <c r="A5" s="53"/>
      <c r="B5" s="17" t="s">
        <v>112</v>
      </c>
      <c r="C5" s="54"/>
      <c r="D5" s="54" t="s">
        <v>77</v>
      </c>
      <c r="E5" s="58">
        <v>0</v>
      </c>
      <c r="F5" s="54" t="s">
        <v>78</v>
      </c>
    </row>
    <row r="6" spans="1:12">
      <c r="A6" s="53"/>
      <c r="B6" s="17" t="s">
        <v>113</v>
      </c>
      <c r="C6" s="56" t="s">
        <v>79</v>
      </c>
      <c r="D6" s="54" t="s">
        <v>77</v>
      </c>
      <c r="E6" s="12">
        <f>ROUNDDOWN(E5*1.25,2)</f>
        <v>0</v>
      </c>
      <c r="F6" s="54" t="s">
        <v>78</v>
      </c>
    </row>
    <row r="7" spans="1:12">
      <c r="A7" s="53"/>
      <c r="B7" s="54" t="s">
        <v>80</v>
      </c>
      <c r="C7" s="54"/>
      <c r="D7" s="54" t="s">
        <v>77</v>
      </c>
      <c r="E7" s="59">
        <f>ROUNDDOWN(E4+E6,2)</f>
        <v>18.59</v>
      </c>
      <c r="F7" s="54" t="s">
        <v>78</v>
      </c>
    </row>
    <row r="8" spans="1:12">
      <c r="A8" s="52" t="s">
        <v>83</v>
      </c>
      <c r="B8" s="4"/>
      <c r="C8" s="54"/>
      <c r="D8" s="16"/>
      <c r="F8" s="54"/>
    </row>
    <row r="9" spans="1:12">
      <c r="A9" s="52" t="s">
        <v>84</v>
      </c>
      <c r="B9" s="4"/>
      <c r="C9" s="54"/>
      <c r="D9" s="16"/>
      <c r="F9" s="54"/>
    </row>
    <row r="10" spans="1:12">
      <c r="A10" s="53">
        <v>1</v>
      </c>
      <c r="B10" s="4" t="s">
        <v>114</v>
      </c>
      <c r="C10" s="53"/>
      <c r="D10" s="53"/>
      <c r="E10" s="60"/>
      <c r="F10" s="60"/>
    </row>
    <row r="11" spans="1:12">
      <c r="A11" s="53"/>
      <c r="B11" s="4" t="s">
        <v>86</v>
      </c>
      <c r="C11" s="56" t="s">
        <v>76</v>
      </c>
      <c r="D11" s="54" t="s">
        <v>77</v>
      </c>
      <c r="E11" s="61">
        <f>ราคางานคอนกรีต!F24</f>
        <v>2930.63</v>
      </c>
      <c r="F11" s="54" t="s">
        <v>78</v>
      </c>
    </row>
    <row r="12" spans="1:12">
      <c r="A12" s="53"/>
      <c r="B12" s="4" t="s">
        <v>87</v>
      </c>
      <c r="C12" s="53"/>
      <c r="D12" s="53"/>
      <c r="E12" s="53"/>
      <c r="F12" s="60"/>
      <c r="G12" s="53"/>
    </row>
    <row r="13" spans="1:12">
      <c r="B13" s="4" t="s">
        <v>88</v>
      </c>
    </row>
    <row r="14" spans="1:12">
      <c r="B14" s="4" t="s">
        <v>89</v>
      </c>
      <c r="C14" s="17"/>
      <c r="D14" s="54" t="s">
        <v>77</v>
      </c>
      <c r="E14" s="5" t="s">
        <v>90</v>
      </c>
      <c r="J14" s="5" t="s">
        <v>134</v>
      </c>
      <c r="L14" s="62">
        <v>139</v>
      </c>
    </row>
    <row r="15" spans="1:12">
      <c r="B15" s="63" t="s">
        <v>282</v>
      </c>
      <c r="C15" s="4"/>
      <c r="D15" s="54" t="s">
        <v>77</v>
      </c>
      <c r="E15" s="64" t="s">
        <v>283</v>
      </c>
      <c r="F15" s="4"/>
      <c r="J15" s="5" t="s">
        <v>135</v>
      </c>
      <c r="L15" s="62">
        <f>คำนวณไม้แบบ!D16+คำนวณไม้แบบ!D23</f>
        <v>1008</v>
      </c>
    </row>
    <row r="16" spans="1:12">
      <c r="B16" s="4"/>
      <c r="C16" s="56" t="s">
        <v>79</v>
      </c>
      <c r="D16" s="54" t="s">
        <v>77</v>
      </c>
      <c r="E16" s="61">
        <f>ROUNDDOWN(L14*L15,2)</f>
        <v>140112</v>
      </c>
      <c r="F16" s="4" t="s">
        <v>91</v>
      </c>
    </row>
    <row r="17" spans="1:12">
      <c r="B17" s="4" t="s">
        <v>216</v>
      </c>
      <c r="C17" s="56"/>
      <c r="D17" s="54" t="s">
        <v>77</v>
      </c>
      <c r="E17" s="60">
        <f>ราคาไม้แบบ!G7</f>
        <v>19305.03</v>
      </c>
      <c r="F17" s="4" t="s">
        <v>78</v>
      </c>
    </row>
    <row r="18" spans="1:12">
      <c r="B18" s="4" t="s">
        <v>217</v>
      </c>
      <c r="C18" s="56"/>
      <c r="D18" s="54" t="s">
        <v>77</v>
      </c>
      <c r="E18" s="60">
        <f>ราคาไม้แบบ!G6</f>
        <v>27026.98</v>
      </c>
      <c r="F18" s="4" t="s">
        <v>78</v>
      </c>
    </row>
    <row r="19" spans="1:12">
      <c r="B19" s="4" t="s">
        <v>171</v>
      </c>
      <c r="C19" s="56"/>
      <c r="D19" s="54" t="s">
        <v>77</v>
      </c>
      <c r="E19" s="60">
        <f>ROUNDDOWN((E17+E18)/2,2)</f>
        <v>23166</v>
      </c>
      <c r="F19" s="4" t="s">
        <v>78</v>
      </c>
    </row>
    <row r="20" spans="1:12">
      <c r="B20" s="4" t="s">
        <v>92</v>
      </c>
      <c r="C20" s="4"/>
      <c r="D20" s="54" t="s">
        <v>77</v>
      </c>
      <c r="E20" s="4" t="s">
        <v>284</v>
      </c>
      <c r="J20" s="5" t="s">
        <v>148</v>
      </c>
      <c r="L20" s="12">
        <f>ราคาไม้แบบ!G10</f>
        <v>23166</v>
      </c>
    </row>
    <row r="21" spans="1:12">
      <c r="B21" s="4"/>
      <c r="C21" s="4"/>
      <c r="D21" s="54" t="s">
        <v>77</v>
      </c>
      <c r="E21" s="63" t="s">
        <v>285</v>
      </c>
      <c r="F21" s="65"/>
    </row>
    <row r="22" spans="1:12">
      <c r="C22" s="56" t="s">
        <v>81</v>
      </c>
      <c r="D22" s="54" t="s">
        <v>77</v>
      </c>
      <c r="E22" s="61">
        <f>ROUNDDOWN((L15*(0.06/10))*L20,2)</f>
        <v>140107.96</v>
      </c>
      <c r="F22" s="4" t="s">
        <v>91</v>
      </c>
    </row>
    <row r="23" spans="1:12">
      <c r="B23" s="4" t="s">
        <v>93</v>
      </c>
      <c r="D23" s="54" t="s">
        <v>77</v>
      </c>
      <c r="E23" s="4" t="s">
        <v>176</v>
      </c>
    </row>
    <row r="24" spans="1:12">
      <c r="B24" s="4"/>
      <c r="D24" s="54" t="s">
        <v>77</v>
      </c>
      <c r="E24" s="63" t="s">
        <v>289</v>
      </c>
      <c r="F24" s="65"/>
      <c r="J24" s="5" t="s">
        <v>136</v>
      </c>
      <c r="L24" s="12">
        <f>คำนวณคอนกรีต!D21</f>
        <v>100.8</v>
      </c>
    </row>
    <row r="25" spans="1:12">
      <c r="C25" s="56" t="s">
        <v>82</v>
      </c>
      <c r="D25" s="54" t="s">
        <v>77</v>
      </c>
      <c r="E25" s="62">
        <f>ROUNDDOWN((E16+E22)/L24,2)</f>
        <v>2779.95</v>
      </c>
      <c r="F25" s="4" t="s">
        <v>94</v>
      </c>
    </row>
    <row r="26" spans="1:12">
      <c r="B26" s="4" t="s">
        <v>95</v>
      </c>
      <c r="D26" s="54" t="s">
        <v>77</v>
      </c>
      <c r="E26" s="59">
        <f>ROUNDDOWN(E11+E25,2)</f>
        <v>5710.58</v>
      </c>
      <c r="F26" s="4" t="s">
        <v>94</v>
      </c>
    </row>
    <row r="27" spans="1:12">
      <c r="A27" s="53">
        <v>2</v>
      </c>
      <c r="B27" s="4" t="s">
        <v>96</v>
      </c>
    </row>
    <row r="28" spans="1:12">
      <c r="B28" s="4" t="s">
        <v>149</v>
      </c>
      <c r="D28" s="54" t="s">
        <v>77</v>
      </c>
      <c r="E28" s="62">
        <f>ราคาเฉลี่ยเหล็กเสริม!J12</f>
        <v>26.99</v>
      </c>
      <c r="F28" s="4" t="s">
        <v>97</v>
      </c>
    </row>
    <row r="29" spans="1:12">
      <c r="B29" s="4" t="s">
        <v>150</v>
      </c>
    </row>
    <row r="30" spans="1:12">
      <c r="B30" s="63" t="s">
        <v>244</v>
      </c>
      <c r="D30" s="54" t="s">
        <v>77</v>
      </c>
      <c r="E30" s="62">
        <f>ROUNDDOWN(E28*0.1,2)</f>
        <v>2.69</v>
      </c>
      <c r="F30" s="4" t="s">
        <v>97</v>
      </c>
    </row>
    <row r="31" spans="1:12">
      <c r="B31" s="4" t="s">
        <v>151</v>
      </c>
      <c r="D31" s="54" t="s">
        <v>77</v>
      </c>
      <c r="E31" s="62">
        <v>3.55</v>
      </c>
      <c r="F31" s="4" t="s">
        <v>97</v>
      </c>
    </row>
    <row r="32" spans="1:12">
      <c r="B32" s="4" t="s">
        <v>98</v>
      </c>
      <c r="D32" s="54" t="s">
        <v>77</v>
      </c>
      <c r="E32" s="59">
        <f>E28+E30+E31</f>
        <v>33.229999999999997</v>
      </c>
      <c r="F32" s="4" t="s">
        <v>97</v>
      </c>
    </row>
    <row r="33" spans="1:12">
      <c r="B33" s="4"/>
      <c r="D33" s="54"/>
      <c r="E33" s="12"/>
      <c r="F33" s="4"/>
    </row>
    <row r="36" spans="1:12">
      <c r="B36" s="4"/>
      <c r="D36" s="54"/>
      <c r="E36" s="4"/>
    </row>
    <row r="37" spans="1:12">
      <c r="B37" s="4"/>
      <c r="D37" s="54"/>
      <c r="E37" s="66"/>
      <c r="F37" s="67"/>
      <c r="L37" s="12"/>
    </row>
    <row r="38" spans="1:12">
      <c r="C38" s="56"/>
      <c r="D38" s="54"/>
      <c r="E38" s="62"/>
      <c r="F38" s="4"/>
    </row>
    <row r="39" spans="1:12">
      <c r="B39" s="4"/>
      <c r="D39" s="54"/>
      <c r="E39" s="12"/>
      <c r="F39" s="4"/>
    </row>
    <row r="40" spans="1:12">
      <c r="A40" s="53"/>
      <c r="B40" s="4"/>
    </row>
    <row r="41" spans="1:12">
      <c r="B41" s="4"/>
      <c r="D41" s="54"/>
      <c r="E41" s="62"/>
      <c r="F41" s="4"/>
    </row>
    <row r="42" spans="1:12">
      <c r="B42" s="4"/>
    </row>
    <row r="43" spans="1:12">
      <c r="B43" s="66"/>
      <c r="D43" s="54"/>
      <c r="E43" s="62"/>
      <c r="F43" s="4"/>
    </row>
    <row r="44" spans="1:12">
      <c r="B44" s="4"/>
      <c r="D44" s="54"/>
      <c r="E44" s="62"/>
      <c r="F44" s="4"/>
    </row>
    <row r="45" spans="1:12">
      <c r="B45" s="4"/>
      <c r="D45" s="54"/>
      <c r="E45" s="12"/>
      <c r="F45" s="4"/>
    </row>
    <row r="46" spans="1:12">
      <c r="B46" s="4"/>
      <c r="D46" s="54"/>
      <c r="E46" s="12"/>
      <c r="F46" s="4"/>
    </row>
    <row r="47" spans="1:12">
      <c r="A47" s="17"/>
      <c r="D47" s="4"/>
      <c r="E47" s="17"/>
    </row>
    <row r="48" spans="1:12">
      <c r="A48" s="4"/>
      <c r="E48" s="4"/>
    </row>
    <row r="49" spans="1:5">
      <c r="A49" s="4"/>
      <c r="E49" s="4"/>
    </row>
    <row r="50" spans="1:5">
      <c r="A50" s="4"/>
      <c r="E50" s="4"/>
    </row>
    <row r="51" spans="1:5">
      <c r="A51" s="17"/>
      <c r="E51" s="4"/>
    </row>
    <row r="52" spans="1:5">
      <c r="A52" s="4"/>
      <c r="E52" s="4"/>
    </row>
    <row r="53" spans="1:5">
      <c r="A53" s="4"/>
      <c r="E53" s="4"/>
    </row>
  </sheetData>
  <mergeCells count="1">
    <mergeCell ref="A1:G1"/>
  </mergeCells>
  <pageMargins left="0.51181102362204722" right="0.31496062992125984" top="0.15748031496062992" bottom="0.15748031496062992" header="0.11811023622047245" footer="0.11811023622047245"/>
  <pageSetup scale="8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W37"/>
  <sheetViews>
    <sheetView view="pageBreakPreview" topLeftCell="A8" zoomScale="120" zoomScaleNormal="100" zoomScaleSheetLayoutView="120" zoomScalePageLayoutView="75" workbookViewId="0">
      <selection activeCell="G26" sqref="G26"/>
    </sheetView>
  </sheetViews>
  <sheetFormatPr defaultColWidth="9" defaultRowHeight="18.75"/>
  <cols>
    <col min="1" max="1" width="11.28515625" style="45" customWidth="1"/>
    <col min="2" max="2" width="8.5703125" style="45" customWidth="1"/>
    <col min="3" max="3" width="6.140625" style="45" customWidth="1"/>
    <col min="4" max="4" width="5" style="45" customWidth="1"/>
    <col min="5" max="5" width="6.28515625" style="45" customWidth="1"/>
    <col min="6" max="6" width="5" style="45" customWidth="1"/>
    <col min="7" max="7" width="5.85546875" style="45" customWidth="1"/>
    <col min="8" max="8" width="5" style="45" customWidth="1"/>
    <col min="9" max="9" width="6.140625" style="45" customWidth="1"/>
    <col min="10" max="10" width="4.7109375" style="45" customWidth="1"/>
    <col min="11" max="11" width="5.5703125" style="45" customWidth="1"/>
    <col min="12" max="12" width="5.140625" style="45" customWidth="1"/>
    <col min="13" max="13" width="5.42578125" style="45" customWidth="1"/>
    <col min="14" max="14" width="5" style="45" customWidth="1"/>
    <col min="15" max="15" width="5.5703125" style="45" customWidth="1"/>
    <col min="16" max="16" width="4.85546875" style="45" customWidth="1"/>
    <col min="17" max="17" width="5.5703125" style="45" customWidth="1"/>
    <col min="18" max="18" width="4.85546875" style="45" customWidth="1"/>
    <col min="19" max="19" width="5.7109375" style="45" customWidth="1"/>
    <col min="20" max="20" width="5" style="45" customWidth="1"/>
    <col min="21" max="21" width="5.7109375" style="45" customWidth="1"/>
    <col min="22" max="22" width="4.7109375" style="45" customWidth="1"/>
    <col min="23" max="23" width="5.5703125" style="45" customWidth="1"/>
    <col min="24" max="16384" width="9" style="45"/>
  </cols>
  <sheetData>
    <row r="1" spans="1:23" ht="21.75">
      <c r="A1" s="219" t="s">
        <v>31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  <c r="L1" s="219"/>
      <c r="M1" s="219"/>
      <c r="N1" s="219"/>
      <c r="O1" s="219"/>
      <c r="P1" s="219"/>
      <c r="Q1" s="219"/>
      <c r="R1" s="219"/>
      <c r="S1" s="219"/>
      <c r="T1" s="219"/>
      <c r="U1" s="219"/>
      <c r="V1" s="219"/>
    </row>
    <row r="2" spans="1:23" ht="24">
      <c r="A2" s="203" t="s">
        <v>32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  <c r="V2" s="203"/>
    </row>
    <row r="3" spans="1:23">
      <c r="A3" s="220" t="s">
        <v>33</v>
      </c>
      <c r="B3" s="222" t="s">
        <v>34</v>
      </c>
      <c r="C3" s="222"/>
      <c r="D3" s="222" t="s">
        <v>35</v>
      </c>
      <c r="E3" s="222"/>
      <c r="F3" s="222" t="s">
        <v>36</v>
      </c>
      <c r="G3" s="222"/>
      <c r="H3" s="222"/>
      <c r="I3" s="222"/>
      <c r="J3" s="222"/>
      <c r="K3" s="222"/>
      <c r="L3" s="223" t="s">
        <v>37</v>
      </c>
      <c r="M3" s="224"/>
      <c r="N3" s="223" t="s">
        <v>38</v>
      </c>
      <c r="O3" s="224"/>
      <c r="P3" s="223" t="s">
        <v>39</v>
      </c>
      <c r="Q3" s="224"/>
      <c r="R3" s="223" t="s">
        <v>40</v>
      </c>
      <c r="S3" s="224"/>
      <c r="T3" s="223" t="s">
        <v>41</v>
      </c>
      <c r="U3" s="224"/>
      <c r="V3" s="220" t="s">
        <v>42</v>
      </c>
      <c r="W3" s="220"/>
    </row>
    <row r="4" spans="1:23">
      <c r="A4" s="221"/>
      <c r="B4" s="222"/>
      <c r="C4" s="222"/>
      <c r="D4" s="222" t="s">
        <v>43</v>
      </c>
      <c r="E4" s="222"/>
      <c r="F4" s="222" t="s">
        <v>44</v>
      </c>
      <c r="G4" s="222"/>
      <c r="H4" s="222" t="s">
        <v>45</v>
      </c>
      <c r="I4" s="222"/>
      <c r="J4" s="222" t="s">
        <v>46</v>
      </c>
      <c r="K4" s="222"/>
      <c r="L4" s="225"/>
      <c r="M4" s="226"/>
      <c r="N4" s="225"/>
      <c r="O4" s="226"/>
      <c r="P4" s="225"/>
      <c r="Q4" s="226"/>
      <c r="R4" s="225"/>
      <c r="S4" s="226"/>
      <c r="T4" s="225"/>
      <c r="U4" s="226"/>
      <c r="V4" s="221"/>
      <c r="W4" s="221"/>
    </row>
    <row r="5" spans="1:23">
      <c r="A5" s="221"/>
      <c r="B5" s="68" t="s">
        <v>47</v>
      </c>
      <c r="C5" s="68" t="s">
        <v>2</v>
      </c>
      <c r="D5" s="68" t="s">
        <v>1</v>
      </c>
      <c r="E5" s="68" t="s">
        <v>48</v>
      </c>
      <c r="F5" s="68" t="s">
        <v>1</v>
      </c>
      <c r="G5" s="68" t="s">
        <v>48</v>
      </c>
      <c r="H5" s="68" t="s">
        <v>1</v>
      </c>
      <c r="I5" s="68" t="s">
        <v>48</v>
      </c>
      <c r="J5" s="68" t="s">
        <v>1</v>
      </c>
      <c r="K5" s="68" t="s">
        <v>48</v>
      </c>
      <c r="L5" s="68" t="s">
        <v>1</v>
      </c>
      <c r="M5" s="68" t="s">
        <v>48</v>
      </c>
      <c r="N5" s="68" t="s">
        <v>1</v>
      </c>
      <c r="O5" s="68" t="s">
        <v>48</v>
      </c>
      <c r="P5" s="68" t="s">
        <v>1</v>
      </c>
      <c r="Q5" s="68" t="s">
        <v>48</v>
      </c>
      <c r="R5" s="68" t="s">
        <v>1</v>
      </c>
      <c r="S5" s="68" t="s">
        <v>48</v>
      </c>
      <c r="T5" s="68" t="s">
        <v>1</v>
      </c>
      <c r="U5" s="68" t="s">
        <v>48</v>
      </c>
      <c r="V5" s="68" t="s">
        <v>1</v>
      </c>
      <c r="W5" s="68" t="s">
        <v>48</v>
      </c>
    </row>
    <row r="6" spans="1:23">
      <c r="A6" s="69"/>
      <c r="B6" s="70" t="s">
        <v>49</v>
      </c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</row>
    <row r="7" spans="1:23">
      <c r="A7" s="71" t="s">
        <v>50</v>
      </c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  <c r="P7" s="72"/>
      <c r="Q7" s="72"/>
      <c r="R7" s="72"/>
      <c r="S7" s="72"/>
      <c r="T7" s="72"/>
      <c r="U7" s="72"/>
      <c r="V7" s="72"/>
      <c r="W7" s="72"/>
    </row>
    <row r="8" spans="1:23">
      <c r="A8" s="73" t="s">
        <v>51</v>
      </c>
      <c r="B8" s="74">
        <f>ราคาวัสดุ!I10</f>
        <v>0</v>
      </c>
      <c r="C8" s="75" t="s">
        <v>15</v>
      </c>
      <c r="D8" s="75">
        <v>0.61</v>
      </c>
      <c r="E8" s="73">
        <f>ROUNDDOWN(B8*D8,2)</f>
        <v>0</v>
      </c>
      <c r="F8" s="75" t="s">
        <v>52</v>
      </c>
      <c r="G8" s="75" t="s">
        <v>52</v>
      </c>
      <c r="H8" s="75" t="s">
        <v>52</v>
      </c>
      <c r="I8" s="75" t="s">
        <v>52</v>
      </c>
      <c r="J8" s="75" t="s">
        <v>52</v>
      </c>
      <c r="K8" s="75" t="s">
        <v>52</v>
      </c>
      <c r="L8" s="75" t="s">
        <v>52</v>
      </c>
      <c r="M8" s="75" t="s">
        <v>52</v>
      </c>
      <c r="N8" s="75" t="s">
        <v>52</v>
      </c>
      <c r="O8" s="75" t="s">
        <v>52</v>
      </c>
      <c r="P8" s="76">
        <v>1.28</v>
      </c>
      <c r="Q8" s="77">
        <f>ROUND(B8*P8,2)</f>
        <v>0</v>
      </c>
      <c r="R8" s="76">
        <v>1.28</v>
      </c>
      <c r="S8" s="76">
        <f>ROUNDDOWN(B8*R8,2)</f>
        <v>0</v>
      </c>
      <c r="T8" s="76">
        <v>1.1399999999999999</v>
      </c>
      <c r="U8" s="76">
        <f>ROUNDDOWN(B8*T8,2)</f>
        <v>0</v>
      </c>
      <c r="V8" s="76">
        <v>1.1000000000000001</v>
      </c>
      <c r="W8" s="75">
        <f>ROUNDDOWN(B8*V8,2)</f>
        <v>0</v>
      </c>
    </row>
    <row r="9" spans="1:23">
      <c r="A9" s="73" t="s">
        <v>53</v>
      </c>
      <c r="B9" s="74">
        <f>ราคาวัสดุ!I9</f>
        <v>746.5</v>
      </c>
      <c r="C9" s="75" t="s">
        <v>15</v>
      </c>
      <c r="D9" s="75">
        <v>0.56999999999999995</v>
      </c>
      <c r="E9" s="73">
        <f>ROUNDDOWN(B9*D9,2)</f>
        <v>425.5</v>
      </c>
      <c r="F9" s="76">
        <v>0.86</v>
      </c>
      <c r="G9" s="73">
        <f>ROUNDDOWN(B9*F9,2)</f>
        <v>641.99</v>
      </c>
      <c r="H9" s="75">
        <v>0.88</v>
      </c>
      <c r="I9" s="73">
        <f>ROUNDDOWN(B9*H9,2)</f>
        <v>656.92</v>
      </c>
      <c r="J9" s="75">
        <v>0.89</v>
      </c>
      <c r="K9" s="73">
        <f>ROUNDDOWN(B9*J9,2)</f>
        <v>664.38</v>
      </c>
      <c r="L9" s="73">
        <v>0.77</v>
      </c>
      <c r="M9" s="73">
        <f>ROUNDDOWN(B9*L9,2)</f>
        <v>574.79999999999995</v>
      </c>
      <c r="N9" s="73">
        <v>0.82</v>
      </c>
      <c r="O9" s="73">
        <f>ROUNDDOWN(B9*N9,2)</f>
        <v>612.13</v>
      </c>
      <c r="P9" s="75" t="s">
        <v>52</v>
      </c>
      <c r="Q9" s="75" t="s">
        <v>52</v>
      </c>
      <c r="R9" s="75" t="s">
        <v>52</v>
      </c>
      <c r="S9" s="76" t="s">
        <v>52</v>
      </c>
      <c r="T9" s="75">
        <v>0.34</v>
      </c>
      <c r="U9" s="76">
        <f>ROUNDDOWN(B9*T9,2)</f>
        <v>253.81</v>
      </c>
      <c r="V9" s="75" t="s">
        <v>52</v>
      </c>
      <c r="W9" s="75" t="s">
        <v>52</v>
      </c>
    </row>
    <row r="10" spans="1:23">
      <c r="A10" s="73" t="s">
        <v>54</v>
      </c>
      <c r="B10" s="74">
        <f>ราคาวัสดุ!I8</f>
        <v>818.15</v>
      </c>
      <c r="C10" s="75" t="s">
        <v>15</v>
      </c>
      <c r="D10" s="75">
        <v>0.66</v>
      </c>
      <c r="E10" s="73">
        <f>ROUNDDOWN(B10*D10,2)</f>
        <v>539.97</v>
      </c>
      <c r="F10" s="76">
        <v>0.8</v>
      </c>
      <c r="G10" s="78">
        <f>ROUNDDOWN(B10*F10,2)</f>
        <v>654.52</v>
      </c>
      <c r="H10" s="75">
        <v>0.76</v>
      </c>
      <c r="I10" s="73">
        <f>ROUNDDOWN(B10*H10,2)</f>
        <v>621.79</v>
      </c>
      <c r="J10" s="75">
        <v>0.73</v>
      </c>
      <c r="K10" s="73">
        <f>ROUNDDOWN(B10*J10,2)</f>
        <v>597.24</v>
      </c>
      <c r="L10" s="73">
        <v>0.89</v>
      </c>
      <c r="M10" s="73">
        <f>ROUNDDOWN(B10*L10,2)</f>
        <v>728.15</v>
      </c>
      <c r="N10" s="73">
        <v>0.87</v>
      </c>
      <c r="O10" s="73">
        <f>ROUNDDOWN(B10*N10,2)</f>
        <v>711.79</v>
      </c>
      <c r="P10" s="75" t="s">
        <v>52</v>
      </c>
      <c r="Q10" s="75" t="s">
        <v>52</v>
      </c>
      <c r="R10" s="75">
        <v>0.06</v>
      </c>
      <c r="S10" s="76">
        <f>ROUNDDOWN(B10*R10,2)</f>
        <v>49.08</v>
      </c>
      <c r="T10" s="75">
        <v>0.54</v>
      </c>
      <c r="U10" s="76">
        <f>ROUNDDOWN(B10*T10,2)</f>
        <v>441.8</v>
      </c>
      <c r="V10" s="75" t="s">
        <v>52</v>
      </c>
      <c r="W10" s="75" t="s">
        <v>52</v>
      </c>
    </row>
    <row r="11" spans="1:23">
      <c r="A11" s="73" t="s">
        <v>55</v>
      </c>
      <c r="B11" s="74">
        <f>ราคาวัสดุ!I12</f>
        <v>159.57</v>
      </c>
      <c r="C11" s="75" t="s">
        <v>13</v>
      </c>
      <c r="D11" s="75">
        <v>4.8099999999999996</v>
      </c>
      <c r="E11" s="73">
        <f>ROUNDDOWN(B11*D11,2)</f>
        <v>767.53</v>
      </c>
      <c r="F11" s="76">
        <v>5.86</v>
      </c>
      <c r="G11" s="78">
        <f>ROUNDDOWN(B11*F11,2)</f>
        <v>935.08</v>
      </c>
      <c r="H11" s="76">
        <v>6.5</v>
      </c>
      <c r="I11" s="73">
        <f>ROUNDDOWN(B11*H11,2)</f>
        <v>1037.2</v>
      </c>
      <c r="J11" s="75">
        <v>7.19</v>
      </c>
      <c r="K11" s="73">
        <f>ROUNDDOWN(B11*J11,2)</f>
        <v>1147.3</v>
      </c>
      <c r="L11" s="73">
        <v>6.24</v>
      </c>
      <c r="M11" s="73">
        <f>ROUNDDOWN(B11*L11,2)</f>
        <v>995.71</v>
      </c>
      <c r="N11" s="73">
        <v>4.71</v>
      </c>
      <c r="O11" s="73">
        <f>ROUNDDOWN(B11*N11,2)</f>
        <v>751.57</v>
      </c>
      <c r="P11" s="75" t="s">
        <v>52</v>
      </c>
      <c r="Q11" s="75" t="s">
        <v>52</v>
      </c>
      <c r="R11" s="75">
        <v>0.32</v>
      </c>
      <c r="S11" s="76">
        <f>ROUNDDOWN(B11*R11,2)</f>
        <v>51.06</v>
      </c>
      <c r="T11" s="75">
        <v>4.09</v>
      </c>
      <c r="U11" s="76">
        <f>ROUNDDOWN(B11*T11,2)</f>
        <v>652.64</v>
      </c>
      <c r="V11" s="75" t="s">
        <v>52</v>
      </c>
      <c r="W11" s="75" t="s">
        <v>52</v>
      </c>
    </row>
    <row r="12" spans="1:23">
      <c r="A12" s="73"/>
      <c r="B12" s="73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73"/>
      <c r="S12" s="73"/>
      <c r="T12" s="73"/>
      <c r="U12" s="73"/>
      <c r="V12" s="73"/>
      <c r="W12" s="73"/>
    </row>
    <row r="13" spans="1:23">
      <c r="A13" s="79" t="s">
        <v>3</v>
      </c>
      <c r="B13" s="73"/>
      <c r="C13" s="73"/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73"/>
      <c r="O13" s="73"/>
      <c r="P13" s="73"/>
      <c r="Q13" s="73"/>
      <c r="R13" s="73"/>
      <c r="S13" s="73"/>
      <c r="T13" s="73"/>
      <c r="U13" s="73"/>
      <c r="V13" s="73"/>
      <c r="W13" s="73"/>
    </row>
    <row r="14" spans="1:23">
      <c r="A14" s="73" t="s">
        <v>56</v>
      </c>
      <c r="B14" s="75" t="s">
        <v>52</v>
      </c>
      <c r="C14" s="75" t="s">
        <v>57</v>
      </c>
      <c r="D14" s="75" t="s">
        <v>52</v>
      </c>
      <c r="E14" s="75">
        <v>56.72</v>
      </c>
      <c r="F14" s="75" t="s">
        <v>52</v>
      </c>
      <c r="G14" s="75" t="s">
        <v>52</v>
      </c>
      <c r="H14" s="75" t="s">
        <v>219</v>
      </c>
      <c r="I14" s="75" t="s">
        <v>52</v>
      </c>
      <c r="J14" s="75" t="s">
        <v>52</v>
      </c>
      <c r="K14" s="75" t="s">
        <v>52</v>
      </c>
      <c r="L14" s="75" t="s">
        <v>52</v>
      </c>
      <c r="M14" s="75" t="s">
        <v>52</v>
      </c>
      <c r="N14" s="75" t="s">
        <v>52</v>
      </c>
      <c r="O14" s="75" t="s">
        <v>52</v>
      </c>
      <c r="P14" s="75" t="s">
        <v>52</v>
      </c>
      <c r="Q14" s="73">
        <v>224.38</v>
      </c>
      <c r="R14" s="75" t="s">
        <v>52</v>
      </c>
      <c r="S14" s="75">
        <v>269.26</v>
      </c>
      <c r="T14" s="75" t="s">
        <v>52</v>
      </c>
      <c r="U14" s="75">
        <v>409.83</v>
      </c>
      <c r="V14" s="75" t="s">
        <v>52</v>
      </c>
      <c r="W14" s="73">
        <v>74.680000000000007</v>
      </c>
    </row>
    <row r="15" spans="1:23">
      <c r="A15" s="73" t="s">
        <v>58</v>
      </c>
      <c r="B15" s="75" t="s">
        <v>52</v>
      </c>
      <c r="C15" s="75" t="s">
        <v>57</v>
      </c>
      <c r="D15" s="75" t="s">
        <v>52</v>
      </c>
      <c r="E15" s="75">
        <v>191.83</v>
      </c>
      <c r="F15" s="75" t="s">
        <v>52</v>
      </c>
      <c r="G15" s="75">
        <v>233.87</v>
      </c>
      <c r="H15" s="75" t="s">
        <v>52</v>
      </c>
      <c r="I15" s="75">
        <v>259.05</v>
      </c>
      <c r="J15" s="75" t="s">
        <v>52</v>
      </c>
      <c r="K15" s="75">
        <v>286.48</v>
      </c>
      <c r="L15" s="75" t="s">
        <v>52</v>
      </c>
      <c r="M15" s="76">
        <v>248.85</v>
      </c>
      <c r="N15" s="75" t="s">
        <v>52</v>
      </c>
      <c r="O15" s="75">
        <v>203.59</v>
      </c>
      <c r="P15" s="75" t="s">
        <v>52</v>
      </c>
      <c r="Q15" s="75" t="s">
        <v>52</v>
      </c>
      <c r="R15" s="75" t="s">
        <v>52</v>
      </c>
      <c r="S15" s="75" t="s">
        <v>52</v>
      </c>
      <c r="T15" s="75" t="s">
        <v>52</v>
      </c>
      <c r="U15" s="75" t="s">
        <v>52</v>
      </c>
      <c r="V15" s="75" t="s">
        <v>52</v>
      </c>
      <c r="W15" s="75" t="s">
        <v>52</v>
      </c>
    </row>
    <row r="16" spans="1:23">
      <c r="A16" s="73" t="s">
        <v>59</v>
      </c>
      <c r="B16" s="75" t="s">
        <v>52</v>
      </c>
      <c r="C16" s="75" t="s">
        <v>57</v>
      </c>
      <c r="D16" s="75" t="s">
        <v>52</v>
      </c>
      <c r="E16" s="75">
        <v>151.25</v>
      </c>
      <c r="F16" s="75" t="s">
        <v>52</v>
      </c>
      <c r="G16" s="75">
        <v>184.4</v>
      </c>
      <c r="H16" s="75" t="s">
        <v>52</v>
      </c>
      <c r="I16" s="75">
        <v>204.25</v>
      </c>
      <c r="J16" s="75" t="s">
        <v>52</v>
      </c>
      <c r="K16" s="75">
        <v>225.88</v>
      </c>
      <c r="L16" s="75" t="s">
        <v>52</v>
      </c>
      <c r="M16" s="76">
        <v>196.2</v>
      </c>
      <c r="N16" s="75" t="s">
        <v>52</v>
      </c>
      <c r="O16" s="75">
        <v>129.56</v>
      </c>
      <c r="P16" s="75" t="s">
        <v>52</v>
      </c>
      <c r="Q16" s="75" t="s">
        <v>52</v>
      </c>
      <c r="R16" s="75" t="s">
        <v>52</v>
      </c>
      <c r="S16" s="75" t="s">
        <v>52</v>
      </c>
      <c r="T16" s="75" t="s">
        <v>52</v>
      </c>
      <c r="U16" s="75" t="s">
        <v>52</v>
      </c>
      <c r="V16" s="75" t="s">
        <v>52</v>
      </c>
      <c r="W16" s="75" t="s">
        <v>52</v>
      </c>
    </row>
    <row r="17" spans="1:23">
      <c r="A17" s="73" t="s">
        <v>60</v>
      </c>
      <c r="B17" s="75" t="s">
        <v>52</v>
      </c>
      <c r="C17" s="75" t="s">
        <v>57</v>
      </c>
      <c r="D17" s="75" t="s">
        <v>52</v>
      </c>
      <c r="E17" s="75">
        <v>86.17</v>
      </c>
      <c r="F17" s="75" t="s">
        <v>52</v>
      </c>
      <c r="G17" s="75">
        <v>86.17</v>
      </c>
      <c r="H17" s="75" t="s">
        <v>52</v>
      </c>
      <c r="I17" s="75">
        <v>86.17</v>
      </c>
      <c r="J17" s="75" t="s">
        <v>52</v>
      </c>
      <c r="K17" s="75">
        <v>86.17</v>
      </c>
      <c r="L17" s="75" t="s">
        <v>52</v>
      </c>
      <c r="M17" s="76">
        <v>210.02</v>
      </c>
      <c r="N17" s="75" t="s">
        <v>52</v>
      </c>
      <c r="O17" s="75" t="s">
        <v>52</v>
      </c>
      <c r="P17" s="75" t="s">
        <v>52</v>
      </c>
      <c r="Q17" s="75" t="s">
        <v>52</v>
      </c>
      <c r="R17" s="75" t="s">
        <v>52</v>
      </c>
      <c r="S17" s="75" t="s">
        <v>52</v>
      </c>
      <c r="T17" s="75" t="s">
        <v>52</v>
      </c>
      <c r="U17" s="75" t="s">
        <v>52</v>
      </c>
      <c r="V17" s="75" t="s">
        <v>52</v>
      </c>
      <c r="W17" s="75" t="s">
        <v>52</v>
      </c>
    </row>
    <row r="18" spans="1:23">
      <c r="A18" s="73"/>
      <c r="B18" s="73"/>
      <c r="C18" s="75"/>
      <c r="D18" s="73"/>
      <c r="E18" s="73"/>
      <c r="F18" s="75"/>
      <c r="G18" s="73"/>
      <c r="H18" s="73"/>
      <c r="I18" s="73"/>
      <c r="J18" s="75"/>
      <c r="K18" s="73"/>
      <c r="L18" s="73"/>
      <c r="M18" s="76"/>
      <c r="N18" s="73"/>
      <c r="O18" s="75"/>
      <c r="P18" s="73"/>
      <c r="Q18" s="75"/>
      <c r="R18" s="73"/>
      <c r="S18" s="73"/>
      <c r="T18" s="73"/>
      <c r="U18" s="75"/>
      <c r="V18" s="73"/>
      <c r="W18" s="75"/>
    </row>
    <row r="19" spans="1:23">
      <c r="A19" s="79" t="s">
        <v>61</v>
      </c>
      <c r="B19" s="73"/>
      <c r="C19" s="75"/>
      <c r="D19" s="73"/>
      <c r="E19" s="73"/>
      <c r="F19" s="75"/>
      <c r="G19" s="73"/>
      <c r="H19" s="73"/>
      <c r="I19" s="73"/>
      <c r="J19" s="75"/>
      <c r="K19" s="73"/>
      <c r="L19" s="73"/>
      <c r="M19" s="76"/>
      <c r="N19" s="73"/>
      <c r="O19" s="75"/>
      <c r="P19" s="73"/>
      <c r="Q19" s="75"/>
      <c r="R19" s="73"/>
      <c r="S19" s="73"/>
      <c r="T19" s="73"/>
      <c r="U19" s="75"/>
      <c r="V19" s="73"/>
      <c r="W19" s="75"/>
    </row>
    <row r="20" spans="1:23">
      <c r="A20" s="73" t="s">
        <v>62</v>
      </c>
      <c r="B20" s="75" t="s">
        <v>52</v>
      </c>
      <c r="C20" s="75" t="s">
        <v>57</v>
      </c>
      <c r="D20" s="75" t="s">
        <v>52</v>
      </c>
      <c r="E20" s="75">
        <v>24.95</v>
      </c>
      <c r="F20" s="75" t="s">
        <v>52</v>
      </c>
      <c r="G20" s="75">
        <v>30.42</v>
      </c>
      <c r="H20" s="75" t="s">
        <v>52</v>
      </c>
      <c r="I20" s="75">
        <v>33.69</v>
      </c>
      <c r="J20" s="75" t="s">
        <v>52</v>
      </c>
      <c r="K20" s="75">
        <v>37.26</v>
      </c>
      <c r="L20" s="75" t="s">
        <v>52</v>
      </c>
      <c r="M20" s="76">
        <v>42.72</v>
      </c>
      <c r="N20" s="75" t="s">
        <v>52</v>
      </c>
      <c r="O20" s="75">
        <v>14.44</v>
      </c>
      <c r="P20" s="75" t="s">
        <v>52</v>
      </c>
      <c r="Q20" s="75" t="s">
        <v>52</v>
      </c>
      <c r="R20" s="75" t="s">
        <v>52</v>
      </c>
      <c r="S20" s="75">
        <v>3.61</v>
      </c>
      <c r="T20" s="75" t="s">
        <v>52</v>
      </c>
      <c r="U20" s="75">
        <v>7.22</v>
      </c>
      <c r="V20" s="75" t="s">
        <v>52</v>
      </c>
      <c r="W20" s="75" t="s">
        <v>52</v>
      </c>
    </row>
    <row r="21" spans="1:23">
      <c r="A21" s="73" t="s">
        <v>63</v>
      </c>
      <c r="B21" s="75" t="s">
        <v>52</v>
      </c>
      <c r="C21" s="75" t="s">
        <v>57</v>
      </c>
      <c r="D21" s="75" t="s">
        <v>52</v>
      </c>
      <c r="E21" s="75">
        <v>117.72</v>
      </c>
      <c r="F21" s="75" t="s">
        <v>52</v>
      </c>
      <c r="G21" s="75">
        <v>143.51</v>
      </c>
      <c r="H21" s="75" t="s">
        <v>52</v>
      </c>
      <c r="I21" s="75">
        <v>158.97</v>
      </c>
      <c r="J21" s="75" t="s">
        <v>52</v>
      </c>
      <c r="K21" s="75">
        <v>175.79</v>
      </c>
      <c r="L21" s="75" t="s">
        <v>52</v>
      </c>
      <c r="M21" s="76">
        <v>209.89</v>
      </c>
      <c r="N21" s="75" t="s">
        <v>52</v>
      </c>
      <c r="O21" s="75">
        <v>63.14</v>
      </c>
      <c r="P21" s="75" t="s">
        <v>52</v>
      </c>
      <c r="Q21" s="75" t="s">
        <v>52</v>
      </c>
      <c r="R21" s="75" t="s">
        <v>52</v>
      </c>
      <c r="S21" s="75">
        <v>15.79</v>
      </c>
      <c r="T21" s="75" t="s">
        <v>52</v>
      </c>
      <c r="U21" s="75">
        <v>31.57</v>
      </c>
      <c r="V21" s="75" t="s">
        <v>52</v>
      </c>
      <c r="W21" s="75" t="s">
        <v>52</v>
      </c>
    </row>
    <row r="22" spans="1:23">
      <c r="A22" s="73" t="s">
        <v>64</v>
      </c>
      <c r="B22" s="75" t="s">
        <v>52</v>
      </c>
      <c r="C22" s="75" t="s">
        <v>57</v>
      </c>
      <c r="D22" s="75" t="s">
        <v>52</v>
      </c>
      <c r="E22" s="75">
        <v>13.22</v>
      </c>
      <c r="F22" s="75" t="s">
        <v>52</v>
      </c>
      <c r="G22" s="75">
        <v>20.67</v>
      </c>
      <c r="H22" s="75" t="s">
        <v>52</v>
      </c>
      <c r="I22" s="75">
        <v>20.67</v>
      </c>
      <c r="J22" s="75" t="s">
        <v>52</v>
      </c>
      <c r="K22" s="75">
        <v>20.67</v>
      </c>
      <c r="L22" s="75" t="s">
        <v>52</v>
      </c>
      <c r="M22" s="76">
        <v>11.61</v>
      </c>
      <c r="N22" s="75" t="s">
        <v>52</v>
      </c>
      <c r="O22" s="75">
        <v>10.02</v>
      </c>
      <c r="P22" s="75" t="s">
        <v>52</v>
      </c>
      <c r="Q22" s="75">
        <v>4.16</v>
      </c>
      <c r="R22" s="75" t="s">
        <v>52</v>
      </c>
      <c r="S22" s="75">
        <v>10.02</v>
      </c>
      <c r="T22" s="75" t="s">
        <v>52</v>
      </c>
      <c r="U22" s="75">
        <v>10.02</v>
      </c>
      <c r="V22" s="75" t="s">
        <v>52</v>
      </c>
      <c r="W22" s="75" t="s">
        <v>52</v>
      </c>
    </row>
    <row r="23" spans="1:23">
      <c r="A23" s="69"/>
      <c r="B23" s="69"/>
      <c r="C23" s="69"/>
      <c r="D23" s="69"/>
      <c r="E23" s="69"/>
      <c r="F23" s="69"/>
      <c r="G23" s="69"/>
      <c r="H23" s="69"/>
      <c r="I23" s="69"/>
      <c r="J23" s="69"/>
      <c r="K23" s="69"/>
      <c r="L23" s="69"/>
      <c r="M23" s="69"/>
      <c r="N23" s="69"/>
      <c r="O23" s="69"/>
      <c r="P23" s="69"/>
      <c r="Q23" s="69"/>
      <c r="R23" s="69"/>
      <c r="S23" s="69"/>
      <c r="T23" s="69"/>
      <c r="U23" s="69"/>
      <c r="V23" s="69"/>
      <c r="W23" s="69"/>
    </row>
    <row r="24" spans="1:23">
      <c r="A24" s="229" t="s">
        <v>65</v>
      </c>
      <c r="B24" s="230"/>
      <c r="C24" s="80"/>
      <c r="D24" s="227">
        <f>SUM(E8:E22)</f>
        <v>2374.8599999999997</v>
      </c>
      <c r="E24" s="228"/>
      <c r="F24" s="227">
        <f>SUM(G8:G22)</f>
        <v>2930.63</v>
      </c>
      <c r="G24" s="228"/>
      <c r="H24" s="227">
        <f>SUM(I8:I22)</f>
        <v>3078.71</v>
      </c>
      <c r="I24" s="228"/>
      <c r="J24" s="227">
        <f>SUM(K8:K22)</f>
        <v>3241.1700000000005</v>
      </c>
      <c r="K24" s="228"/>
      <c r="L24" s="227">
        <f>SUM(M8:M22)</f>
        <v>3217.9499999999994</v>
      </c>
      <c r="M24" s="228"/>
      <c r="N24" s="227">
        <f>SUM(O8:O22)</f>
        <v>2496.2400000000002</v>
      </c>
      <c r="O24" s="228"/>
      <c r="P24" s="227">
        <f>SUM(Q8:Q22)</f>
        <v>228.54</v>
      </c>
      <c r="Q24" s="228"/>
      <c r="R24" s="227">
        <f>SUM(S8:S22)</f>
        <v>398.82</v>
      </c>
      <c r="S24" s="228"/>
      <c r="T24" s="227">
        <f>SUM(U8:U22)</f>
        <v>1806.8899999999999</v>
      </c>
      <c r="U24" s="228"/>
      <c r="V24" s="227">
        <f>SUM(W8:W22)</f>
        <v>74.680000000000007</v>
      </c>
      <c r="W24" s="228"/>
    </row>
    <row r="26" spans="1:23">
      <c r="A26" s="81" t="s">
        <v>4</v>
      </c>
      <c r="B26" s="45" t="s">
        <v>66</v>
      </c>
    </row>
    <row r="27" spans="1:23">
      <c r="B27" s="45" t="s">
        <v>67</v>
      </c>
    </row>
    <row r="28" spans="1:23">
      <c r="B28" s="45" t="s">
        <v>68</v>
      </c>
    </row>
    <row r="29" spans="1:23">
      <c r="B29" s="45" t="s">
        <v>69</v>
      </c>
    </row>
    <row r="30" spans="1:23">
      <c r="B30" s="45" t="s">
        <v>70</v>
      </c>
    </row>
    <row r="31" spans="1:23">
      <c r="B31" s="45" t="s">
        <v>71</v>
      </c>
    </row>
    <row r="32" spans="1:23">
      <c r="B32" s="45" t="s">
        <v>208</v>
      </c>
    </row>
    <row r="37" spans="3:3" ht="37.5">
      <c r="C37" s="82" t="s">
        <v>175</v>
      </c>
    </row>
  </sheetData>
  <mergeCells count="27">
    <mergeCell ref="A24:B24"/>
    <mergeCell ref="D24:E24"/>
    <mergeCell ref="F24:G24"/>
    <mergeCell ref="H24:I24"/>
    <mergeCell ref="J24:K24"/>
    <mergeCell ref="L24:M24"/>
    <mergeCell ref="T3:U4"/>
    <mergeCell ref="V3:W4"/>
    <mergeCell ref="D4:E4"/>
    <mergeCell ref="F4:G4"/>
    <mergeCell ref="H4:I4"/>
    <mergeCell ref="J4:K4"/>
    <mergeCell ref="N24:O24"/>
    <mergeCell ref="P24:Q24"/>
    <mergeCell ref="R24:S24"/>
    <mergeCell ref="T24:U24"/>
    <mergeCell ref="V24:W24"/>
    <mergeCell ref="A1:V1"/>
    <mergeCell ref="A2:V2"/>
    <mergeCell ref="A3:A5"/>
    <mergeCell ref="B3:C4"/>
    <mergeCell ref="D3:E3"/>
    <mergeCell ref="F3:K3"/>
    <mergeCell ref="L3:M4"/>
    <mergeCell ref="N3:O4"/>
    <mergeCell ref="P3:Q4"/>
    <mergeCell ref="R3:S4"/>
  </mergeCells>
  <pageMargins left="0" right="0" top="0.15748031496062992" bottom="0.15748031496062992" header="0.11811023622047245" footer="0.11811023622047245"/>
  <pageSetup scale="9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17"/>
  <sheetViews>
    <sheetView view="pageBreakPreview" zoomScale="130" zoomScaleNormal="100" zoomScaleSheetLayoutView="130" workbookViewId="0">
      <selection activeCell="I14" sqref="I14"/>
    </sheetView>
  </sheetViews>
  <sheetFormatPr defaultColWidth="9" defaultRowHeight="24"/>
  <cols>
    <col min="1" max="1" width="9.42578125" style="83" customWidth="1"/>
    <col min="2" max="2" width="34.28515625" style="83" customWidth="1"/>
    <col min="3" max="3" width="12" style="83" customWidth="1"/>
    <col min="4" max="4" width="11.85546875" style="83" customWidth="1"/>
    <col min="5" max="5" width="12.42578125" style="83" customWidth="1"/>
    <col min="6" max="6" width="10.85546875" style="83" customWidth="1"/>
    <col min="7" max="7" width="11.42578125" style="83" customWidth="1"/>
    <col min="8" max="8" width="8.42578125" style="83" customWidth="1"/>
    <col min="9" max="9" width="3.5703125" style="83" customWidth="1"/>
    <col min="10" max="16384" width="9" style="83"/>
  </cols>
  <sheetData>
    <row r="1" spans="1:10">
      <c r="A1" s="192" t="s">
        <v>16</v>
      </c>
      <c r="B1" s="192"/>
      <c r="C1" s="192"/>
      <c r="D1" s="192"/>
      <c r="E1" s="192"/>
      <c r="F1" s="192"/>
      <c r="G1" s="192"/>
      <c r="H1" s="192"/>
    </row>
    <row r="2" spans="1:10">
      <c r="A2" s="192" t="str">
        <f>ปร.5!A2</f>
        <v xml:space="preserve">โครงการ  ก่อสร้างรางส่งน้ำคอนกรีตเสริมเหล็ก บ้านดอนมูล หมู่ที่ 16 </v>
      </c>
      <c r="B2" s="192"/>
      <c r="C2" s="192"/>
      <c r="D2" s="192"/>
      <c r="E2" s="192"/>
      <c r="F2" s="192"/>
      <c r="G2" s="192"/>
      <c r="H2" s="192"/>
    </row>
    <row r="3" spans="1:10">
      <c r="A3" s="192" t="str">
        <f>ปร.5!A4</f>
        <v>สถานที่ก่อสร้าง ต่อลำเหมืองคอนกรีตเดิม บ้านดอนมูล หมู่ที่ 16  ตำบลปง   อำเภอปง   จังหวัดพะเยา</v>
      </c>
      <c r="B3" s="192"/>
      <c r="C3" s="192"/>
      <c r="D3" s="192"/>
      <c r="E3" s="192"/>
      <c r="F3" s="192"/>
      <c r="G3" s="192"/>
      <c r="H3" s="192"/>
    </row>
    <row r="4" spans="1:10">
      <c r="A4" s="83" t="str">
        <f>ปร.5!A6</f>
        <v xml:space="preserve">คำนวณราคาเมื่อวันที่   2   พฤษภาคม     2567    ใช้ราคาพาณิชย์ของจังหวัดพะเยาประจำเดือน    มีนาคม    2567  </v>
      </c>
    </row>
    <row r="5" spans="1:10">
      <c r="A5" s="84" t="s">
        <v>1</v>
      </c>
      <c r="B5" s="84" t="s">
        <v>0</v>
      </c>
      <c r="C5" s="84" t="s">
        <v>17</v>
      </c>
      <c r="D5" s="84" t="s">
        <v>18</v>
      </c>
      <c r="E5" s="84" t="s">
        <v>220</v>
      </c>
      <c r="F5" s="84" t="s">
        <v>19</v>
      </c>
      <c r="G5" s="84" t="s">
        <v>20</v>
      </c>
      <c r="H5" s="231" t="s">
        <v>4</v>
      </c>
      <c r="I5" s="232"/>
    </row>
    <row r="6" spans="1:10">
      <c r="A6" s="85"/>
      <c r="B6" s="85" t="s">
        <v>221</v>
      </c>
      <c r="C6" s="86">
        <f>0.1368*H6</f>
        <v>0.54720000000000002</v>
      </c>
      <c r="D6" s="85">
        <f>ROUNDDOWN(0.0254*0.1524*H6,5)</f>
        <v>1.5480000000000001E-2</v>
      </c>
      <c r="E6" s="87">
        <v>765.42</v>
      </c>
      <c r="F6" s="88">
        <f>ROUNDDOWN(E6*C6,2)</f>
        <v>418.83</v>
      </c>
      <c r="G6" s="89">
        <f>ROUNDDOWN(E6*35.31,2)</f>
        <v>27026.98</v>
      </c>
      <c r="H6" s="90">
        <v>4</v>
      </c>
      <c r="I6" s="91" t="s">
        <v>178</v>
      </c>
      <c r="J6" s="92"/>
    </row>
    <row r="7" spans="1:10">
      <c r="A7" s="85"/>
      <c r="B7" s="85" t="s">
        <v>222</v>
      </c>
      <c r="C7" s="86">
        <f>0.1026*H7</f>
        <v>0.41039999999999999</v>
      </c>
      <c r="D7" s="85">
        <f>ROUNDDOWN(0.0381*0.0762*H7,5)</f>
        <v>1.1610000000000001E-2</v>
      </c>
      <c r="E7" s="87">
        <v>546.73</v>
      </c>
      <c r="F7" s="88">
        <f>ROUNDDOWN(E7*C7,2)</f>
        <v>224.37</v>
      </c>
      <c r="G7" s="89">
        <f>ROUNDDOWN(E7*35.31,2)</f>
        <v>19305.03</v>
      </c>
      <c r="H7" s="90">
        <v>4</v>
      </c>
      <c r="I7" s="91" t="s">
        <v>178</v>
      </c>
    </row>
    <row r="8" spans="1:10">
      <c r="A8" s="85"/>
      <c r="B8" s="85"/>
      <c r="C8" s="85"/>
      <c r="D8" s="85"/>
      <c r="E8" s="85"/>
      <c r="F8" s="85"/>
      <c r="G8" s="85"/>
      <c r="H8" s="93"/>
      <c r="I8" s="94"/>
    </row>
    <row r="9" spans="1:10">
      <c r="A9" s="85"/>
      <c r="B9" s="85"/>
      <c r="C9" s="85"/>
      <c r="D9" s="85"/>
      <c r="E9" s="85"/>
      <c r="F9" s="84" t="s">
        <v>21</v>
      </c>
      <c r="G9" s="88">
        <f>SUM(G6:G8)</f>
        <v>46332.009999999995</v>
      </c>
      <c r="H9" s="93"/>
      <c r="I9" s="94"/>
    </row>
    <row r="10" spans="1:10">
      <c r="A10" s="85"/>
      <c r="B10" s="85"/>
      <c r="C10" s="85"/>
      <c r="D10" s="85"/>
      <c r="E10" s="85"/>
      <c r="F10" s="84" t="s">
        <v>22</v>
      </c>
      <c r="G10" s="89">
        <f>ROUNDDOWN(G9/2,2)</f>
        <v>23166</v>
      </c>
      <c r="H10" s="93"/>
      <c r="I10" s="94"/>
    </row>
    <row r="11" spans="1:10">
      <c r="B11" s="83" t="s">
        <v>223</v>
      </c>
    </row>
    <row r="12" spans="1:10">
      <c r="B12" s="83" t="s">
        <v>177</v>
      </c>
    </row>
    <row r="13" spans="1:10">
      <c r="B13" s="95" t="s">
        <v>172</v>
      </c>
      <c r="C13" s="96"/>
      <c r="D13" s="96"/>
      <c r="F13" s="95"/>
    </row>
    <row r="14" spans="1:10">
      <c r="B14" s="83" t="s">
        <v>173</v>
      </c>
      <c r="C14" s="96"/>
      <c r="D14" s="96"/>
      <c r="E14" s="96"/>
    </row>
    <row r="15" spans="1:10">
      <c r="B15" s="83" t="s">
        <v>174</v>
      </c>
      <c r="C15" s="96"/>
      <c r="D15" s="96"/>
      <c r="E15" s="96"/>
    </row>
    <row r="16" spans="1:10">
      <c r="B16" s="97"/>
    </row>
    <row r="17" spans="2:8">
      <c r="B17" s="4"/>
      <c r="C17" s="5"/>
      <c r="D17" s="5"/>
      <c r="E17" s="5"/>
      <c r="F17" s="4"/>
      <c r="G17" s="5"/>
      <c r="H17" s="5"/>
    </row>
  </sheetData>
  <mergeCells count="4">
    <mergeCell ref="A1:H1"/>
    <mergeCell ref="A2:H2"/>
    <mergeCell ref="A3:H3"/>
    <mergeCell ref="H5:I5"/>
  </mergeCells>
  <pageMargins left="0.70866141732283472" right="0.70866141732283472" top="0.55118110236220474" bottom="0.35433070866141736" header="0.11811023622047245" footer="0.11811023622047245"/>
  <pageSetup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19"/>
  <sheetViews>
    <sheetView view="pageBreakPreview" zoomScale="130" zoomScaleNormal="90" zoomScaleSheetLayoutView="130" workbookViewId="0">
      <selection activeCell="C17" sqref="C17"/>
    </sheetView>
  </sheetViews>
  <sheetFormatPr defaultColWidth="9" defaultRowHeight="21.75"/>
  <cols>
    <col min="1" max="1" width="10.42578125" style="5" customWidth="1"/>
    <col min="2" max="2" width="93.140625" style="5" customWidth="1"/>
    <col min="3" max="3" width="14.140625" style="5" customWidth="1"/>
    <col min="4" max="4" width="9.85546875" style="5" customWidth="1"/>
    <col min="5" max="7" width="9" style="5"/>
    <col min="8" max="8" width="11.42578125" style="5" customWidth="1"/>
    <col min="9" max="16384" width="9" style="5"/>
  </cols>
  <sheetData>
    <row r="1" spans="1:4" ht="24">
      <c r="A1" s="233" t="s">
        <v>120</v>
      </c>
      <c r="B1" s="233"/>
      <c r="C1" s="233"/>
    </row>
    <row r="2" spans="1:4">
      <c r="A2" s="5" t="str">
        <f>ปร.5!A2</f>
        <v xml:space="preserve">โครงการ  ก่อสร้างรางส่งน้ำคอนกรีตเสริมเหล็ก บ้านดอนมูล หมู่ที่ 16 </v>
      </c>
    </row>
    <row r="3" spans="1:4">
      <c r="A3" s="5" t="s">
        <v>121</v>
      </c>
      <c r="B3" s="5" t="s">
        <v>162</v>
      </c>
    </row>
    <row r="4" spans="1:4">
      <c r="A4" s="5" t="s">
        <v>145</v>
      </c>
      <c r="B4" s="5" t="str">
        <f>ปร.5!A3</f>
        <v xml:space="preserve">ปริมาณงาน   ขนาดกว้าง  2.00  เมตร ยาว 240.00 เมตร  ลึก  1.00  เมตร  หนา   0.10   </v>
      </c>
      <c r="C4" s="53"/>
    </row>
    <row r="5" spans="1:4">
      <c r="A5" s="5" t="str">
        <f>ปร.5!A5</f>
        <v xml:space="preserve">แบบเลขที่      เทศบาลตำบลแม่ยมกำหนด  </v>
      </c>
    </row>
    <row r="6" spans="1:4" s="99" customFormat="1" ht="13.5"/>
    <row r="7" spans="1:4">
      <c r="A7" s="100" t="s">
        <v>122</v>
      </c>
      <c r="B7" s="100" t="s">
        <v>0</v>
      </c>
      <c r="C7" s="234" t="s">
        <v>123</v>
      </c>
      <c r="D7" s="235"/>
    </row>
    <row r="8" spans="1:4">
      <c r="A8" s="101">
        <v>1</v>
      </c>
      <c r="B8" s="102" t="s">
        <v>144</v>
      </c>
      <c r="C8" s="103">
        <f>คำนวณดินขุด!D15</f>
        <v>116.16000000000003</v>
      </c>
      <c r="D8" s="104" t="s">
        <v>125</v>
      </c>
    </row>
    <row r="9" spans="1:4">
      <c r="A9" s="104">
        <v>2</v>
      </c>
      <c r="B9" s="105" t="s">
        <v>85</v>
      </c>
      <c r="C9" s="106">
        <f>คำนวณคอนกรีต!D21</f>
        <v>100.8</v>
      </c>
      <c r="D9" s="104" t="s">
        <v>125</v>
      </c>
    </row>
    <row r="10" spans="1:4">
      <c r="A10" s="104">
        <v>3</v>
      </c>
      <c r="B10" s="105" t="s">
        <v>154</v>
      </c>
      <c r="C10" s="106">
        <f>ROUNDDOWN(C12/35.31,2)</f>
        <v>28.54</v>
      </c>
      <c r="D10" s="104" t="s">
        <v>125</v>
      </c>
    </row>
    <row r="11" spans="1:4">
      <c r="A11" s="104"/>
      <c r="B11" s="105" t="s">
        <v>155</v>
      </c>
      <c r="C11" s="106"/>
      <c r="D11" s="104"/>
    </row>
    <row r="12" spans="1:4">
      <c r="A12" s="104">
        <v>4</v>
      </c>
      <c r="B12" s="105" t="s">
        <v>124</v>
      </c>
      <c r="C12" s="106">
        <f>คำนวณไม้แบบ!D24</f>
        <v>1008</v>
      </c>
      <c r="D12" s="104" t="s">
        <v>126</v>
      </c>
    </row>
    <row r="13" spans="1:4">
      <c r="A13" s="104">
        <v>5</v>
      </c>
      <c r="B13" s="105" t="s">
        <v>218</v>
      </c>
      <c r="C13" s="107">
        <f>คำนวณเหล็กเสริม!D28+คำนวณเหล็กเสริม!E29</f>
        <v>3573.96</v>
      </c>
      <c r="D13" s="104" t="s">
        <v>128</v>
      </c>
    </row>
    <row r="14" spans="1:4">
      <c r="A14" s="13"/>
      <c r="B14" s="14"/>
      <c r="C14" s="14"/>
      <c r="D14" s="14"/>
    </row>
    <row r="19" spans="2:2">
      <c r="B19" s="53"/>
    </row>
  </sheetData>
  <mergeCells count="2">
    <mergeCell ref="A1:C1"/>
    <mergeCell ref="C7:D7"/>
  </mergeCells>
  <pageMargins left="0.11811023622047245" right="0.11811023622047245" top="0.74803149606299213" bottom="0.74803149606299213" header="0.31496062992125984" footer="0.31496062992125984"/>
  <pageSetup scale="9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30"/>
  <sheetViews>
    <sheetView view="pageBreakPreview" topLeftCell="A15" zoomScale="110" zoomScaleNormal="100" zoomScaleSheetLayoutView="110" workbookViewId="0">
      <selection activeCell="E28" sqref="E28"/>
    </sheetView>
  </sheetViews>
  <sheetFormatPr defaultColWidth="9" defaultRowHeight="24"/>
  <cols>
    <col min="1" max="1" width="6.7109375" style="96" customWidth="1"/>
    <col min="2" max="2" width="46" style="96" customWidth="1"/>
    <col min="3" max="3" width="9.85546875" style="96" customWidth="1"/>
    <col min="4" max="4" width="11" style="96" customWidth="1"/>
    <col min="5" max="5" width="10.85546875" style="96" customWidth="1"/>
    <col min="6" max="6" width="9" style="96"/>
    <col min="7" max="7" width="12" style="96" customWidth="1"/>
    <col min="8" max="8" width="6.140625" style="96" customWidth="1"/>
    <col min="9" max="9" width="6" style="96" customWidth="1"/>
    <col min="10" max="10" width="6.42578125" style="96" customWidth="1"/>
    <col min="11" max="11" width="8.5703125" style="96" customWidth="1"/>
    <col min="12" max="12" width="13.7109375" style="96" customWidth="1"/>
    <col min="13" max="13" width="17.5703125" style="96" customWidth="1"/>
    <col min="14" max="14" width="5.7109375" style="96" customWidth="1"/>
    <col min="15" max="16384" width="9" style="96"/>
  </cols>
  <sheetData>
    <row r="1" spans="1:13">
      <c r="A1" s="233" t="s">
        <v>127</v>
      </c>
      <c r="B1" s="233"/>
      <c r="C1" s="233"/>
      <c r="D1" s="233"/>
      <c r="E1" s="233"/>
    </row>
    <row r="2" spans="1:13">
      <c r="A2" s="233" t="str">
        <f>ปร.5!A2</f>
        <v xml:space="preserve">โครงการ  ก่อสร้างรางส่งน้ำคอนกรีตเสริมเหล็ก บ้านดอนมูล หมู่ที่ 16 </v>
      </c>
      <c r="B2" s="233"/>
      <c r="C2" s="233"/>
      <c r="D2" s="233"/>
      <c r="E2" s="233"/>
    </row>
    <row r="3" spans="1:13">
      <c r="A3" s="233" t="str">
        <f>ปร.5!A4</f>
        <v>สถานที่ก่อสร้าง ต่อลำเหมืองคอนกรีตเดิม บ้านดอนมูล หมู่ที่ 16  ตำบลปง   อำเภอปง   จังหวัดพะเยา</v>
      </c>
      <c r="B3" s="233"/>
      <c r="C3" s="233"/>
      <c r="D3" s="233"/>
      <c r="E3" s="233"/>
    </row>
    <row r="4" spans="1:13">
      <c r="A4" s="108"/>
      <c r="B4" s="108"/>
      <c r="C4" s="108"/>
      <c r="D4" s="108"/>
      <c r="E4" s="108"/>
    </row>
    <row r="5" spans="1:13">
      <c r="A5" s="236" t="s">
        <v>12</v>
      </c>
      <c r="B5" s="236" t="s">
        <v>0</v>
      </c>
      <c r="C5" s="236" t="s">
        <v>2</v>
      </c>
      <c r="D5" s="201" t="s">
        <v>6</v>
      </c>
      <c r="E5" s="202"/>
    </row>
    <row r="6" spans="1:13">
      <c r="A6" s="237"/>
      <c r="B6" s="237"/>
      <c r="C6" s="237"/>
      <c r="D6" s="109" t="s">
        <v>179</v>
      </c>
      <c r="E6" s="109" t="s">
        <v>180</v>
      </c>
    </row>
    <row r="7" spans="1:13">
      <c r="A7" s="110">
        <v>1</v>
      </c>
      <c r="B7" s="111" t="str">
        <f>คำนวณไม้แบบ!B6</f>
        <v xml:space="preserve"> รางส่งน้ำเพื่อการเกษตร ขนาด 0.30 x 0.30 x 0 ม.</v>
      </c>
      <c r="C7" s="110"/>
      <c r="D7" s="112"/>
      <c r="E7" s="112"/>
      <c r="G7" s="96" t="s">
        <v>181</v>
      </c>
      <c r="H7" s="108" t="s">
        <v>141</v>
      </c>
      <c r="I7" s="108" t="s">
        <v>138</v>
      </c>
      <c r="J7" s="108" t="s">
        <v>139</v>
      </c>
      <c r="K7" s="108" t="s">
        <v>140</v>
      </c>
      <c r="L7" s="96" t="s">
        <v>224</v>
      </c>
      <c r="M7" s="96" t="s">
        <v>182</v>
      </c>
    </row>
    <row r="8" spans="1:13">
      <c r="A8" s="113"/>
      <c r="B8" s="114" t="s">
        <v>183</v>
      </c>
      <c r="C8" s="113"/>
      <c r="D8" s="115"/>
      <c r="E8" s="115"/>
      <c r="G8" s="98"/>
      <c r="H8" s="116">
        <f>คำนวณดินขุด!G7</f>
        <v>0</v>
      </c>
      <c r="I8" s="116">
        <f>คำนวณดินขุด!H7</f>
        <v>0</v>
      </c>
      <c r="J8" s="116">
        <f>คำนวณไม้แบบ!I7</f>
        <v>0.1</v>
      </c>
      <c r="K8" s="141"/>
      <c r="L8" s="116">
        <v>0.15</v>
      </c>
      <c r="M8" s="141">
        <v>7</v>
      </c>
    </row>
    <row r="9" spans="1:13">
      <c r="A9" s="113"/>
      <c r="B9" s="114" t="s">
        <v>213</v>
      </c>
      <c r="C9" s="113"/>
      <c r="D9" s="115"/>
      <c r="E9" s="115"/>
      <c r="G9" s="98"/>
      <c r="H9" s="116"/>
      <c r="I9" s="116"/>
      <c r="J9" s="116"/>
      <c r="L9" s="116"/>
      <c r="M9" s="116"/>
    </row>
    <row r="10" spans="1:13">
      <c r="A10" s="113"/>
      <c r="B10" s="117" t="s">
        <v>235</v>
      </c>
      <c r="C10" s="113" t="s">
        <v>119</v>
      </c>
      <c r="D10" s="115"/>
      <c r="E10" s="115">
        <f>M8*K8</f>
        <v>0</v>
      </c>
    </row>
    <row r="11" spans="1:13">
      <c r="A11" s="113"/>
      <c r="B11" s="117" t="s">
        <v>184</v>
      </c>
      <c r="C11" s="113"/>
      <c r="D11" s="115"/>
      <c r="E11" s="115"/>
      <c r="H11" s="108"/>
      <c r="I11" s="108"/>
      <c r="J11" s="108"/>
      <c r="K11" s="108"/>
    </row>
    <row r="12" spans="1:13">
      <c r="A12" s="113"/>
      <c r="B12" s="117" t="s">
        <v>185</v>
      </c>
      <c r="C12" s="113"/>
      <c r="D12" s="115"/>
      <c r="E12" s="115"/>
      <c r="G12" s="98"/>
      <c r="H12" s="116"/>
      <c r="I12" s="116"/>
      <c r="J12" s="116"/>
      <c r="K12" s="118"/>
      <c r="L12" s="118"/>
      <c r="M12" s="118"/>
    </row>
    <row r="13" spans="1:13">
      <c r="A13" s="113"/>
      <c r="B13" s="117" t="s">
        <v>236</v>
      </c>
      <c r="C13" s="113" t="s">
        <v>119</v>
      </c>
      <c r="D13" s="115">
        <f>ROUNDDOWN(((K8/L8)*(I8+H8+I8)),0)</f>
        <v>0</v>
      </c>
      <c r="E13" s="115"/>
      <c r="K13" s="119"/>
      <c r="L13" s="119"/>
      <c r="M13" s="119"/>
    </row>
    <row r="14" spans="1:13">
      <c r="A14" s="110">
        <v>1</v>
      </c>
      <c r="B14" s="111" t="str">
        <f>คำนวณดินขุด!B9</f>
        <v xml:space="preserve"> รางส่งน้ำคอนกรีตเสริมเหล็ก ขนาด 1.00 x 1.00 x 0 ม.</v>
      </c>
      <c r="C14" s="110"/>
      <c r="D14" s="112"/>
      <c r="E14" s="112"/>
      <c r="G14" s="96" t="s">
        <v>181</v>
      </c>
      <c r="H14" s="108" t="s">
        <v>141</v>
      </c>
      <c r="I14" s="108" t="s">
        <v>138</v>
      </c>
      <c r="J14" s="108" t="s">
        <v>139</v>
      </c>
      <c r="K14" s="108" t="s">
        <v>140</v>
      </c>
      <c r="L14" s="96" t="s">
        <v>224</v>
      </c>
      <c r="M14" s="96" t="s">
        <v>182</v>
      </c>
    </row>
    <row r="15" spans="1:13">
      <c r="A15" s="113"/>
      <c r="B15" s="114" t="s">
        <v>183</v>
      </c>
      <c r="C15" s="113"/>
      <c r="D15" s="115"/>
      <c r="E15" s="115"/>
      <c r="G15" s="98"/>
      <c r="H15" s="116">
        <v>1.1000000000000001</v>
      </c>
      <c r="I15" s="116">
        <v>1</v>
      </c>
      <c r="J15" s="116" t="str">
        <f>คำนวณไม้แบบ!I14</f>
        <v>หนา</v>
      </c>
      <c r="K15" s="141">
        <f>คำนวณดินขุด!J10</f>
        <v>0</v>
      </c>
      <c r="L15" s="116">
        <v>0.2</v>
      </c>
      <c r="M15" s="141">
        <v>16</v>
      </c>
    </row>
    <row r="16" spans="1:13">
      <c r="A16" s="113"/>
      <c r="B16" s="114" t="s">
        <v>213</v>
      </c>
      <c r="C16" s="113"/>
      <c r="D16" s="115"/>
      <c r="E16" s="115"/>
      <c r="G16" s="98"/>
      <c r="H16" s="116"/>
      <c r="I16" s="116"/>
      <c r="J16" s="116"/>
      <c r="L16" s="116"/>
      <c r="M16" s="116"/>
    </row>
    <row r="17" spans="1:13">
      <c r="A17" s="113"/>
      <c r="B17" s="117" t="s">
        <v>241</v>
      </c>
      <c r="C17" s="113" t="s">
        <v>119</v>
      </c>
      <c r="D17" s="115"/>
      <c r="E17" s="115">
        <f>M15*K15</f>
        <v>0</v>
      </c>
    </row>
    <row r="18" spans="1:13">
      <c r="A18" s="113"/>
      <c r="B18" s="117" t="s">
        <v>184</v>
      </c>
      <c r="C18" s="113"/>
      <c r="D18" s="115"/>
      <c r="E18" s="115"/>
      <c r="H18" s="108"/>
      <c r="I18" s="108"/>
      <c r="J18" s="108"/>
      <c r="K18" s="108"/>
    </row>
    <row r="19" spans="1:13">
      <c r="A19" s="113"/>
      <c r="B19" s="117" t="s">
        <v>185</v>
      </c>
      <c r="C19" s="113"/>
      <c r="D19" s="115"/>
      <c r="E19" s="115"/>
      <c r="G19" s="98"/>
      <c r="H19" s="116"/>
      <c r="I19" s="116"/>
      <c r="J19" s="116"/>
      <c r="K19" s="118"/>
      <c r="L19" s="118"/>
      <c r="M19" s="118"/>
    </row>
    <row r="20" spans="1:13">
      <c r="A20" s="113"/>
      <c r="B20" s="117" t="s">
        <v>242</v>
      </c>
      <c r="C20" s="113" t="s">
        <v>119</v>
      </c>
      <c r="D20" s="115">
        <f>ROUNDDOWN(((K15/L15)*(I15+H15+I15)),0)</f>
        <v>0</v>
      </c>
      <c r="E20" s="115"/>
      <c r="K20" s="119"/>
      <c r="L20" s="119"/>
      <c r="M20" s="119"/>
    </row>
    <row r="21" spans="1:13">
      <c r="A21" s="110">
        <v>1</v>
      </c>
      <c r="B21" s="111" t="str">
        <f>คำนวณดินขุด!B12</f>
        <v xml:space="preserve"> รางส่งน้ำคอนกรีตเสริมเหล็ก ขนาด 2.00 x 1.00 x 240 ม.</v>
      </c>
      <c r="C21" s="110"/>
      <c r="D21" s="112"/>
      <c r="E21" s="112"/>
      <c r="G21" s="96" t="s">
        <v>181</v>
      </c>
      <c r="H21" s="108" t="s">
        <v>141</v>
      </c>
      <c r="I21" s="108" t="s">
        <v>138</v>
      </c>
      <c r="J21" s="108" t="s">
        <v>139</v>
      </c>
      <c r="K21" s="108" t="s">
        <v>140</v>
      </c>
      <c r="L21" s="96" t="s">
        <v>224</v>
      </c>
      <c r="M21" s="96" t="s">
        <v>182</v>
      </c>
    </row>
    <row r="22" spans="1:13">
      <c r="A22" s="113"/>
      <c r="B22" s="114" t="s">
        <v>183</v>
      </c>
      <c r="C22" s="113"/>
      <c r="D22" s="115"/>
      <c r="E22" s="115"/>
      <c r="G22" s="98"/>
      <c r="H22" s="116">
        <v>2.1</v>
      </c>
      <c r="I22" s="116">
        <v>1</v>
      </c>
      <c r="J22" s="116" t="str">
        <f>คำนวณไม้แบบ!I21</f>
        <v>หนา</v>
      </c>
      <c r="K22" s="141">
        <f>คำนวณไม้แบบ!J19</f>
        <v>240</v>
      </c>
      <c r="L22" s="116">
        <v>0.2</v>
      </c>
      <c r="M22" s="141">
        <v>21</v>
      </c>
    </row>
    <row r="23" spans="1:13">
      <c r="A23" s="113"/>
      <c r="B23" s="114" t="s">
        <v>213</v>
      </c>
      <c r="C23" s="113"/>
      <c r="D23" s="115"/>
      <c r="E23" s="115"/>
      <c r="G23" s="98"/>
      <c r="H23" s="116"/>
      <c r="I23" s="116"/>
      <c r="J23" s="116"/>
      <c r="L23" s="116"/>
      <c r="M23" s="116"/>
    </row>
    <row r="24" spans="1:13">
      <c r="A24" s="113"/>
      <c r="B24" s="117" t="s">
        <v>280</v>
      </c>
      <c r="C24" s="113" t="s">
        <v>119</v>
      </c>
      <c r="D24" s="115"/>
      <c r="E24" s="115">
        <f>M22*K22</f>
        <v>5040</v>
      </c>
    </row>
    <row r="25" spans="1:13">
      <c r="A25" s="113"/>
      <c r="B25" s="117" t="s">
        <v>184</v>
      </c>
      <c r="C25" s="113"/>
      <c r="D25" s="115"/>
      <c r="E25" s="115"/>
      <c r="H25" s="108"/>
      <c r="I25" s="108"/>
      <c r="J25" s="108"/>
      <c r="K25" s="108"/>
    </row>
    <row r="26" spans="1:13">
      <c r="A26" s="113"/>
      <c r="B26" s="117" t="s">
        <v>185</v>
      </c>
      <c r="C26" s="113"/>
      <c r="D26" s="115"/>
      <c r="E26" s="115"/>
      <c r="G26" s="98"/>
      <c r="H26" s="116"/>
      <c r="I26" s="116"/>
      <c r="J26" s="116"/>
      <c r="K26" s="118"/>
      <c r="L26" s="118"/>
      <c r="M26" s="118"/>
    </row>
    <row r="27" spans="1:13">
      <c r="A27" s="113"/>
      <c r="B27" s="117" t="s">
        <v>281</v>
      </c>
      <c r="C27" s="113" t="s">
        <v>119</v>
      </c>
      <c r="D27" s="115">
        <f>ROUNDDOWN(((K22/L22)*(I22+H22+I22)),0)</f>
        <v>4920</v>
      </c>
      <c r="E27" s="115"/>
      <c r="K27" s="119"/>
      <c r="L27" s="119"/>
      <c r="M27" s="119"/>
    </row>
    <row r="28" spans="1:13">
      <c r="A28" s="120"/>
      <c r="B28" s="120" t="s">
        <v>186</v>
      </c>
      <c r="C28" s="109" t="s">
        <v>128</v>
      </c>
      <c r="D28" s="121">
        <f>SUM(D14:D27)*0.499</f>
        <v>2455.08</v>
      </c>
      <c r="E28" s="121"/>
    </row>
    <row r="29" spans="1:13">
      <c r="A29" s="120"/>
      <c r="B29" s="120" t="s">
        <v>187</v>
      </c>
      <c r="C29" s="109" t="s">
        <v>128</v>
      </c>
      <c r="D29" s="120"/>
      <c r="E29" s="165">
        <f>SUM(E17:E27)*0.222</f>
        <v>1118.8800000000001</v>
      </c>
    </row>
    <row r="30" spans="1:13">
      <c r="A30" s="120"/>
      <c r="B30" s="109" t="s">
        <v>21</v>
      </c>
      <c r="C30" s="120"/>
      <c r="D30" s="121">
        <f>SUM(D28:D29)</f>
        <v>2455.08</v>
      </c>
      <c r="E30" s="121">
        <f>SUM(E29)</f>
        <v>1118.8800000000001</v>
      </c>
    </row>
  </sheetData>
  <mergeCells count="7">
    <mergeCell ref="A1:E1"/>
    <mergeCell ref="A5:A6"/>
    <mergeCell ref="B5:B6"/>
    <mergeCell ref="C5:C6"/>
    <mergeCell ref="A2:E2"/>
    <mergeCell ref="A3:E3"/>
    <mergeCell ref="D5:E5"/>
  </mergeCells>
  <pageMargins left="0.70866141732283472" right="0.70866141732283472" top="0.55118110236220474" bottom="0.35433070866141736" header="0.31496062992125984" footer="0.31496062992125984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18"/>
  <sheetViews>
    <sheetView view="pageBreakPreview" zoomScale="130" zoomScaleNormal="100" zoomScaleSheetLayoutView="130" workbookViewId="0">
      <selection activeCell="D14" sqref="D14"/>
    </sheetView>
  </sheetViews>
  <sheetFormatPr defaultColWidth="9" defaultRowHeight="17.25"/>
  <cols>
    <col min="1" max="1" width="7" style="98" customWidth="1"/>
    <col min="2" max="2" width="51.42578125" style="98" customWidth="1"/>
    <col min="3" max="3" width="13.85546875" style="98" customWidth="1"/>
    <col min="4" max="4" width="11.42578125" style="98" customWidth="1"/>
    <col min="5" max="5" width="9" style="98"/>
    <col min="6" max="6" width="11.42578125" style="98" customWidth="1"/>
    <col min="7" max="7" width="9.42578125" style="98" customWidth="1"/>
    <col min="8" max="8" width="8.5703125" style="98" customWidth="1"/>
    <col min="9" max="9" width="7.28515625" style="98" customWidth="1"/>
    <col min="10" max="16384" width="9" style="98"/>
  </cols>
  <sheetData>
    <row r="1" spans="1:11" ht="24">
      <c r="A1" s="233" t="s">
        <v>130</v>
      </c>
      <c r="B1" s="233"/>
      <c r="C1" s="233"/>
      <c r="D1" s="233"/>
    </row>
    <row r="2" spans="1:11" ht="24">
      <c r="A2" s="233" t="str">
        <f>ปร.5!A2</f>
        <v xml:space="preserve">โครงการ  ก่อสร้างรางส่งน้ำคอนกรีตเสริมเหล็ก บ้านดอนมูล หมู่ที่ 16 </v>
      </c>
      <c r="B2" s="233"/>
      <c r="C2" s="233"/>
      <c r="D2" s="233"/>
    </row>
    <row r="3" spans="1:11" ht="24">
      <c r="A3" s="233" t="str">
        <f>ปร.5!A4</f>
        <v>สถานที่ก่อสร้าง ต่อลำเหมืองคอนกรีตเดิม บ้านดอนมูล หมู่ที่ 16  ตำบลปง   อำเภอปง   จังหวัดพะเยา</v>
      </c>
      <c r="B3" s="233"/>
      <c r="C3" s="233"/>
      <c r="D3" s="233"/>
    </row>
    <row r="4" spans="1:11" ht="23.25" customHeight="1">
      <c r="A4" s="236" t="s">
        <v>12</v>
      </c>
      <c r="B4" s="236" t="s">
        <v>0</v>
      </c>
      <c r="C4" s="236" t="s">
        <v>2</v>
      </c>
      <c r="D4" s="236" t="s">
        <v>6</v>
      </c>
    </row>
    <row r="5" spans="1:11" ht="23.25" customHeight="1">
      <c r="A5" s="237"/>
      <c r="B5" s="237"/>
      <c r="C5" s="237"/>
      <c r="D5" s="237"/>
    </row>
    <row r="6" spans="1:11" ht="24">
      <c r="A6" s="110">
        <v>1</v>
      </c>
      <c r="B6" s="111" t="str">
        <f>คำนวณไม้แบบ!B6</f>
        <v xml:space="preserve"> รางส่งน้ำเพื่อการเกษตร ขนาด 0.30 x 0.30 x 0 ม.</v>
      </c>
      <c r="C6" s="110"/>
      <c r="D6" s="112"/>
      <c r="F6" s="96" t="s">
        <v>137</v>
      </c>
      <c r="G6" s="108" t="s">
        <v>152</v>
      </c>
      <c r="H6" s="108" t="s">
        <v>153</v>
      </c>
      <c r="I6" s="108" t="s">
        <v>139</v>
      </c>
      <c r="J6" s="108" t="s">
        <v>140</v>
      </c>
    </row>
    <row r="7" spans="1:11" ht="24">
      <c r="A7" s="113"/>
      <c r="B7" s="117" t="s">
        <v>214</v>
      </c>
      <c r="C7" s="113"/>
      <c r="D7" s="115"/>
      <c r="G7" s="122">
        <f>คำนวณคอนกรีต!G7</f>
        <v>0</v>
      </c>
      <c r="H7" s="122">
        <f>คำนวณไม้แบบ!H7</f>
        <v>0</v>
      </c>
      <c r="I7" s="122">
        <f>คำนวณไม้แบบ!I7</f>
        <v>0.1</v>
      </c>
      <c r="J7" s="141"/>
    </row>
    <row r="8" spans="1:11" ht="24">
      <c r="A8" s="113"/>
      <c r="B8" s="117" t="s">
        <v>277</v>
      </c>
      <c r="C8" s="113" t="s">
        <v>129</v>
      </c>
      <c r="D8" s="115">
        <f>(G7*H7*J7)*50%</f>
        <v>0</v>
      </c>
    </row>
    <row r="9" spans="1:11" ht="24">
      <c r="A9" s="110">
        <v>2</v>
      </c>
      <c r="B9" s="111" t="str">
        <f>คำนวณไม้แบบ!B11</f>
        <v xml:space="preserve"> รางส่งน้ำคอนกรีตเสริมเหล็ก ขนาด 1.00 x 1.00 x 0 ม.</v>
      </c>
      <c r="C9" s="110"/>
      <c r="D9" s="112"/>
      <c r="F9" s="96" t="s">
        <v>137</v>
      </c>
      <c r="G9" s="108" t="s">
        <v>152</v>
      </c>
      <c r="H9" s="108" t="s">
        <v>153</v>
      </c>
      <c r="I9" s="108" t="s">
        <v>139</v>
      </c>
      <c r="J9" s="108" t="s">
        <v>140</v>
      </c>
    </row>
    <row r="10" spans="1:11" ht="24">
      <c r="A10" s="113"/>
      <c r="B10" s="117" t="s">
        <v>214</v>
      </c>
      <c r="C10" s="113"/>
      <c r="D10" s="115"/>
      <c r="G10" s="122">
        <f>คำนวณคอนกรีต!G12</f>
        <v>1.2</v>
      </c>
      <c r="H10" s="122">
        <f>คำนวณไม้แบบ!H12</f>
        <v>0</v>
      </c>
      <c r="I10" s="122">
        <f>คำนวณไม้แบบ!I10</f>
        <v>0.1</v>
      </c>
      <c r="J10" s="141">
        <f>คำนวณไม้แบบ!J12</f>
        <v>0</v>
      </c>
    </row>
    <row r="11" spans="1:11" ht="24">
      <c r="A11" s="113"/>
      <c r="B11" s="117" t="s">
        <v>278</v>
      </c>
      <c r="C11" s="113" t="s">
        <v>129</v>
      </c>
      <c r="D11" s="115">
        <f>(G10*H10*J10)*20%</f>
        <v>0</v>
      </c>
      <c r="J11" s="142"/>
    </row>
    <row r="12" spans="1:11" s="96" customFormat="1" ht="24">
      <c r="A12" s="110">
        <v>3</v>
      </c>
      <c r="B12" s="111" t="str">
        <f>คำนวณไม้แบบ!B18</f>
        <v xml:space="preserve"> รางส่งน้ำคอนกรีตเสริมเหล็ก ขนาด 2.00 x 1.00 x 240 ม.</v>
      </c>
      <c r="C12" s="110"/>
      <c r="D12" s="112"/>
      <c r="E12" s="98"/>
      <c r="F12" s="96" t="s">
        <v>137</v>
      </c>
      <c r="G12" s="108" t="s">
        <v>152</v>
      </c>
      <c r="H12" s="108" t="s">
        <v>153</v>
      </c>
      <c r="I12" s="108" t="s">
        <v>139</v>
      </c>
      <c r="J12" s="108" t="s">
        <v>140</v>
      </c>
      <c r="K12" s="98"/>
    </row>
    <row r="13" spans="1:11" s="96" customFormat="1" ht="24">
      <c r="A13" s="113"/>
      <c r="B13" s="117" t="s">
        <v>214</v>
      </c>
      <c r="C13" s="113"/>
      <c r="D13" s="115"/>
      <c r="E13" s="98"/>
      <c r="F13" s="98"/>
      <c r="G13" s="122">
        <v>2.2000000000000002</v>
      </c>
      <c r="H13" s="122">
        <v>1.1000000000000001</v>
      </c>
      <c r="I13" s="122">
        <v>0.1</v>
      </c>
      <c r="J13" s="141">
        <f>คำนวณไม้แบบ!J19</f>
        <v>240</v>
      </c>
      <c r="K13" s="98"/>
    </row>
    <row r="14" spans="1:11" s="96" customFormat="1" ht="24">
      <c r="A14" s="113"/>
      <c r="B14" s="117" t="s">
        <v>279</v>
      </c>
      <c r="C14" s="113" t="s">
        <v>129</v>
      </c>
      <c r="D14" s="115">
        <f>(G13*H13*J13)*20%</f>
        <v>116.16000000000003</v>
      </c>
      <c r="E14" s="98"/>
      <c r="F14" s="98"/>
      <c r="G14" s="98"/>
      <c r="H14" s="98"/>
      <c r="I14" s="98"/>
      <c r="J14" s="142"/>
      <c r="K14" s="98"/>
    </row>
    <row r="15" spans="1:11" s="96" customFormat="1" ht="24">
      <c r="A15" s="120"/>
      <c r="B15" s="109" t="s">
        <v>21</v>
      </c>
      <c r="C15" s="120"/>
      <c r="D15" s="121">
        <f>D11+D14</f>
        <v>116.16000000000003</v>
      </c>
    </row>
    <row r="16" spans="1:11" ht="24">
      <c r="A16" s="96"/>
      <c r="B16" s="96"/>
      <c r="C16" s="96"/>
      <c r="D16" s="96"/>
      <c r="E16" s="96"/>
      <c r="F16" s="96"/>
      <c r="G16" s="96"/>
      <c r="H16" s="96"/>
      <c r="I16" s="96"/>
      <c r="J16" s="96"/>
      <c r="K16" s="96"/>
    </row>
    <row r="17" spans="1:11" ht="24">
      <c r="A17" s="96"/>
      <c r="B17" s="96" t="s">
        <v>238</v>
      </c>
      <c r="C17" s="96"/>
      <c r="D17" s="96"/>
      <c r="E17" s="96"/>
      <c r="F17" s="96"/>
      <c r="G17" s="96"/>
      <c r="H17" s="96"/>
      <c r="I17" s="96"/>
      <c r="J17" s="96"/>
      <c r="K17" s="96"/>
    </row>
    <row r="18" spans="1:11" ht="24">
      <c r="A18" s="96"/>
      <c r="B18" s="96"/>
      <c r="C18" s="96"/>
      <c r="D18" s="96"/>
      <c r="E18" s="96"/>
      <c r="F18" s="96"/>
      <c r="G18" s="96"/>
      <c r="H18" s="96"/>
      <c r="I18" s="96"/>
      <c r="J18" s="96"/>
      <c r="K18" s="96"/>
    </row>
  </sheetData>
  <mergeCells count="7">
    <mergeCell ref="A1:D1"/>
    <mergeCell ref="A4:A5"/>
    <mergeCell ref="B4:B5"/>
    <mergeCell ref="C4:C5"/>
    <mergeCell ref="D4:D5"/>
    <mergeCell ref="A2:D2"/>
    <mergeCell ref="A3:D3"/>
  </mergeCells>
  <pageMargins left="0.70866141732283472" right="0.70866141732283472" top="0.74803149606299213" bottom="0.74803149606299213" header="0.31496062992125984" footer="0.31496062992125984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21"/>
  <sheetViews>
    <sheetView view="pageBreakPreview" topLeftCell="A5" zoomScale="120" zoomScaleNormal="100" zoomScaleSheetLayoutView="120" workbookViewId="0">
      <selection activeCell="D20" sqref="D20"/>
    </sheetView>
  </sheetViews>
  <sheetFormatPr defaultColWidth="9" defaultRowHeight="17.25"/>
  <cols>
    <col min="1" max="1" width="7" style="98" customWidth="1"/>
    <col min="2" max="2" width="51.42578125" style="98" customWidth="1"/>
    <col min="3" max="3" width="13.85546875" style="98" customWidth="1"/>
    <col min="4" max="4" width="11.42578125" style="98" customWidth="1"/>
    <col min="5" max="5" width="9" style="98"/>
    <col min="6" max="6" width="11.85546875" style="98" customWidth="1"/>
    <col min="7" max="7" width="7.85546875" style="98" customWidth="1"/>
    <col min="8" max="8" width="7.140625" style="98" customWidth="1"/>
    <col min="9" max="9" width="16.42578125" style="98" customWidth="1"/>
    <col min="10" max="16384" width="9" style="98"/>
  </cols>
  <sheetData>
    <row r="1" spans="1:10" ht="24">
      <c r="A1" s="233" t="s">
        <v>131</v>
      </c>
      <c r="B1" s="233"/>
      <c r="C1" s="233"/>
      <c r="D1" s="233"/>
    </row>
    <row r="2" spans="1:10" ht="24">
      <c r="A2" s="233" t="str">
        <f>ปร.5!A2</f>
        <v xml:space="preserve">โครงการ  ก่อสร้างรางส่งน้ำคอนกรีตเสริมเหล็ก บ้านดอนมูล หมู่ที่ 16 </v>
      </c>
      <c r="B2" s="233"/>
      <c r="C2" s="233"/>
      <c r="D2" s="233"/>
    </row>
    <row r="3" spans="1:10" ht="24">
      <c r="A3" s="233" t="str">
        <f>ปร.5!A4</f>
        <v>สถานที่ก่อสร้าง ต่อลำเหมืองคอนกรีตเดิม บ้านดอนมูล หมู่ที่ 16  ตำบลปง   อำเภอปง   จังหวัดพะเยา</v>
      </c>
      <c r="B3" s="233"/>
      <c r="C3" s="233"/>
      <c r="D3" s="233"/>
    </row>
    <row r="4" spans="1:10" ht="23.25" customHeight="1">
      <c r="A4" s="236" t="s">
        <v>12</v>
      </c>
      <c r="B4" s="236" t="s">
        <v>0</v>
      </c>
      <c r="C4" s="236" t="s">
        <v>2</v>
      </c>
      <c r="D4" s="236" t="s">
        <v>6</v>
      </c>
    </row>
    <row r="5" spans="1:10" ht="23.25" customHeight="1">
      <c r="A5" s="237"/>
      <c r="B5" s="237"/>
      <c r="C5" s="237"/>
      <c r="D5" s="237"/>
    </row>
    <row r="6" spans="1:10" ht="24">
      <c r="A6" s="110">
        <v>1</v>
      </c>
      <c r="B6" s="111" t="str">
        <f>คำนวณไม้แบบ!B6</f>
        <v xml:space="preserve"> รางส่งน้ำเพื่อการเกษตร ขนาด 0.30 x 0.30 x 0 ม.</v>
      </c>
      <c r="C6" s="110"/>
      <c r="D6" s="112"/>
      <c r="F6" s="96" t="s">
        <v>137</v>
      </c>
      <c r="G6" s="108" t="s">
        <v>142</v>
      </c>
      <c r="H6" s="108" t="s">
        <v>143</v>
      </c>
      <c r="I6" s="108" t="s">
        <v>225</v>
      </c>
      <c r="J6" s="108" t="s">
        <v>140</v>
      </c>
    </row>
    <row r="7" spans="1:10" ht="24">
      <c r="A7" s="113"/>
      <c r="B7" s="117" t="s">
        <v>215</v>
      </c>
      <c r="C7" s="113"/>
      <c r="D7" s="115"/>
      <c r="G7" s="116">
        <f>คำนวณไม้แบบ!G7</f>
        <v>0</v>
      </c>
      <c r="H7" s="116">
        <f>คำนวณไม้แบบ!H10</f>
        <v>0</v>
      </c>
      <c r="I7" s="116">
        <f>คำนวณไม้แบบ!I7</f>
        <v>0.1</v>
      </c>
      <c r="J7" s="141">
        <f>คำนวณไม้แบบ!J7</f>
        <v>0</v>
      </c>
    </row>
    <row r="8" spans="1:10" ht="24">
      <c r="A8" s="113"/>
      <c r="B8" s="117" t="s">
        <v>233</v>
      </c>
      <c r="C8" s="113" t="s">
        <v>129</v>
      </c>
      <c r="D8" s="115">
        <f>ROUNDDOWN(G7*I7*J7,2)</f>
        <v>0</v>
      </c>
    </row>
    <row r="9" spans="1:10" ht="24">
      <c r="A9" s="113"/>
      <c r="B9" s="117" t="s">
        <v>161</v>
      </c>
      <c r="C9" s="113"/>
      <c r="D9" s="115"/>
    </row>
    <row r="10" spans="1:10" ht="24">
      <c r="A10" s="113"/>
      <c r="B10" s="117" t="s">
        <v>234</v>
      </c>
      <c r="C10" s="113" t="s">
        <v>129</v>
      </c>
      <c r="D10" s="115">
        <f>ROUNDDOWN(H7*I7*J7*2,2)</f>
        <v>0</v>
      </c>
    </row>
    <row r="11" spans="1:10" ht="24">
      <c r="A11" s="110">
        <v>2</v>
      </c>
      <c r="B11" s="111" t="str">
        <f>คำนวณไม้แบบ!B11</f>
        <v xml:space="preserve"> รางส่งน้ำคอนกรีตเสริมเหล็ก ขนาด 1.00 x 1.00 x 0 ม.</v>
      </c>
      <c r="C11" s="110"/>
      <c r="D11" s="112"/>
      <c r="F11" s="96" t="s">
        <v>137</v>
      </c>
      <c r="G11" s="108" t="s">
        <v>142</v>
      </c>
      <c r="H11" s="108" t="s">
        <v>143</v>
      </c>
      <c r="I11" s="108" t="s">
        <v>225</v>
      </c>
      <c r="J11" s="108" t="s">
        <v>140</v>
      </c>
    </row>
    <row r="12" spans="1:10" ht="24">
      <c r="A12" s="113"/>
      <c r="B12" s="117" t="s">
        <v>215</v>
      </c>
      <c r="C12" s="113"/>
      <c r="D12" s="115"/>
      <c r="G12" s="116">
        <v>1.2</v>
      </c>
      <c r="H12" s="116">
        <f>คำนวณไม้แบบ!H15</f>
        <v>0</v>
      </c>
      <c r="I12" s="116">
        <f>คำนวณไม้แบบ!I12</f>
        <v>0.1</v>
      </c>
      <c r="J12" s="141">
        <f>คำนวณไม้แบบ!J12</f>
        <v>0</v>
      </c>
    </row>
    <row r="13" spans="1:10" ht="24">
      <c r="A13" s="113"/>
      <c r="B13" s="117" t="s">
        <v>239</v>
      </c>
      <c r="C13" s="113" t="s">
        <v>129</v>
      </c>
      <c r="D13" s="115">
        <f>ROUNDDOWN(G12*I12*J12,2)</f>
        <v>0</v>
      </c>
    </row>
    <row r="14" spans="1:10" ht="24">
      <c r="A14" s="113"/>
      <c r="B14" s="117" t="s">
        <v>161</v>
      </c>
      <c r="C14" s="113"/>
      <c r="D14" s="115"/>
    </row>
    <row r="15" spans="1:10" ht="24">
      <c r="A15" s="113"/>
      <c r="B15" s="117" t="s">
        <v>240</v>
      </c>
      <c r="C15" s="113" t="s">
        <v>129</v>
      </c>
      <c r="D15" s="115">
        <f>ROUNDDOWN(H12*I12*J12*2,2)</f>
        <v>0</v>
      </c>
    </row>
    <row r="16" spans="1:10" ht="24">
      <c r="A16" s="110">
        <v>3</v>
      </c>
      <c r="B16" s="111" t="str">
        <f>คำนวณไม้แบบ!B18</f>
        <v xml:space="preserve"> รางส่งน้ำคอนกรีตเสริมเหล็ก ขนาด 2.00 x 1.00 x 240 ม.</v>
      </c>
      <c r="C16" s="110"/>
      <c r="D16" s="112"/>
      <c r="F16" s="96" t="s">
        <v>137</v>
      </c>
      <c r="G16" s="108" t="s">
        <v>142</v>
      </c>
      <c r="H16" s="108" t="s">
        <v>143</v>
      </c>
      <c r="I16" s="108" t="s">
        <v>225</v>
      </c>
      <c r="J16" s="108" t="s">
        <v>140</v>
      </c>
    </row>
    <row r="17" spans="1:10" ht="24">
      <c r="A17" s="113"/>
      <c r="B17" s="117" t="s">
        <v>215</v>
      </c>
      <c r="C17" s="113"/>
      <c r="D17" s="115"/>
      <c r="G17" s="116">
        <v>2.2000000000000002</v>
      </c>
      <c r="H17" s="116">
        <v>1</v>
      </c>
      <c r="I17" s="116">
        <v>0.1</v>
      </c>
      <c r="J17" s="141">
        <f>คำนวณไม้แบบ!J19</f>
        <v>240</v>
      </c>
    </row>
    <row r="18" spans="1:10" ht="24">
      <c r="A18" s="113"/>
      <c r="B18" s="117" t="s">
        <v>287</v>
      </c>
      <c r="C18" s="113" t="s">
        <v>129</v>
      </c>
      <c r="D18" s="115">
        <f>ROUNDDOWN(G17*I17*J17,2)</f>
        <v>52.8</v>
      </c>
    </row>
    <row r="19" spans="1:10" ht="24">
      <c r="A19" s="113"/>
      <c r="B19" s="117" t="s">
        <v>161</v>
      </c>
      <c r="C19" s="113"/>
      <c r="D19" s="115"/>
    </row>
    <row r="20" spans="1:10" ht="24">
      <c r="A20" s="113"/>
      <c r="B20" s="117" t="s">
        <v>288</v>
      </c>
      <c r="C20" s="113" t="s">
        <v>129</v>
      </c>
      <c r="D20" s="115">
        <f>ROUNDDOWN(H17*I17*J17*2,2)</f>
        <v>48</v>
      </c>
    </row>
    <row r="21" spans="1:10" ht="24">
      <c r="A21" s="120"/>
      <c r="B21" s="109" t="s">
        <v>21</v>
      </c>
      <c r="C21" s="120"/>
      <c r="D21" s="121">
        <f>SUM(D11:D20)</f>
        <v>100.8</v>
      </c>
    </row>
  </sheetData>
  <mergeCells count="7">
    <mergeCell ref="A1:D1"/>
    <mergeCell ref="A2:D2"/>
    <mergeCell ref="A3:D3"/>
    <mergeCell ref="A4:A5"/>
    <mergeCell ref="B4:B5"/>
    <mergeCell ref="C4:C5"/>
    <mergeCell ref="D4:D5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12</vt:i4>
      </vt:variant>
      <vt:variant>
        <vt:lpstr>ช่วงที่มีชื่อ</vt:lpstr>
      </vt:variant>
      <vt:variant>
        <vt:i4>4</vt:i4>
      </vt:variant>
    </vt:vector>
  </HeadingPairs>
  <TitlesOfParts>
    <vt:vector size="16" baseType="lpstr">
      <vt:lpstr>ปร.5</vt:lpstr>
      <vt:lpstr>ปร.4</vt:lpstr>
      <vt:lpstr>หลักเกณฑ์คำนวณ</vt:lpstr>
      <vt:lpstr>ราคางานคอนกรีต</vt:lpstr>
      <vt:lpstr>ราคาไม้แบบ</vt:lpstr>
      <vt:lpstr>สรุปรายการปริมาณงาน</vt:lpstr>
      <vt:lpstr>คำนวณเหล็กเสริม</vt:lpstr>
      <vt:lpstr>คำนวณดินขุด</vt:lpstr>
      <vt:lpstr>คำนวณคอนกรีต</vt:lpstr>
      <vt:lpstr>คำนวณไม้แบบ</vt:lpstr>
      <vt:lpstr>ราคาเฉลี่ยเหล็กเสริม</vt:lpstr>
      <vt:lpstr>ราคาวัสดุ</vt:lpstr>
      <vt:lpstr>ปร.4!Print_Area</vt:lpstr>
      <vt:lpstr>ปร.5!Print_Area</vt:lpstr>
      <vt:lpstr>ราคางานคอนกรีต!Print_Area</vt:lpstr>
      <vt:lpstr>หลักเกณฑ์คำนวณ!Print_Area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ASRock</dc:creator>
  <cp:lastModifiedBy>asus</cp:lastModifiedBy>
  <cp:lastPrinted>2024-05-08T04:38:59Z</cp:lastPrinted>
  <dcterms:created xsi:type="dcterms:W3CDTF">2015-12-04T01:49:37Z</dcterms:created>
  <dcterms:modified xsi:type="dcterms:W3CDTF">2024-05-08T04:39:00Z</dcterms:modified>
</cp:coreProperties>
</file>