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PDC\Downloads\"/>
    </mc:Choice>
  </mc:AlternateContent>
  <xr:revisionPtr revIDLastSave="0" documentId="13_ncr:1_{954BE251-5DFE-4980-BD8C-265979272868}" xr6:coauthVersionLast="47" xr6:coauthVersionMax="47" xr10:uidLastSave="{00000000-0000-0000-0000-000000000000}"/>
  <bookViews>
    <workbookView xWindow="-120" yWindow="-120" windowWidth="21840" windowHeight="13020" firstSheet="3" activeTab="3" xr2:uid="{00000000-000D-0000-FFFF-FFFF00000000}"/>
  </bookViews>
  <sheets>
    <sheet name="ข้อมูล" sheetId="11" state="hidden" r:id="rId1"/>
    <sheet name="S2" sheetId="15" state="hidden" r:id="rId2"/>
    <sheet name="S3" sheetId="14" state="hidden" r:id="rId3"/>
    <sheet name="ปร.4" sheetId="12" r:id="rId4"/>
    <sheet name="ปร.5" sheetId="32" r:id="rId5"/>
    <sheet name="คำนวน" sheetId="33" state="hidden" r:id="rId6"/>
    <sheet name="ไฟฟ้า" sheetId="35" state="hidden" r:id="rId7"/>
    <sheet name="Sheet1" sheetId="36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\a">#REF!</definedName>
    <definedName name="\z">#REF!</definedName>
    <definedName name="_">'[1]ราคาต่อหน่วย2-9'!#REF!</definedName>
    <definedName name="____________cut1">[2]เมนู!$H$18</definedName>
    <definedName name="___________cut1">[2]เมนู!$H$18</definedName>
    <definedName name="__________a1">[3]รถสิบล้อ!$AH$29</definedName>
    <definedName name="__________a2">[3]รถพ่วง!$AA$27</definedName>
    <definedName name="__________s1">[3]รถพ่วง!$AA$34</definedName>
    <definedName name="__________sp2">[3]รถพ่วง!$AA$31</definedName>
    <definedName name="_________a1">[3]รถสิบล้อ!$AH$29</definedName>
    <definedName name="_________a2">[3]รถพ่วง!$AA$27</definedName>
    <definedName name="_________cut1">[2]เมนู!$H$18</definedName>
    <definedName name="_________ml1">#REF!</definedName>
    <definedName name="_________s1">[3]รถพ่วง!$AA$34</definedName>
    <definedName name="_________sp1">#REF!</definedName>
    <definedName name="_________sp2">[3]รถพ่วง!$AA$31</definedName>
    <definedName name="_________tc1">#REF!</definedName>
    <definedName name="________a1">[3]รถสิบล้อ!$AH$29</definedName>
    <definedName name="________a2">[3]รถพ่วง!$AA$27</definedName>
    <definedName name="________cut1">[2]เมนู!$H$18</definedName>
    <definedName name="________ml1">#REF!</definedName>
    <definedName name="________s1">[3]รถพ่วง!$AA$34</definedName>
    <definedName name="________sp1">#REF!</definedName>
    <definedName name="________sp2">[3]รถพ่วง!$AA$31</definedName>
    <definedName name="________tc1">#REF!</definedName>
    <definedName name="_______a1">[3]รถสิบล้อ!$AH$29</definedName>
    <definedName name="_______a2">[3]รถพ่วง!$AA$27</definedName>
    <definedName name="_______cut1">[2]เมนู!$H$18</definedName>
    <definedName name="_______ml1">#REF!</definedName>
    <definedName name="_______s1">[3]รถพ่วง!$AA$34</definedName>
    <definedName name="_______sp1">#REF!</definedName>
    <definedName name="_______sp2">[3]รถพ่วง!$AA$31</definedName>
    <definedName name="_______tc1">#REF!</definedName>
    <definedName name="______a1">[3]รถสิบล้อ!$AH$29</definedName>
    <definedName name="______a2">[3]รถพ่วง!$AA$27</definedName>
    <definedName name="______cut1">[2]เมนู!$H$18</definedName>
    <definedName name="______ml1">#REF!</definedName>
    <definedName name="______s1">[3]รถพ่วง!$AA$34</definedName>
    <definedName name="______sp1">#REF!</definedName>
    <definedName name="______sp2">[3]รถพ่วง!$AA$31</definedName>
    <definedName name="______tc1">#REF!</definedName>
    <definedName name="_____a1">[3]รถสิบล้อ!$AH$29</definedName>
    <definedName name="_____a2">[3]รถพ่วง!$AA$27</definedName>
    <definedName name="_____cut1">[4]ค่างานต้นทุน!$H$18</definedName>
    <definedName name="_____ml1">#REF!</definedName>
    <definedName name="_____s1">[3]รถพ่วง!$AA$34</definedName>
    <definedName name="_____sp1">#REF!</definedName>
    <definedName name="_____sp2">[3]รถพ่วง!$AA$31</definedName>
    <definedName name="_____tc1">#REF!</definedName>
    <definedName name="____a1">[3]รถสิบล้อ!$AH$29</definedName>
    <definedName name="____a2">[3]รถพ่วง!$AA$27</definedName>
    <definedName name="____cut1">[4]ค่างานต้นทุน!$H$18</definedName>
    <definedName name="____ml1">#REF!</definedName>
    <definedName name="____s1">[3]รถพ่วง!$AA$34</definedName>
    <definedName name="____sp1">#REF!</definedName>
    <definedName name="____sp2">[3]รถพ่วง!$AA$31</definedName>
    <definedName name="____tc1">#REF!</definedName>
    <definedName name="___a1">[3]รถสิบล้อ!$AH$29</definedName>
    <definedName name="___a2">[3]รถพ่วง!$AA$27</definedName>
    <definedName name="___ml1">#REF!</definedName>
    <definedName name="___s1">[3]รถพ่วง!$AA$34</definedName>
    <definedName name="___sp1">#REF!</definedName>
    <definedName name="___sp2">[3]รถพ่วง!$AA$31</definedName>
    <definedName name="___tc1">#REF!</definedName>
    <definedName name="__a1">[3]รถสิบล้อ!$AH$29</definedName>
    <definedName name="__a2">[3]รถพ่วง!$AA$27</definedName>
    <definedName name="__cut1">[2]เมนู!$H$18</definedName>
    <definedName name="__ml1">#REF!</definedName>
    <definedName name="__s1">[3]รถพ่วง!$AA$34</definedName>
    <definedName name="__sp1">#REF!</definedName>
    <definedName name="__sp2">[3]รถพ่วง!$AA$31</definedName>
    <definedName name="__tc1">#REF!</definedName>
    <definedName name="_a1">[3]รถสิบล้อ!$AH$29</definedName>
    <definedName name="_a2">[3]รถพ่วง!$AA$27</definedName>
    <definedName name="_cut1">[5]ค่างานต้นทุน!$H$18</definedName>
    <definedName name="_ftf2">'[6]หา FACTOR F'!$K$34</definedName>
    <definedName name="_ftf3">'[6]หา FACTOR F'!$K$48</definedName>
    <definedName name="_ml1">#REF!</definedName>
    <definedName name="_s1">[3]รถพ่วง!$AA$34</definedName>
    <definedName name="_sp1">#REF!</definedName>
    <definedName name="_sp2">[3]รถพ่วง!$AA$31</definedName>
    <definedName name="_tc1">#REF!</definedName>
    <definedName name="aaaaaaaaaaaaaa">[2]เมนู!$H$560</definedName>
    <definedName name="AT">#REF!</definedName>
    <definedName name="AV.SP">#REF!</definedName>
    <definedName name="av1.sp">#REF!</definedName>
    <definedName name="ben">[5]ค่างานต้นทุน!$H$11</definedName>
    <definedName name="Box_D">[7]ราคาต้นทุนต่อหน่วย!#REF!</definedName>
    <definedName name="Box_S">[7]ราคาต้นทุนต่อหน่วย!#REF!</definedName>
    <definedName name="Box_T">[7]ราคาต้นทุนต่อหน่วย!#REF!</definedName>
    <definedName name="Box_W">[7]ราคาต้นทุนต่อหน่วย!#REF!</definedName>
    <definedName name="BZ">#REF!</definedName>
    <definedName name="Concrete">[8]FCalSH!$G$18</definedName>
    <definedName name="CR">#REF!</definedName>
    <definedName name="cs">[5]ค่างานต้นทุน!$H$106</definedName>
    <definedName name="CT">#REF!</definedName>
    <definedName name="CulvertSkew_L1">[7]ราคาต้นทุนต่อหน่วย!#REF!</definedName>
    <definedName name="CulvertSkew_S1">[7]ราคาต้นทุนต่อหน่วย!#REF!</definedName>
    <definedName name="CulvertSkew_S2">[7]ราคาต้นทุนต่อหน่วย!#REF!</definedName>
    <definedName name="CV">#REF!</definedName>
    <definedName name="Data">[9]ค่าเสื่อมราคา!$L$6:$DU$50</definedName>
    <definedName name="_xlnm.Database">#REF!</definedName>
    <definedName name="db_12">#REF!</definedName>
    <definedName name="DB_12UP">[7]BOQ!#REF!</definedName>
    <definedName name="db_16">#REF!</definedName>
    <definedName name="db_25">#REF!</definedName>
    <definedName name="dig">'[1]ราคาต่อหน่วย2-9'!$Q$2341</definedName>
    <definedName name="DS">#REF!</definedName>
    <definedName name="DT">#REF!</definedName>
    <definedName name="ER">#REF!</definedName>
    <definedName name="ffbn">[1]ปร4!#REF!</definedName>
    <definedName name="ffbridge">'[1]หา FACTORF'!$J$20</definedName>
    <definedName name="ffgen">'[1]หา FACTORF'!$J$4</definedName>
    <definedName name="ffrn">[1]ปร4!#REF!</definedName>
    <definedName name="ffroad">'[1]หา FACTORF'!$J$12</definedName>
    <definedName name="fill1">[5]ค่างานต้นทุน!$H$39</definedName>
    <definedName name="fill2">[5]ค่างานต้นทุน!$H$42</definedName>
    <definedName name="Footing.hang">'[1]ราคาต่อหน่วย2-9'!$Q$2358</definedName>
    <definedName name="Footing.over">'[1]ราคาต่อหน่วย2-9'!$Q$2375</definedName>
    <definedName name="FormWork">[8]FCalSH!$G$19</definedName>
    <definedName name="froad">#REF!</definedName>
    <definedName name="Fสะพาน">[10]FactorF!$C$31</definedName>
    <definedName name="gaurd1">[5]ค่างานต้นทุน!$H$402</definedName>
    <definedName name="gaurd2">[5]ค่างานต้นทุน!$H$415</definedName>
    <definedName name="gaurd3">[5]ค่างานต้นทุน!$H$429</definedName>
    <definedName name="gaurd4">[5]ค่างานต้นทุน!$H$443</definedName>
    <definedName name="gaurd5">[5]ค่างานต้นทุน!$H$457</definedName>
    <definedName name="GR">#REF!</definedName>
    <definedName name="HeadWall_h1">[7]ราคาต้นทุนต่อหน่วย!#REF!</definedName>
    <definedName name="HeadWall_L">[7]ราคาต้นทุนต่อหน่วย!#REF!</definedName>
    <definedName name="HeadWall_t1">[7]ราคาต้นทุนต่อหน่วย!#REF!</definedName>
    <definedName name="HOUR">#REF!</definedName>
    <definedName name="hour1">#REF!</definedName>
    <definedName name="I_20">[7]ราคาต้นทุนต่อหน่วย!#REF!</definedName>
    <definedName name="I_30">[7]ราคาต้นทุนต่อหน่วย!#REF!</definedName>
    <definedName name="I6.12.1">[11]ต้นทุนงานทาง!$J$544</definedName>
    <definedName name="I6.12.2">[11]ต้นทุนงานทาง!$J$545</definedName>
    <definedName name="I6.17">[11]ต้นทุนงานทาง!$J$543</definedName>
    <definedName name="I6.7.1">[11]ต้นทุนงานทาง!$J$311</definedName>
    <definedName name="I6.7.2">[11]ต้นทุนงานทาง!$J$319</definedName>
    <definedName name="I6.9">[11]ต้นทุนงานทาง!$J$542</definedName>
    <definedName name="LB">#REF!</definedName>
    <definedName name="LBD">#REF!</definedName>
    <definedName name="lean">#REF!</definedName>
    <definedName name="LONGBOLT">#REF!</definedName>
    <definedName name="LR">#REF!</definedName>
    <definedName name="LUB">#REF!</definedName>
    <definedName name="ML">#REF!</definedName>
    <definedName name="oil">[12]Oil!$B$5:$G$1006</definedName>
    <definedName name="pc">#REF!</definedName>
    <definedName name="pipe100">[5]ค่างานต้นทุน!$H$159</definedName>
    <definedName name="pipe120">[5]ค่างานต้นทุน!$H$167</definedName>
    <definedName name="pipe150">#REF!</definedName>
    <definedName name="pipe40">#REF!</definedName>
    <definedName name="pipe40.1">[5]ค่างานต้นทุน!$H$134</definedName>
    <definedName name="pipe60">[5]ค่างานต้นทุน!$H$143</definedName>
    <definedName name="pipe80">[5]ค่างานต้นทุน!$H$151</definedName>
    <definedName name="pole">'[1]ราคาต่อหน่วย2-9'!$Q$2335</definedName>
    <definedName name="prime">[5]ค่างานต้นทุน!$H$89</definedName>
    <definedName name="_xlnm.Print_Area" localSheetId="5">คำนวน!$A$1:$L$26</definedName>
    <definedName name="_xlnm.Print_Area" localSheetId="3">ปร.4!$A$1:$O$159</definedName>
    <definedName name="_xlnm.Print_Area" localSheetId="4">ปร.5!$A$1:$L$38</definedName>
    <definedName name="_xlnm.Print_Area">#REF!</definedName>
    <definedName name="PRINT_AREA_MI">#REF!</definedName>
    <definedName name="rb_6">#REF!</definedName>
    <definedName name="rb_9">#REF!</definedName>
    <definedName name="RC_">#REF!</definedName>
    <definedName name="rc_1">#REF!</definedName>
    <definedName name="SB">#REF!</definedName>
    <definedName name="select">[5]ค่างานต้นทุน!$H$50</definedName>
    <definedName name="Sign">'[1]ราคาต่อหน่วย2-9'!$Q$2252</definedName>
    <definedName name="signF">'[1]ราคาต่อหน่วย2-9'!$Q$2271</definedName>
    <definedName name="signF.over">'[1]ราคาต่อหน่วย2-9'!$Q$2289</definedName>
    <definedName name="SP">#REF!</definedName>
    <definedName name="TC">#REF!</definedName>
    <definedName name="timber">[5]ค่างานต้นทุน!$H$474</definedName>
    <definedName name="TIME">#REF!</definedName>
    <definedName name="time1">#REF!</definedName>
    <definedName name="TR">#REF!</definedName>
    <definedName name="TUBRIM1">#REF!</definedName>
    <definedName name="TUBRIM2">#REF!</definedName>
    <definedName name="TUBRIM3">#REF!</definedName>
    <definedName name="TypeOfWork">[13]Form1!$A$5</definedName>
    <definedName name="WT">#REF!</definedName>
    <definedName name="กม.">[5]ค่างานต้นทุน!$H$490</definedName>
    <definedName name="กรุย">[5]ค่างานต้นทุน!$H$5</definedName>
    <definedName name="กรุยทาง">#REF!</definedName>
    <definedName name="ขนส่งคอนกรีต">'[7]ค่าขนส่ง-1'!#REF!</definedName>
    <definedName name="ขุดดิน">[8]FCalSH!$G$27</definedName>
    <definedName name="ค1">'[1]ราคาต่อหน่วย2-9'!$Q$928</definedName>
    <definedName name="ค2">#REF!</definedName>
    <definedName name="ค3">#REF!</definedName>
    <definedName name="ค3_1">'[1]ราคาต่อหน่วย2-9'!$Q$880</definedName>
    <definedName name="ค4">'[1]ราคาต่อหน่วย2-9'!$Q$869</definedName>
    <definedName name="ค7">[14]ค่างานต้นทุน!$H$146</definedName>
    <definedName name="คหยาบ">'[1]ราคาต่อหน่วย2-9'!$Q$940</definedName>
    <definedName name="คอนกรีต">#REF!</definedName>
    <definedName name="คอนกรีตหยาบ">[8]FCalSH!$G$21</definedName>
    <definedName name="ค่าขนส่งปูน">[15]ข้อมูลโครงการ!$Q$53</definedName>
    <definedName name="ค่าเท">#REF!</definedName>
    <definedName name="คานขวาง_I_30">[7]ราคาต้นทุนต่อหน่วย!#REF!</definedName>
    <definedName name="คานขวาง_I20">[7]ราคาต้นทุนต่อหน่วย!#REF!</definedName>
    <definedName name="ค่าน้ำมันเฉลี่ย">#REF!</definedName>
    <definedName name="ค่าผูก">#REF!</definedName>
    <definedName name="ค่าแรงแบบ">#REF!</definedName>
    <definedName name="ค่าลวด">#REF!</definedName>
    <definedName name="งานสะพานคอนกรีตเสริมเหล็ก">[7]ราคาต้นทุนต่อหน่วย!#REF!</definedName>
    <definedName name="ชนิดรถขนส่งปูน">[9]ข้อมูลโครงการ!#REF!</definedName>
    <definedName name="ดินตัด">#REF!</definedName>
    <definedName name="ต1_60">[5]ค่างานต้นทุน!$H$301</definedName>
    <definedName name="ต1ต76">[5]ค่างานต้นทุน!$H$356</definedName>
    <definedName name="ต61">[5]ค่างานต้นทุน!$H$306</definedName>
    <definedName name="ต63">[5]ค่างานต้นทุน!$H$311</definedName>
    <definedName name="ต64">[5]ค่างานต้นทุน!$H$316</definedName>
    <definedName name="ต65">[5]ค่างานต้นทุน!$H$321</definedName>
    <definedName name="ต69">[5]ค่างานต้นทุน!$H$326</definedName>
    <definedName name="ต71">[5]ค่างานต้นทุน!$H$331</definedName>
    <definedName name="ต74">[5]ค่างานต้นทุน!$H$336</definedName>
    <definedName name="ต76">[5]ค่างานต้นทุน!$H$341</definedName>
    <definedName name="ต77">[5]ค่างานต้นทุน!$H$346</definedName>
    <definedName name="ต78">[5]ค่างานต้นทุน!$H$351</definedName>
    <definedName name="ตะปู">#REF!</definedName>
    <definedName name="ตารางขนส่ง">[16]ค่าขนส่ง!$C$121:$O$320</definedName>
    <definedName name="ถางป่าขุดตอ">[1]OHCทาง!$D$8:$J$10</definedName>
    <definedName name="น1">[5]ค่างานต้นทุน!$H$361</definedName>
    <definedName name="น1น2_1">[5]ค่างานต้นทุน!$H$366</definedName>
    <definedName name="น1น2_2">[5]ค่างานต้นทุน!$H$371</definedName>
    <definedName name="น1น2_3">[5]ค่างานต้นทุน!$H$376</definedName>
    <definedName name="น3">[5]ค่างานต้นทุน!$H$381</definedName>
    <definedName name="น4">[5]ค่างานต้นทุน!$H$386</definedName>
    <definedName name="น5">[5]ค่างานต้นทุน!$H$391</definedName>
    <definedName name="นั่งร้าน1">'[1]ราคาต่อหน่วย2-9'!$Q$1011</definedName>
    <definedName name="นั่งร้าน2">'[1]ราคาต่อหน่วย2-9'!$Q$1025</definedName>
    <definedName name="นั่งร้านเสาเข็ม">[10]หมวดโครงสร้าง!$P$17</definedName>
    <definedName name="บ_ต">[5]ค่างานต้นทุน!$H$462</definedName>
    <definedName name="บ1">[5]ค่างานต้นทุน!$H$286</definedName>
    <definedName name="บ2">[5]ค่างานต้นทุน!$H$291</definedName>
    <definedName name="บ3_36">[5]ค่างานต้นทุน!$H$296</definedName>
    <definedName name="แบบ1">'[1]ราคาต่อหน่วย2-9'!$Q$966</definedName>
    <definedName name="แบบ2">'[1]ราคาต่อหน่วย2-9'!$Q$980</definedName>
    <definedName name="แบบ3">'[1]ราคาต่อหน่วย2-9'!$Q$997</definedName>
    <definedName name="ป">[17]ค่างานต้นทุน!#REF!</definedName>
    <definedName name="ปรับ">[5]ค่างานต้นทุน!$H$7</definedName>
    <definedName name="ปากท่อ1_100">[5]ค่างานต้นทุน!$H$553</definedName>
    <definedName name="ปากท่อ1_120">[5]ค่างานต้นทุน!$H$574</definedName>
    <definedName name="ปากท่อ1_60">[5]ค่างานต้นทุน!$H$511</definedName>
    <definedName name="ปากท่อ1_80">[5]ค่างานต้นทุน!$H$532</definedName>
    <definedName name="ปากท่อ2_100">[5]ค่างานต้นทุน!$H$560</definedName>
    <definedName name="ปากท่อ2_120">[5]ค่างานต้นทุน!$H$581</definedName>
    <definedName name="ปากท่อ2_60">[5]ค่างานต้นทุน!$H$518</definedName>
    <definedName name="ปากท่อ2_80">[5]ค่างานต้นทุน!$H$539</definedName>
    <definedName name="ปากท่อ3_100">[5]ค่างานต้นทุน!$H$567</definedName>
    <definedName name="ปากท่อ3_120">[5]ค่างานต้นทุน!$H$588</definedName>
    <definedName name="ปากท่อ3_60">[5]ค่างานต้นทุน!$H$525</definedName>
    <definedName name="ปากท่อ3_80">[5]ค่างานต้นทุน!$H$546</definedName>
    <definedName name="ป้ายก">[5]ค่างานต้นทุน!$H$464</definedName>
    <definedName name="ปูนทราย">#REF!</definedName>
    <definedName name="พื้น10ม.">[18]ข้อมูลคำนวณ!$J$43</definedName>
    <definedName name="พื้น12ม.">[18]ข้อมูลคำนวณ!$D$54</definedName>
    <definedName name="พื้น5ม.">[18]ข้อมูลคำนวณ!$D$21</definedName>
    <definedName name="พื้น6ม.">[18]ข้อมูลคำนวณ!$J$21</definedName>
    <definedName name="พื้น7ม.">[18]ข้อมูลคำนวณ!$D$32</definedName>
    <definedName name="พื้น8ม.">[18]ข้อมูลคำนวณ!$J$32</definedName>
    <definedName name="พื้น9ม.">[18]ข้อมูลคำนวณ!$D$43</definedName>
    <definedName name="พื้นทาง">[5]ค่างานต้นทุน!$H$69</definedName>
    <definedName name="พื้นสะพานคอนกรีตช่วง_20_เมตร">[7]ราคาต้นทุนต่อหน่วย!#REF!</definedName>
    <definedName name="พื้นสะพานคอนกรีตช่วง30เมตร">[7]ราคาต้นทุนต่อหน่วย!#REF!</definedName>
    <definedName name="ภูมิอากาศ">#REF!</definedName>
    <definedName name="รวม1">'[19]ปร.4 สะพาน'!$I$16</definedName>
    <definedName name="รวม2">'[19]ปร.4 สะพาน'!$I$36</definedName>
    <definedName name="รวม3">'[19]ปร.4 สะพาน'!$I$52</definedName>
    <definedName name="รวม4">'[19]ปร.4 สะพาน'!$I$68</definedName>
    <definedName name="รวม5">'[19]ปร.4 สะพาน'!$I$92</definedName>
    <definedName name="รวม6">'[19]ปร.4 สะพาน'!$I$113</definedName>
    <definedName name="รวม7">'[19]ปร.4 สะพาน'!$I$130</definedName>
    <definedName name="รวม8">'[19]ปร.4 สะพาน'!$I$139</definedName>
    <definedName name="รวมราคา_I_30_ทั้งหมด">[7]ราคาต้นทุนต่อหน่วย!#REF!</definedName>
    <definedName name="รองพื้นทาง">[5]ค่างานต้นทุน!$H$60</definedName>
    <definedName name="ระยะขนส่ง">#REF!</definedName>
    <definedName name="ระยะขนส่งรถพ่วง">#REF!</definedName>
    <definedName name="ระยะดินตัด">#REF!</definedName>
    <definedName name="ระยะดินถม">#REF!</definedName>
    <definedName name="ระยะทรายถม">#REF!</definedName>
    <definedName name="ระยะทรายหยาบ">#REF!</definedName>
    <definedName name="ระยะทางขนส่งคอนกรีต">'[7]ค่าขนส่ง-1'!$K$61</definedName>
    <definedName name="ระยะทางขนส่งปูนซีเมนต์">[9]ข้อมูลโครงการ!$Q$45</definedName>
    <definedName name="ระยะปูนต์">#REF!</definedName>
    <definedName name="ระยะลูกรัง">#REF!</definedName>
    <definedName name="ระยะวัสดุคัดเลือก">#REF!</definedName>
    <definedName name="ระยะหิน12">#REF!</definedName>
    <definedName name="ระยะหินคลุก">#REF!</definedName>
    <definedName name="ระยะหินผสม">#REF!</definedName>
    <definedName name="ระยะเหล็กเส้น">#REF!</definedName>
    <definedName name="ระยะแอสฟัลท์">#REF!</definedName>
    <definedName name="ราคาค่าขนส่งคอนกรีต">'[7]ค่าขนส่ง-1'!$M$61</definedName>
    <definedName name="ราคาดินตัด">#REF!</definedName>
    <definedName name="ราคาดินถม">#REF!</definedName>
    <definedName name="ราคาทรายถม">#REF!</definedName>
    <definedName name="ราคาทรายหยาบ">#REF!</definedName>
    <definedName name="ราคาน้ำมันเฉลี่ย">[9]ข้อมูลโครงการ!$N$15</definedName>
    <definedName name="ราคาปูนtype1ที่แหล่ง">[15]ข้อมูลโครงการ!$Q$37</definedName>
    <definedName name="ราคาปูนต์">#REF!</definedName>
    <definedName name="ราคาลูกรัง">#REF!</definedName>
    <definedName name="ราคาวัสดุคัดเลือก">#REF!</definedName>
    <definedName name="ราคาหิน12">#REF!</definedName>
    <definedName name="ราคาหินคลุก">#REF!</definedName>
    <definedName name="ราคาหินผสม">#REF!</definedName>
    <definedName name="ราคาเหล็กเส้น">#REF!</definedName>
    <definedName name="ราคาแอสฟัลท์">#REF!</definedName>
    <definedName name="รางระบายน้ำ">[7]งานทั่วไปฯ!#REF!</definedName>
    <definedName name="รึถ">#REF!</definedName>
    <definedName name="ลบ.ม.">#REF!</definedName>
    <definedName name="ส1">[17]ค่างานต้นทุน!#REF!</definedName>
    <definedName name="ส2">[17]ค่างานต้นทุน!#REF!</definedName>
    <definedName name="ส3">[17]ค่างานต้นทุน!#REF!</definedName>
    <definedName name="ส4">[17]ค่างานต้นทุน!#REF!</definedName>
    <definedName name="สกัดหัวเสาเข็ม">[8]FCalSH!$G$20</definedName>
    <definedName name="สี">[5]ค่างานต้นทุน!#REF!</definedName>
    <definedName name="หญ้า">[5]ค่างานต้นทุน!$H$175</definedName>
    <definedName name="หลัก">[5]ค่างานต้นทุน!$H$482</definedName>
    <definedName name="เหล็ก16">'[1]ราคาต่อหน่วย2-9'!$Q$1228</definedName>
    <definedName name="เหล็กกลม">'[1]ราคาต่อหน่วย2-9'!$Q$1239</definedName>
    <definedName name="แหล่งปูน">[9]ข้อมูลโครงการ!$I$44</definedName>
    <definedName name="ๆ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2" i="12" l="1"/>
  <c r="Q123" i="12" s="1"/>
  <c r="Q121" i="12"/>
  <c r="B30" i="32" l="1"/>
  <c r="B29" i="32"/>
  <c r="D25" i="32"/>
  <c r="F11" i="32"/>
  <c r="H141" i="12"/>
  <c r="I130" i="12"/>
  <c r="I129" i="12"/>
  <c r="I128" i="12"/>
  <c r="I127" i="12"/>
  <c r="I126" i="12"/>
  <c r="I125" i="12"/>
  <c r="I124" i="12"/>
  <c r="I123" i="12"/>
  <c r="H63" i="12"/>
  <c r="B33" i="32" l="1"/>
  <c r="B37" i="32"/>
  <c r="B36" i="32"/>
  <c r="B32" i="32"/>
  <c r="C9" i="33"/>
  <c r="M4" i="33"/>
  <c r="N23" i="12"/>
  <c r="I8" i="32"/>
  <c r="E3" i="12"/>
  <c r="C8" i="32"/>
  <c r="A2" i="32"/>
  <c r="F29" i="12" l="1"/>
  <c r="G29" i="12"/>
  <c r="J29" i="12"/>
  <c r="F30" i="12"/>
  <c r="G30" i="12"/>
  <c r="J30" i="12"/>
  <c r="F32" i="12"/>
  <c r="G32" i="12"/>
  <c r="J32" i="12"/>
  <c r="F33" i="12"/>
  <c r="G33" i="12"/>
  <c r="J33" i="12"/>
  <c r="F34" i="12"/>
  <c r="G34" i="12"/>
  <c r="J34" i="12"/>
  <c r="F35" i="12"/>
  <c r="G35" i="12"/>
  <c r="J35" i="12"/>
  <c r="H33" i="12" l="1"/>
  <c r="K33" i="12" s="1"/>
  <c r="H34" i="12"/>
  <c r="I34" i="12" s="1"/>
  <c r="L34" i="12" s="1"/>
  <c r="H29" i="12"/>
  <c r="I29" i="12" s="1"/>
  <c r="L29" i="12" s="1"/>
  <c r="H30" i="12"/>
  <c r="I30" i="12" s="1"/>
  <c r="L30" i="12" s="1"/>
  <c r="H32" i="12"/>
  <c r="I32" i="12" s="1"/>
  <c r="L32" i="12" s="1"/>
  <c r="H35" i="12"/>
  <c r="K35" i="12" s="1"/>
  <c r="H95" i="12"/>
  <c r="I95" i="12" s="1"/>
  <c r="G95" i="12"/>
  <c r="F95" i="12"/>
  <c r="F69" i="12"/>
  <c r="G69" i="12"/>
  <c r="H69" i="12"/>
  <c r="I69" i="12" s="1"/>
  <c r="J69" i="12"/>
  <c r="F70" i="12"/>
  <c r="G70" i="12"/>
  <c r="H70" i="12"/>
  <c r="J70" i="12"/>
  <c r="F64" i="12"/>
  <c r="G64" i="12"/>
  <c r="H64" i="12"/>
  <c r="I64" i="12" s="1"/>
  <c r="H93" i="12"/>
  <c r="I93" i="12" s="1"/>
  <c r="F93" i="12"/>
  <c r="G93" i="12"/>
  <c r="H117" i="12"/>
  <c r="I117" i="12" s="1"/>
  <c r="H116" i="12"/>
  <c r="I116" i="12" s="1"/>
  <c r="H115" i="12"/>
  <c r="I115" i="12" s="1"/>
  <c r="H114" i="12"/>
  <c r="H113" i="12"/>
  <c r="F114" i="12"/>
  <c r="G114" i="12"/>
  <c r="F115" i="12"/>
  <c r="G115" i="12"/>
  <c r="F116" i="12"/>
  <c r="G116" i="12"/>
  <c r="F117" i="12"/>
  <c r="G117" i="12"/>
  <c r="H120" i="12"/>
  <c r="H111" i="12"/>
  <c r="H96" i="12"/>
  <c r="H94" i="12"/>
  <c r="H85" i="12"/>
  <c r="H84" i="12"/>
  <c r="H83" i="12"/>
  <c r="H82" i="12"/>
  <c r="H71" i="12"/>
  <c r="H81" i="12"/>
  <c r="H68" i="12"/>
  <c r="H65" i="12"/>
  <c r="K34" i="12" l="1"/>
  <c r="I33" i="12"/>
  <c r="L33" i="12" s="1"/>
  <c r="K32" i="12"/>
  <c r="I35" i="12"/>
  <c r="L35" i="12" s="1"/>
  <c r="K29" i="12"/>
  <c r="K30" i="12"/>
  <c r="K70" i="12"/>
  <c r="L69" i="12"/>
  <c r="I70" i="12"/>
  <c r="L70" i="12" s="1"/>
  <c r="K69" i="12"/>
  <c r="I114" i="12"/>
  <c r="F92" i="12" l="1"/>
  <c r="G92" i="12"/>
  <c r="I92" i="12"/>
  <c r="C5" i="32" l="1"/>
  <c r="I3" i="12" l="1"/>
  <c r="I94" i="12"/>
  <c r="I96" i="12"/>
  <c r="G96" i="12"/>
  <c r="F96" i="12"/>
  <c r="G94" i="12"/>
  <c r="F94" i="12"/>
  <c r="G37" i="35"/>
  <c r="G35" i="35"/>
  <c r="H35" i="35" s="1"/>
  <c r="C35" i="35"/>
  <c r="F35" i="35" s="1"/>
  <c r="G34" i="35"/>
  <c r="H34" i="35" s="1"/>
  <c r="I34" i="35" s="1"/>
  <c r="F34" i="35"/>
  <c r="G33" i="35"/>
  <c r="H33" i="35" s="1"/>
  <c r="I33" i="35" s="1"/>
  <c r="F33" i="35"/>
  <c r="G31" i="35"/>
  <c r="H31" i="35" s="1"/>
  <c r="I31" i="35" s="1"/>
  <c r="F31" i="35"/>
  <c r="F25" i="35"/>
  <c r="E23" i="35"/>
  <c r="C23" i="35"/>
  <c r="C24" i="35" s="1"/>
  <c r="F24" i="35" s="1"/>
  <c r="C21" i="35"/>
  <c r="F21" i="35" s="1"/>
  <c r="F20" i="35"/>
  <c r="F19" i="35"/>
  <c r="F18" i="35"/>
  <c r="F17" i="35"/>
  <c r="F16" i="35"/>
  <c r="C14" i="35"/>
  <c r="F14" i="35" s="1"/>
  <c r="C13" i="35"/>
  <c r="F13" i="35" s="1"/>
  <c r="C12" i="35"/>
  <c r="F12" i="35" s="1"/>
  <c r="E11" i="35"/>
  <c r="C11" i="35"/>
  <c r="C10" i="35"/>
  <c r="C9" i="35"/>
  <c r="F9" i="35" s="1"/>
  <c r="C8" i="35"/>
  <c r="F8" i="35" s="1"/>
  <c r="C7" i="35"/>
  <c r="F7" i="35" s="1"/>
  <c r="I35" i="35" l="1"/>
  <c r="F37" i="35"/>
  <c r="F11" i="35"/>
  <c r="F23" i="35"/>
  <c r="I37" i="35" l="1"/>
  <c r="I141" i="12"/>
  <c r="E10" i="35"/>
  <c r="K141" i="12" l="1"/>
  <c r="L141" i="12" s="1"/>
  <c r="F10" i="35"/>
  <c r="F26" i="35" s="1"/>
  <c r="F27" i="35" l="1"/>
  <c r="G7" i="35" l="1"/>
  <c r="H7" i="35" s="1"/>
  <c r="I7" i="35" s="1"/>
  <c r="G26" i="35"/>
  <c r="I26" i="35" s="1"/>
  <c r="I38" i="35" s="1"/>
  <c r="C38" i="35" s="1"/>
  <c r="G25" i="35"/>
  <c r="H25" i="35" s="1"/>
  <c r="I25" i="35" s="1"/>
  <c r="G24" i="35"/>
  <c r="H24" i="35" s="1"/>
  <c r="I24" i="35" s="1"/>
  <c r="G20" i="35"/>
  <c r="H20" i="35" s="1"/>
  <c r="I20" i="35" s="1"/>
  <c r="G19" i="35"/>
  <c r="H19" i="35" s="1"/>
  <c r="I19" i="35" s="1"/>
  <c r="G18" i="35"/>
  <c r="H18" i="35" s="1"/>
  <c r="I18" i="35" s="1"/>
  <c r="G17" i="35"/>
  <c r="H17" i="35" s="1"/>
  <c r="I17" i="35" s="1"/>
  <c r="G16" i="35"/>
  <c r="H16" i="35" s="1"/>
  <c r="I16" i="35" s="1"/>
  <c r="G14" i="35"/>
  <c r="H14" i="35" s="1"/>
  <c r="I14" i="35" s="1"/>
  <c r="G12" i="35"/>
  <c r="H12" i="35" s="1"/>
  <c r="I12" i="35" s="1"/>
  <c r="G8" i="35"/>
  <c r="H8" i="35" s="1"/>
  <c r="I8" i="35" s="1"/>
  <c r="G27" i="35"/>
  <c r="I27" i="35" s="1"/>
  <c r="G23" i="35"/>
  <c r="H23" i="35" s="1"/>
  <c r="I23" i="35" s="1"/>
  <c r="G21" i="35"/>
  <c r="H21" i="35" s="1"/>
  <c r="I21" i="35" s="1"/>
  <c r="G13" i="35"/>
  <c r="H13" i="35" s="1"/>
  <c r="I13" i="35" s="1"/>
  <c r="G11" i="35"/>
  <c r="H11" i="35" s="1"/>
  <c r="I11" i="35" s="1"/>
  <c r="G10" i="35"/>
  <c r="H10" i="35" s="1"/>
  <c r="I10" i="35" s="1"/>
  <c r="G9" i="35"/>
  <c r="H9" i="35" s="1"/>
  <c r="I9" i="35" s="1"/>
  <c r="T41" i="12" l="1"/>
  <c r="I62" i="12"/>
  <c r="L62" i="12" s="1"/>
  <c r="T21" i="12"/>
  <c r="I4" i="33" l="1"/>
  <c r="I68" i="12"/>
  <c r="I81" i="12"/>
  <c r="H87" i="12"/>
  <c r="I87" i="12" s="1"/>
  <c r="H86" i="12"/>
  <c r="I86" i="12" s="1"/>
  <c r="H109" i="12" l="1"/>
  <c r="I109" i="12" s="1"/>
  <c r="H61" i="12" l="1"/>
  <c r="I61" i="12" s="1"/>
  <c r="N32" i="12"/>
  <c r="I82" i="12"/>
  <c r="N35" i="12" l="1"/>
  <c r="N33" i="12"/>
  <c r="I113" i="12"/>
  <c r="H88" i="12"/>
  <c r="I88" i="12" s="1"/>
  <c r="I83" i="12"/>
  <c r="I71" i="12"/>
  <c r="I65" i="12"/>
  <c r="H42" i="12"/>
  <c r="I42" i="12" s="1"/>
  <c r="H89" i="12"/>
  <c r="I89" i="12" s="1"/>
  <c r="I84" i="12"/>
  <c r="L99" i="11" l="1"/>
  <c r="I140" i="12" l="1"/>
  <c r="F16" i="32" s="1"/>
  <c r="H140" i="12"/>
  <c r="G140" i="12"/>
  <c r="K140" i="12" l="1"/>
  <c r="L140" i="12" s="1"/>
  <c r="L142" i="12" s="1"/>
  <c r="J14" i="11"/>
  <c r="J13" i="11"/>
  <c r="J12" i="11"/>
  <c r="J11" i="11"/>
  <c r="H66" i="12" l="1"/>
  <c r="I66" i="12" s="1"/>
  <c r="I63" i="12"/>
  <c r="H110" i="12" l="1"/>
  <c r="I110" i="12" s="1"/>
  <c r="H112" i="12"/>
  <c r="I112" i="12" s="1"/>
  <c r="I111" i="12"/>
  <c r="H43" i="12"/>
  <c r="I43" i="12" s="1"/>
  <c r="I85" i="12" l="1"/>
  <c r="H80" i="12"/>
  <c r="I80" i="12" s="1"/>
  <c r="H79" i="12"/>
  <c r="I79" i="12" s="1"/>
  <c r="H78" i="12"/>
  <c r="I78" i="12" s="1"/>
  <c r="H77" i="12"/>
  <c r="I77" i="12" s="1"/>
  <c r="H76" i="12"/>
  <c r="I76" i="12" s="1"/>
  <c r="H75" i="12"/>
  <c r="I75" i="12" s="1"/>
  <c r="H74" i="12"/>
  <c r="I74" i="12" s="1"/>
  <c r="H73" i="12"/>
  <c r="I73" i="12" s="1"/>
  <c r="H72" i="12"/>
  <c r="I72" i="12" s="1"/>
  <c r="H67" i="12"/>
  <c r="I67" i="12" s="1"/>
  <c r="N26" i="12"/>
  <c r="N24" i="12"/>
  <c r="F38" i="12"/>
  <c r="N38" i="12" l="1"/>
  <c r="L108" i="11" l="1"/>
  <c r="H114" i="11"/>
  <c r="F123" i="11"/>
  <c r="G123" i="11"/>
  <c r="F125" i="11"/>
  <c r="H125" i="11" s="1"/>
  <c r="G125" i="11"/>
  <c r="G16" i="32" l="1"/>
  <c r="H16" i="32" s="1"/>
  <c r="C19" i="33" l="1"/>
  <c r="H19" i="33" s="1"/>
  <c r="C10" i="33"/>
  <c r="G10" i="33" s="1"/>
  <c r="I10" i="33" s="1"/>
  <c r="G19" i="33" l="1"/>
  <c r="H10" i="33"/>
  <c r="J10" i="33" s="1"/>
  <c r="I3" i="32"/>
  <c r="F110" i="12"/>
  <c r="G110" i="12"/>
  <c r="J90" i="12"/>
  <c r="H90" i="12"/>
  <c r="I90" i="12" s="1"/>
  <c r="G90" i="12"/>
  <c r="F90" i="12"/>
  <c r="L90" i="12" l="1"/>
  <c r="K90" i="12"/>
  <c r="G61" i="12" l="1"/>
  <c r="F61" i="12"/>
  <c r="G38" i="12" l="1"/>
  <c r="G25" i="12"/>
  <c r="G37" i="12"/>
  <c r="F75" i="12" l="1"/>
  <c r="G75" i="12"/>
  <c r="B2" i="33" l="1"/>
  <c r="H1" i="33"/>
  <c r="B1" i="33"/>
  <c r="C23" i="33"/>
  <c r="H23" i="33" s="1"/>
  <c r="J23" i="33" s="1"/>
  <c r="C22" i="33"/>
  <c r="H22" i="33" s="1"/>
  <c r="J22" i="33" s="1"/>
  <c r="C21" i="33"/>
  <c r="H21" i="33" s="1"/>
  <c r="J21" i="33" s="1"/>
  <c r="C20" i="33"/>
  <c r="H20" i="33" s="1"/>
  <c r="J20" i="33" s="1"/>
  <c r="L15" i="33"/>
  <c r="C14" i="33"/>
  <c r="H14" i="33" s="1"/>
  <c r="J14" i="33" s="1"/>
  <c r="C13" i="33"/>
  <c r="H13" i="33" s="1"/>
  <c r="J13" i="33" s="1"/>
  <c r="H12" i="33"/>
  <c r="J12" i="33" s="1"/>
  <c r="G12" i="33"/>
  <c r="I12" i="33" s="1"/>
  <c r="H11" i="33"/>
  <c r="J11" i="33" s="1"/>
  <c r="G11" i="33"/>
  <c r="I11" i="33" s="1"/>
  <c r="H9" i="33"/>
  <c r="J9" i="33" s="1"/>
  <c r="C8" i="33"/>
  <c r="B22" i="11"/>
  <c r="B21" i="11"/>
  <c r="C24" i="33" l="1"/>
  <c r="D24" i="33" s="1"/>
  <c r="G4" i="33"/>
  <c r="C15" i="33"/>
  <c r="D15" i="33" s="1"/>
  <c r="G8" i="33"/>
  <c r="I8" i="33" s="1"/>
  <c r="H8" i="33"/>
  <c r="G9" i="33"/>
  <c r="I9" i="33" s="1"/>
  <c r="G13" i="33"/>
  <c r="I13" i="33" s="1"/>
  <c r="G14" i="33"/>
  <c r="I14" i="33" s="1"/>
  <c r="G20" i="33"/>
  <c r="I20" i="33" s="1"/>
  <c r="G21" i="33"/>
  <c r="I21" i="33" s="1"/>
  <c r="G22" i="33"/>
  <c r="I22" i="33" s="1"/>
  <c r="G23" i="33"/>
  <c r="I23" i="33" s="1"/>
  <c r="H41" i="12" l="1"/>
  <c r="I41" i="12" s="1"/>
  <c r="G41" i="12"/>
  <c r="F41" i="12"/>
  <c r="H24" i="33"/>
  <c r="J19" i="33"/>
  <c r="J24" i="33" s="1"/>
  <c r="G24" i="33"/>
  <c r="I19" i="33"/>
  <c r="I24" i="33" s="1"/>
  <c r="H15" i="33"/>
  <c r="J8" i="33"/>
  <c r="J15" i="33" s="1"/>
  <c r="G15" i="33"/>
  <c r="I15" i="33"/>
  <c r="I16" i="33" l="1"/>
  <c r="G16" i="33"/>
  <c r="G25" i="33"/>
  <c r="I25" i="33"/>
  <c r="F4" i="33" l="1"/>
  <c r="H4" i="33" s="1"/>
  <c r="F11" i="12" l="1"/>
  <c r="F42" i="12" l="1"/>
  <c r="I51" i="12"/>
  <c r="I105" i="12" l="1"/>
  <c r="J15" i="11" l="1"/>
  <c r="F76" i="12" l="1"/>
  <c r="G76" i="12"/>
  <c r="F65" i="12"/>
  <c r="I63" i="11"/>
  <c r="H63" i="11"/>
  <c r="I62" i="11"/>
  <c r="H62" i="11"/>
  <c r="BI23" i="15"/>
  <c r="BI24" i="15" s="1"/>
  <c r="BI25" i="15" s="1"/>
  <c r="F132" i="11"/>
  <c r="E2" i="15" s="1"/>
  <c r="G7" i="32"/>
  <c r="I2" i="12"/>
  <c r="BF3" i="15"/>
  <c r="BM6" i="15"/>
  <c r="BM4" i="15"/>
  <c r="BR16" i="15"/>
  <c r="BM5" i="15"/>
  <c r="BR10" i="15"/>
  <c r="BR11" i="15"/>
  <c r="BR12" i="15"/>
  <c r="BR13" i="15"/>
  <c r="BR14" i="15"/>
  <c r="BR15" i="15"/>
  <c r="BR17" i="15"/>
  <c r="BR18" i="15"/>
  <c r="BR19" i="15"/>
  <c r="BR20" i="15"/>
  <c r="L25" i="11"/>
  <c r="L33" i="11"/>
  <c r="L41" i="11"/>
  <c r="L49" i="11"/>
  <c r="L66" i="11"/>
  <c r="H71" i="11"/>
  <c r="E133" i="11"/>
  <c r="K19" i="32" s="1"/>
  <c r="C2" i="12"/>
  <c r="C50" i="12" s="1"/>
  <c r="C3" i="12"/>
  <c r="C105" i="12" s="1"/>
  <c r="F7" i="12"/>
  <c r="G7" i="12"/>
  <c r="F8" i="12"/>
  <c r="G8" i="12"/>
  <c r="F9" i="12"/>
  <c r="G9" i="12"/>
  <c r="F10" i="12"/>
  <c r="G10" i="12"/>
  <c r="F17" i="12"/>
  <c r="G17" i="12"/>
  <c r="G42" i="12"/>
  <c r="F43" i="12"/>
  <c r="G43" i="12"/>
  <c r="F57" i="12"/>
  <c r="G57" i="12"/>
  <c r="F58" i="12"/>
  <c r="G58" i="12"/>
  <c r="F59" i="12"/>
  <c r="G59" i="12"/>
  <c r="H59" i="12"/>
  <c r="I59" i="12" s="1"/>
  <c r="F60" i="12"/>
  <c r="G60" i="12"/>
  <c r="H60" i="12"/>
  <c r="I60" i="12" s="1"/>
  <c r="F63" i="12"/>
  <c r="G63" i="12"/>
  <c r="G65" i="12"/>
  <c r="F66" i="12"/>
  <c r="G66" i="12"/>
  <c r="F67" i="12"/>
  <c r="G67" i="12"/>
  <c r="F68" i="12"/>
  <c r="G68" i="12"/>
  <c r="F79" i="12"/>
  <c r="G79" i="12"/>
  <c r="F71" i="12"/>
  <c r="G71" i="12"/>
  <c r="F72" i="12"/>
  <c r="G72" i="12"/>
  <c r="F73" i="12"/>
  <c r="G73" i="12"/>
  <c r="F74" i="12"/>
  <c r="G74" i="12"/>
  <c r="F77" i="12"/>
  <c r="G77" i="12"/>
  <c r="F78" i="12"/>
  <c r="G78" i="12"/>
  <c r="F80" i="12"/>
  <c r="G80" i="12"/>
  <c r="F81" i="12"/>
  <c r="G81" i="12"/>
  <c r="F82" i="12"/>
  <c r="G82" i="12"/>
  <c r="F83" i="12"/>
  <c r="G83" i="12"/>
  <c r="F84" i="12"/>
  <c r="G84" i="12"/>
  <c r="F85" i="12"/>
  <c r="G85" i="12"/>
  <c r="F86" i="12"/>
  <c r="G86" i="12"/>
  <c r="F87" i="12"/>
  <c r="G87" i="12"/>
  <c r="F88" i="12"/>
  <c r="G88" i="12"/>
  <c r="F89" i="12"/>
  <c r="G89" i="12"/>
  <c r="F109" i="12"/>
  <c r="G109" i="12"/>
  <c r="F111" i="12"/>
  <c r="G111" i="12"/>
  <c r="F112" i="12"/>
  <c r="G112" i="12"/>
  <c r="F113" i="12"/>
  <c r="G113" i="12"/>
  <c r="F120" i="12"/>
  <c r="G120" i="12"/>
  <c r="I120" i="12"/>
  <c r="F121" i="12"/>
  <c r="G121" i="12"/>
  <c r="H121" i="12"/>
  <c r="I121" i="12" s="1"/>
  <c r="C4" i="32"/>
  <c r="C6" i="32"/>
  <c r="L16" i="32"/>
  <c r="L17" i="32"/>
  <c r="L18" i="32"/>
  <c r="E7" i="15" l="1"/>
  <c r="E205" i="15"/>
  <c r="E13" i="15"/>
  <c r="E21" i="15"/>
  <c r="E29" i="15"/>
  <c r="E37" i="15"/>
  <c r="E45" i="15"/>
  <c r="E53" i="15"/>
  <c r="E61" i="15"/>
  <c r="E69" i="15"/>
  <c r="E77" i="15"/>
  <c r="E85" i="15"/>
  <c r="E93" i="15"/>
  <c r="E101" i="15"/>
  <c r="E109" i="15"/>
  <c r="E117" i="15"/>
  <c r="E125" i="15"/>
  <c r="E133" i="15"/>
  <c r="E141" i="15"/>
  <c r="E149" i="15"/>
  <c r="E157" i="15"/>
  <c r="E165" i="15"/>
  <c r="E173" i="15"/>
  <c r="E181" i="15"/>
  <c r="E189" i="15"/>
  <c r="E197" i="15"/>
  <c r="E5" i="15"/>
  <c r="E12" i="15"/>
  <c r="E20" i="15"/>
  <c r="E28" i="15"/>
  <c r="E36" i="15"/>
  <c r="E44" i="15"/>
  <c r="E52" i="15"/>
  <c r="E60" i="15"/>
  <c r="E68" i="15"/>
  <c r="E76" i="15"/>
  <c r="E84" i="15"/>
  <c r="E92" i="15"/>
  <c r="E100" i="15"/>
  <c r="E108" i="15"/>
  <c r="E116" i="15"/>
  <c r="E124" i="15"/>
  <c r="E132" i="15"/>
  <c r="E140" i="15"/>
  <c r="E148" i="15"/>
  <c r="E156" i="15"/>
  <c r="E164" i="15"/>
  <c r="E172" i="15"/>
  <c r="E180" i="15"/>
  <c r="E188" i="15"/>
  <c r="E196" i="15"/>
  <c r="E204" i="15"/>
  <c r="E9" i="15"/>
  <c r="E17" i="15"/>
  <c r="E25" i="15"/>
  <c r="E33" i="15"/>
  <c r="E41" i="15"/>
  <c r="E49" i="15"/>
  <c r="E57" i="15"/>
  <c r="E65" i="15"/>
  <c r="E73" i="15"/>
  <c r="E81" i="15"/>
  <c r="E89" i="15"/>
  <c r="E97" i="15"/>
  <c r="E105" i="15"/>
  <c r="E113" i="15"/>
  <c r="E121" i="15"/>
  <c r="E129" i="15"/>
  <c r="E137" i="15"/>
  <c r="E145" i="15"/>
  <c r="E153" i="15"/>
  <c r="E161" i="15"/>
  <c r="E169" i="15"/>
  <c r="E177" i="15"/>
  <c r="E185" i="15"/>
  <c r="E193" i="15"/>
  <c r="E201" i="15"/>
  <c r="E8" i="15"/>
  <c r="E16" i="15"/>
  <c r="E24" i="15"/>
  <c r="E32" i="15"/>
  <c r="E40" i="15"/>
  <c r="E48" i="15"/>
  <c r="E56" i="15"/>
  <c r="E64" i="15"/>
  <c r="E72" i="15"/>
  <c r="E80" i="15"/>
  <c r="E88" i="15"/>
  <c r="E96" i="15"/>
  <c r="E104" i="15"/>
  <c r="E112" i="15"/>
  <c r="E120" i="15"/>
  <c r="E128" i="15"/>
  <c r="E136" i="15"/>
  <c r="E144" i="15"/>
  <c r="E152" i="15"/>
  <c r="E160" i="15"/>
  <c r="E168" i="15"/>
  <c r="E176" i="15"/>
  <c r="E184" i="15"/>
  <c r="E192" i="15"/>
  <c r="E200" i="15"/>
  <c r="E123" i="15"/>
  <c r="E198" i="15"/>
  <c r="E182" i="15"/>
  <c r="E166" i="15"/>
  <c r="E150" i="15"/>
  <c r="E134" i="15"/>
  <c r="E118" i="15"/>
  <c r="E102" i="15"/>
  <c r="E86" i="15"/>
  <c r="E70" i="15"/>
  <c r="E54" i="15"/>
  <c r="E38" i="15"/>
  <c r="E22" i="15"/>
  <c r="E6" i="15"/>
  <c r="E191" i="15"/>
  <c r="E175" i="15"/>
  <c r="E159" i="15"/>
  <c r="E143" i="15"/>
  <c r="E127" i="15"/>
  <c r="E111" i="15"/>
  <c r="E95" i="15"/>
  <c r="E79" i="15"/>
  <c r="E63" i="15"/>
  <c r="E47" i="15"/>
  <c r="E31" i="15"/>
  <c r="E15" i="15"/>
  <c r="E71" i="15"/>
  <c r="E23" i="15"/>
  <c r="E178" i="15"/>
  <c r="E146" i="15"/>
  <c r="E114" i="15"/>
  <c r="E82" i="15"/>
  <c r="E50" i="15"/>
  <c r="E18" i="15"/>
  <c r="E187" i="15"/>
  <c r="E139" i="15"/>
  <c r="E91" i="15"/>
  <c r="E59" i="15"/>
  <c r="E27" i="15"/>
  <c r="E202" i="15"/>
  <c r="E186" i="15"/>
  <c r="E170" i="15"/>
  <c r="E154" i="15"/>
  <c r="E138" i="15"/>
  <c r="E122" i="15"/>
  <c r="E106" i="15"/>
  <c r="E90" i="15"/>
  <c r="E74" i="15"/>
  <c r="E58" i="15"/>
  <c r="E42" i="15"/>
  <c r="E26" i="15"/>
  <c r="E10" i="15"/>
  <c r="E195" i="15"/>
  <c r="E179" i="15"/>
  <c r="E163" i="15"/>
  <c r="E147" i="15"/>
  <c r="E131" i="15"/>
  <c r="E115" i="15"/>
  <c r="E99" i="15"/>
  <c r="E83" i="15"/>
  <c r="E67" i="15"/>
  <c r="E51" i="15"/>
  <c r="E35" i="15"/>
  <c r="E19" i="15"/>
  <c r="E190" i="15"/>
  <c r="E174" i="15"/>
  <c r="E158" i="15"/>
  <c r="E142" i="15"/>
  <c r="E126" i="15"/>
  <c r="E110" i="15"/>
  <c r="E94" i="15"/>
  <c r="E78" i="15"/>
  <c r="E62" i="15"/>
  <c r="E46" i="15"/>
  <c r="E30" i="15"/>
  <c r="E14" i="15"/>
  <c r="E199" i="15"/>
  <c r="E183" i="15"/>
  <c r="E167" i="15"/>
  <c r="E151" i="15"/>
  <c r="E135" i="15"/>
  <c r="E119" i="15"/>
  <c r="E103" i="15"/>
  <c r="E87" i="15"/>
  <c r="E55" i="15"/>
  <c r="E39" i="15"/>
  <c r="E194" i="15"/>
  <c r="E162" i="15"/>
  <c r="E130" i="15"/>
  <c r="E98" i="15"/>
  <c r="E66" i="15"/>
  <c r="E34" i="15"/>
  <c r="E203" i="15"/>
  <c r="E171" i="15"/>
  <c r="E155" i="15"/>
  <c r="E107" i="15"/>
  <c r="E75" i="15"/>
  <c r="E43" i="15"/>
  <c r="E11" i="15"/>
  <c r="C2" i="15"/>
  <c r="H57" i="12"/>
  <c r="I57" i="12" s="1"/>
  <c r="I50" i="12"/>
  <c r="I104" i="12"/>
  <c r="H58" i="12"/>
  <c r="I58" i="12" s="1"/>
  <c r="BO11" i="15"/>
  <c r="BQ11" i="15" s="1"/>
  <c r="BS11" i="15" s="1"/>
  <c r="C104" i="12"/>
  <c r="BO10" i="15"/>
  <c r="BQ10" i="15" s="1"/>
  <c r="BS10" i="15" s="1"/>
  <c r="C51" i="12"/>
  <c r="BO13" i="15"/>
  <c r="BQ13" i="15" s="1"/>
  <c r="BS13" i="15" s="1"/>
  <c r="BO15" i="15"/>
  <c r="BQ15" i="15" s="1"/>
  <c r="BS15" i="15" s="1"/>
  <c r="BO18" i="15"/>
  <c r="BQ18" i="15" s="1"/>
  <c r="BS18" i="15" s="1"/>
  <c r="BO17" i="15"/>
  <c r="BQ17" i="15" s="1"/>
  <c r="BS17" i="15" s="1"/>
  <c r="BO19" i="15"/>
  <c r="BQ19" i="15" s="1"/>
  <c r="BS19" i="15" s="1"/>
  <c r="BO16" i="15"/>
  <c r="BQ16" i="15" s="1"/>
  <c r="BS16" i="15" s="1"/>
  <c r="D24" i="32"/>
  <c r="BO20" i="15"/>
  <c r="BQ20" i="15" s="1"/>
  <c r="BS20" i="15" s="1"/>
  <c r="BO12" i="15"/>
  <c r="BQ12" i="15" s="1"/>
  <c r="BS12" i="15" s="1"/>
  <c r="BO14" i="15"/>
  <c r="BQ14" i="15" s="1"/>
  <c r="BS14" i="15" s="1"/>
  <c r="BE10" i="15" l="1"/>
  <c r="BE15" i="15"/>
  <c r="BE21" i="15"/>
  <c r="BE27" i="15"/>
  <c r="BE34" i="15"/>
  <c r="BD7" i="15"/>
  <c r="BD13" i="15"/>
  <c r="BD19" i="15"/>
  <c r="BD24" i="15"/>
  <c r="BD30" i="15"/>
  <c r="BD5" i="15"/>
  <c r="BF5" i="15" s="1"/>
  <c r="C7" i="15"/>
  <c r="D7" i="15" s="1"/>
  <c r="C11" i="15"/>
  <c r="C15" i="15"/>
  <c r="C19" i="15"/>
  <c r="C23" i="15"/>
  <c r="C27" i="15"/>
  <c r="C31" i="15"/>
  <c r="C35" i="15"/>
  <c r="C39" i="15"/>
  <c r="C43" i="15"/>
  <c r="C47" i="15"/>
  <c r="D47" i="15" s="1"/>
  <c r="C51" i="15"/>
  <c r="D51" i="15" s="1"/>
  <c r="C55" i="15"/>
  <c r="D55" i="15" s="1"/>
  <c r="C59" i="15"/>
  <c r="C63" i="15"/>
  <c r="C67" i="15"/>
  <c r="C71" i="15"/>
  <c r="C75" i="15"/>
  <c r="C79" i="15"/>
  <c r="C83" i="15"/>
  <c r="C87" i="15"/>
  <c r="C91" i="15"/>
  <c r="C95" i="15"/>
  <c r="D95" i="15" s="1"/>
  <c r="C99" i="15"/>
  <c r="D99" i="15" s="1"/>
  <c r="C103" i="15"/>
  <c r="D103" i="15" s="1"/>
  <c r="C107" i="15"/>
  <c r="C111" i="15"/>
  <c r="C115" i="15"/>
  <c r="C119" i="15"/>
  <c r="C123" i="15"/>
  <c r="C127" i="15"/>
  <c r="C131" i="15"/>
  <c r="C135" i="15"/>
  <c r="C139" i="15"/>
  <c r="C143" i="15"/>
  <c r="D143" i="15" s="1"/>
  <c r="C147" i="15"/>
  <c r="D147" i="15" s="1"/>
  <c r="C151" i="15"/>
  <c r="D151" i="15" s="1"/>
  <c r="C155" i="15"/>
  <c r="C159" i="15"/>
  <c r="C163" i="15"/>
  <c r="C167" i="15"/>
  <c r="C171" i="15"/>
  <c r="C175" i="15"/>
  <c r="C179" i="15"/>
  <c r="C183" i="15"/>
  <c r="C187" i="15"/>
  <c r="C191" i="15"/>
  <c r="D191" i="15" s="1"/>
  <c r="C195" i="15"/>
  <c r="D195" i="15" s="1"/>
  <c r="C199" i="15"/>
  <c r="D199" i="15" s="1"/>
  <c r="C203" i="15"/>
  <c r="BE9" i="15"/>
  <c r="BE14" i="15"/>
  <c r="BE20" i="15"/>
  <c r="BE25" i="15"/>
  <c r="BE32" i="15"/>
  <c r="BD6" i="15"/>
  <c r="BD12" i="15"/>
  <c r="BD16" i="15"/>
  <c r="BD23" i="15"/>
  <c r="BD29" i="15"/>
  <c r="BD35" i="15"/>
  <c r="C6" i="15"/>
  <c r="D6" i="15" s="1"/>
  <c r="C10" i="15"/>
  <c r="C14" i="15"/>
  <c r="C18" i="15"/>
  <c r="C22" i="15"/>
  <c r="C26" i="15"/>
  <c r="C30" i="15"/>
  <c r="D30" i="15" s="1"/>
  <c r="C34" i="15"/>
  <c r="C38" i="15"/>
  <c r="D38" i="15" s="1"/>
  <c r="C42" i="15"/>
  <c r="D42" i="15" s="1"/>
  <c r="C46" i="15"/>
  <c r="D46" i="15" s="1"/>
  <c r="C50" i="15"/>
  <c r="D50" i="15" s="1"/>
  <c r="C54" i="15"/>
  <c r="D54" i="15" s="1"/>
  <c r="C58" i="15"/>
  <c r="C62" i="15"/>
  <c r="C66" i="15"/>
  <c r="C70" i="15"/>
  <c r="D70" i="15" s="1"/>
  <c r="C74" i="15"/>
  <c r="C78" i="15"/>
  <c r="D78" i="15" s="1"/>
  <c r="C82" i="15"/>
  <c r="C86" i="15"/>
  <c r="D86" i="15" s="1"/>
  <c r="C90" i="15"/>
  <c r="D90" i="15" s="1"/>
  <c r="C94" i="15"/>
  <c r="D94" i="15" s="1"/>
  <c r="C98" i="15"/>
  <c r="D98" i="15" s="1"/>
  <c r="C102" i="15"/>
  <c r="D102" i="15" s="1"/>
  <c r="C106" i="15"/>
  <c r="C110" i="15"/>
  <c r="C114" i="15"/>
  <c r="C118" i="15"/>
  <c r="D118" i="15" s="1"/>
  <c r="C122" i="15"/>
  <c r="C126" i="15"/>
  <c r="D126" i="15" s="1"/>
  <c r="C130" i="15"/>
  <c r="C134" i="15"/>
  <c r="D134" i="15" s="1"/>
  <c r="C138" i="15"/>
  <c r="D138" i="15" s="1"/>
  <c r="C142" i="15"/>
  <c r="D142" i="15" s="1"/>
  <c r="C146" i="15"/>
  <c r="D146" i="15" s="1"/>
  <c r="C150" i="15"/>
  <c r="D150" i="15" s="1"/>
  <c r="C154" i="15"/>
  <c r="C158" i="15"/>
  <c r="C162" i="15"/>
  <c r="C166" i="15"/>
  <c r="D166" i="15" s="1"/>
  <c r="C170" i="15"/>
  <c r="C174" i="15"/>
  <c r="D174" i="15" s="1"/>
  <c r="C178" i="15"/>
  <c r="C182" i="15"/>
  <c r="D182" i="15" s="1"/>
  <c r="C186" i="15"/>
  <c r="D186" i="15" s="1"/>
  <c r="C190" i="15"/>
  <c r="C194" i="15"/>
  <c r="D194" i="15" s="1"/>
  <c r="C198" i="15"/>
  <c r="D198" i="15" s="1"/>
  <c r="C202" i="15"/>
  <c r="BE7" i="15"/>
  <c r="BE13" i="15"/>
  <c r="BE19" i="15"/>
  <c r="BE24" i="15"/>
  <c r="BE30" i="15"/>
  <c r="BE5" i="15"/>
  <c r="BD10" i="15"/>
  <c r="BD15" i="15"/>
  <c r="BD21" i="15"/>
  <c r="BD27" i="15"/>
  <c r="BD34" i="15"/>
  <c r="C9" i="15"/>
  <c r="C13" i="15"/>
  <c r="C17" i="15"/>
  <c r="C21" i="15"/>
  <c r="C25" i="15"/>
  <c r="C29" i="15"/>
  <c r="D29" i="15" s="1"/>
  <c r="C33" i="15"/>
  <c r="C37" i="15"/>
  <c r="C41" i="15"/>
  <c r="D41" i="15" s="1"/>
  <c r="C45" i="15"/>
  <c r="D45" i="15" s="1"/>
  <c r="C49" i="15"/>
  <c r="D49" i="15" s="1"/>
  <c r="C53" i="15"/>
  <c r="D53" i="15" s="1"/>
  <c r="C57" i="15"/>
  <c r="C61" i="15"/>
  <c r="C65" i="15"/>
  <c r="C69" i="15"/>
  <c r="D69" i="15" s="1"/>
  <c r="C73" i="15"/>
  <c r="C77" i="15"/>
  <c r="C81" i="15"/>
  <c r="C85" i="15"/>
  <c r="C89" i="15"/>
  <c r="D89" i="15" s="1"/>
  <c r="C93" i="15"/>
  <c r="D93" i="15" s="1"/>
  <c r="C97" i="15"/>
  <c r="D97" i="15" s="1"/>
  <c r="BE23" i="15"/>
  <c r="BD14" i="15"/>
  <c r="C205" i="15"/>
  <c r="C16" i="15"/>
  <c r="C32" i="15"/>
  <c r="D32" i="15" s="1"/>
  <c r="C48" i="15"/>
  <c r="C64" i="15"/>
  <c r="D64" i="15" s="1"/>
  <c r="C80" i="15"/>
  <c r="C96" i="15"/>
  <c r="D96" i="15" s="1"/>
  <c r="C105" i="15"/>
  <c r="D105" i="15" s="1"/>
  <c r="C113" i="15"/>
  <c r="C121" i="15"/>
  <c r="D121" i="15" s="1"/>
  <c r="C129" i="15"/>
  <c r="D129" i="15" s="1"/>
  <c r="C137" i="15"/>
  <c r="C145" i="15"/>
  <c r="C153" i="15"/>
  <c r="C161" i="15"/>
  <c r="D161" i="15" s="1"/>
  <c r="C169" i="15"/>
  <c r="C177" i="15"/>
  <c r="D177" i="15" s="1"/>
  <c r="C185" i="15"/>
  <c r="C193" i="15"/>
  <c r="D193" i="15" s="1"/>
  <c r="C201" i="15"/>
  <c r="BE35" i="15"/>
  <c r="C197" i="15"/>
  <c r="D197" i="15" s="1"/>
  <c r="BE6" i="15"/>
  <c r="BD20" i="15"/>
  <c r="C20" i="15"/>
  <c r="C36" i="15"/>
  <c r="C52" i="15"/>
  <c r="D52" i="15" s="1"/>
  <c r="C68" i="15"/>
  <c r="C84" i="15"/>
  <c r="C100" i="15"/>
  <c r="C108" i="15"/>
  <c r="D108" i="15" s="1"/>
  <c r="C124" i="15"/>
  <c r="D124" i="15" s="1"/>
  <c r="C132" i="15"/>
  <c r="D132" i="15" s="1"/>
  <c r="C140" i="15"/>
  <c r="D140" i="15" s="1"/>
  <c r="C156" i="15"/>
  <c r="D156" i="15" s="1"/>
  <c r="C164" i="15"/>
  <c r="C180" i="15"/>
  <c r="C188" i="15"/>
  <c r="C204" i="15"/>
  <c r="BE16" i="15"/>
  <c r="BD9" i="15"/>
  <c r="BD32" i="15"/>
  <c r="C12" i="15"/>
  <c r="C28" i="15"/>
  <c r="D28" i="15" s="1"/>
  <c r="C44" i="15"/>
  <c r="D44" i="15" s="1"/>
  <c r="C60" i="15"/>
  <c r="D60" i="15" s="1"/>
  <c r="C76" i="15"/>
  <c r="D76" i="15" s="1"/>
  <c r="C92" i="15"/>
  <c r="C104" i="15"/>
  <c r="C112" i="15"/>
  <c r="C120" i="15"/>
  <c r="D120" i="15" s="1"/>
  <c r="C128" i="15"/>
  <c r="C136" i="15"/>
  <c r="D136" i="15" s="1"/>
  <c r="C144" i="15"/>
  <c r="C152" i="15"/>
  <c r="D152" i="15" s="1"/>
  <c r="C160" i="15"/>
  <c r="D160" i="15" s="1"/>
  <c r="C168" i="15"/>
  <c r="D168" i="15" s="1"/>
  <c r="C176" i="15"/>
  <c r="D176" i="15" s="1"/>
  <c r="C184" i="15"/>
  <c r="D184" i="15" s="1"/>
  <c r="C192" i="15"/>
  <c r="C200" i="15"/>
  <c r="BE12" i="15"/>
  <c r="BD25" i="15"/>
  <c r="C8" i="15"/>
  <c r="C24" i="15"/>
  <c r="D24" i="15" s="1"/>
  <c r="C40" i="15"/>
  <c r="C56" i="15"/>
  <c r="D56" i="15" s="1"/>
  <c r="C72" i="15"/>
  <c r="D72" i="15" s="1"/>
  <c r="C88" i="15"/>
  <c r="C101" i="15"/>
  <c r="D101" i="15" s="1"/>
  <c r="C109" i="15"/>
  <c r="D109" i="15" s="1"/>
  <c r="C117" i="15"/>
  <c r="C125" i="15"/>
  <c r="C133" i="15"/>
  <c r="C141" i="15"/>
  <c r="D141" i="15" s="1"/>
  <c r="C149" i="15"/>
  <c r="C157" i="15"/>
  <c r="D157" i="15" s="1"/>
  <c r="C165" i="15"/>
  <c r="C173" i="15"/>
  <c r="D173" i="15" s="1"/>
  <c r="C181" i="15"/>
  <c r="D181" i="15" s="1"/>
  <c r="C189" i="15"/>
  <c r="D189" i="15" s="1"/>
  <c r="C5" i="15"/>
  <c r="L112" i="11" s="1"/>
  <c r="BE29" i="15"/>
  <c r="C116" i="15"/>
  <c r="C148" i="15"/>
  <c r="C172" i="15"/>
  <c r="C196" i="15"/>
  <c r="D196" i="15" s="1"/>
  <c r="F30" i="15"/>
  <c r="F38" i="15"/>
  <c r="F46" i="15"/>
  <c r="F50" i="15"/>
  <c r="F54" i="15"/>
  <c r="F62" i="15"/>
  <c r="F66" i="15"/>
  <c r="F70" i="15"/>
  <c r="F78" i="15"/>
  <c r="F86" i="15"/>
  <c r="F98" i="15"/>
  <c r="F102" i="15"/>
  <c r="F110" i="15"/>
  <c r="F114" i="15"/>
  <c r="F118" i="15"/>
  <c r="F126" i="15"/>
  <c r="F130" i="15"/>
  <c r="F134" i="15"/>
  <c r="F142" i="15"/>
  <c r="F150" i="15"/>
  <c r="L20" i="11"/>
  <c r="F158" i="15"/>
  <c r="F162" i="15"/>
  <c r="F174" i="15"/>
  <c r="F178" i="15"/>
  <c r="F182" i="15"/>
  <c r="F190" i="15"/>
  <c r="F194" i="15"/>
  <c r="F198" i="15"/>
  <c r="F7" i="15"/>
  <c r="F11" i="15"/>
  <c r="F23" i="15"/>
  <c r="F27" i="15"/>
  <c r="F39" i="15"/>
  <c r="F43" i="15"/>
  <c r="F55" i="15"/>
  <c r="F71" i="15"/>
  <c r="F75" i="15"/>
  <c r="F16" i="15"/>
  <c r="F24" i="15"/>
  <c r="F48" i="15"/>
  <c r="F56" i="15"/>
  <c r="F80" i="15"/>
  <c r="F85" i="15"/>
  <c r="F101" i="15"/>
  <c r="F123" i="15"/>
  <c r="F128" i="15"/>
  <c r="F144" i="15"/>
  <c r="F149" i="15"/>
  <c r="F165" i="15"/>
  <c r="F171" i="15"/>
  <c r="F187" i="15"/>
  <c r="F192" i="15"/>
  <c r="F20" i="15"/>
  <c r="F28" i="15"/>
  <c r="F52" i="15"/>
  <c r="F60" i="15"/>
  <c r="F88" i="15"/>
  <c r="F99" i="15"/>
  <c r="F17" i="15"/>
  <c r="F25" i="15"/>
  <c r="F49" i="15"/>
  <c r="F57" i="15"/>
  <c r="F81" i="15"/>
  <c r="F87" i="15"/>
  <c r="F103" i="15"/>
  <c r="F108" i="15"/>
  <c r="F129" i="15"/>
  <c r="F145" i="15"/>
  <c r="F151" i="15"/>
  <c r="F167" i="15"/>
  <c r="F172" i="15"/>
  <c r="F188" i="15"/>
  <c r="F193" i="15"/>
  <c r="F12" i="15"/>
  <c r="F83" i="15"/>
  <c r="F115" i="15"/>
  <c r="F120" i="15"/>
  <c r="F136" i="15"/>
  <c r="F141" i="15"/>
  <c r="F157" i="15"/>
  <c r="F163" i="15"/>
  <c r="F179" i="15"/>
  <c r="F184" i="15"/>
  <c r="F200" i="15"/>
  <c r="F6" i="15"/>
  <c r="F29" i="15"/>
  <c r="F61" i="15"/>
  <c r="F148" i="15"/>
  <c r="F169" i="15"/>
  <c r="F111" i="15"/>
  <c r="F132" i="15"/>
  <c r="F196" i="15"/>
  <c r="F69" i="15"/>
  <c r="F137" i="15"/>
  <c r="F159" i="15"/>
  <c r="F77" i="15"/>
  <c r="F100" i="15"/>
  <c r="F164" i="15"/>
  <c r="F185" i="15"/>
  <c r="BF29" i="15"/>
  <c r="H7" i="12" s="1"/>
  <c r="I7" i="12" s="1"/>
  <c r="F180" i="15"/>
  <c r="F45" i="15"/>
  <c r="F13" i="15"/>
  <c r="F109" i="15"/>
  <c r="F125" i="15"/>
  <c r="F173" i="15"/>
  <c r="F189" i="15"/>
  <c r="F166" i="15"/>
  <c r="F119" i="15"/>
  <c r="F135" i="15"/>
  <c r="F183" i="15"/>
  <c r="F199" i="15"/>
  <c r="F32" i="15"/>
  <c r="F64" i="15"/>
  <c r="F96" i="15"/>
  <c r="L107" i="11"/>
  <c r="F152" i="15"/>
  <c r="F160" i="15"/>
  <c r="F176" i="15"/>
  <c r="F10" i="15"/>
  <c r="F14" i="15"/>
  <c r="F18" i="15"/>
  <c r="F26" i="15"/>
  <c r="F42" i="15"/>
  <c r="F58" i="15"/>
  <c r="F74" i="15"/>
  <c r="F82" i="15"/>
  <c r="F90" i="15"/>
  <c r="F94" i="15"/>
  <c r="F106" i="15"/>
  <c r="F122" i="15"/>
  <c r="F138" i="15"/>
  <c r="F146" i="15"/>
  <c r="F154" i="15"/>
  <c r="F170" i="15"/>
  <c r="F186" i="15"/>
  <c r="F202" i="15"/>
  <c r="F9" i="15"/>
  <c r="F21" i="15"/>
  <c r="F33" i="15"/>
  <c r="F41" i="15"/>
  <c r="F53" i="15"/>
  <c r="F65" i="15"/>
  <c r="F73" i="15"/>
  <c r="F89" i="15"/>
  <c r="F97" i="15"/>
  <c r="F105" i="15"/>
  <c r="F113" i="15"/>
  <c r="F117" i="15"/>
  <c r="F121" i="15"/>
  <c r="F133" i="15"/>
  <c r="F153" i="15"/>
  <c r="F161" i="15"/>
  <c r="F177" i="15"/>
  <c r="F181" i="15"/>
  <c r="F197" i="15"/>
  <c r="F201" i="15"/>
  <c r="F68" i="15"/>
  <c r="F92" i="15"/>
  <c r="F116" i="15"/>
  <c r="F140" i="15"/>
  <c r="F156" i="15"/>
  <c r="F168" i="15"/>
  <c r="F15" i="15"/>
  <c r="F19" i="15"/>
  <c r="F31" i="15"/>
  <c r="F35" i="15"/>
  <c r="F47" i="15"/>
  <c r="F51" i="15"/>
  <c r="F63" i="15"/>
  <c r="F67" i="15"/>
  <c r="F91" i="15"/>
  <c r="F107" i="15"/>
  <c r="F131" i="15"/>
  <c r="F139" i="15"/>
  <c r="F155" i="15"/>
  <c r="F191" i="15"/>
  <c r="F5" i="15"/>
  <c r="F8" i="15"/>
  <c r="F36" i="15"/>
  <c r="F40" i="15"/>
  <c r="F44" i="15"/>
  <c r="F72" i="15"/>
  <c r="F76" i="15"/>
  <c r="F84" i="15"/>
  <c r="F112" i="15"/>
  <c r="F79" i="15"/>
  <c r="F95" i="15"/>
  <c r="F127" i="15"/>
  <c r="F143" i="15"/>
  <c r="F175" i="15"/>
  <c r="F195" i="15"/>
  <c r="F203" i="15"/>
  <c r="F147" i="15"/>
  <c r="D9" i="15"/>
  <c r="D13" i="15"/>
  <c r="D17" i="15"/>
  <c r="D21" i="15"/>
  <c r="D25" i="15"/>
  <c r="D33" i="15"/>
  <c r="D37" i="15"/>
  <c r="D57" i="15"/>
  <c r="D61" i="15"/>
  <c r="D65" i="15"/>
  <c r="D73" i="15"/>
  <c r="D77" i="15"/>
  <c r="D81" i="15"/>
  <c r="D85" i="15"/>
  <c r="D113" i="15"/>
  <c r="D117" i="15"/>
  <c r="D125" i="15"/>
  <c r="D133" i="15"/>
  <c r="D137" i="15"/>
  <c r="D145" i="15"/>
  <c r="D149" i="15"/>
  <c r="D153" i="15"/>
  <c r="D165" i="15"/>
  <c r="D169" i="15"/>
  <c r="D185" i="15"/>
  <c r="D201" i="15"/>
  <c r="D205" i="15"/>
  <c r="D8" i="15"/>
  <c r="D12" i="15"/>
  <c r="D16" i="15"/>
  <c r="D20" i="15"/>
  <c r="D36" i="15"/>
  <c r="D40" i="15"/>
  <c r="D48" i="15"/>
  <c r="D68" i="15"/>
  <c r="D80" i="15"/>
  <c r="D84" i="15"/>
  <c r="D88" i="15"/>
  <c r="D92" i="15"/>
  <c r="D100" i="15"/>
  <c r="D112" i="15"/>
  <c r="D116" i="15"/>
  <c r="D128" i="15"/>
  <c r="D144" i="15"/>
  <c r="D148" i="15"/>
  <c r="D164" i="15"/>
  <c r="D172" i="15"/>
  <c r="D180" i="15"/>
  <c r="D188" i="15"/>
  <c r="D192" i="15"/>
  <c r="D200" i="15"/>
  <c r="D14" i="15"/>
  <c r="D58" i="15"/>
  <c r="D66" i="15"/>
  <c r="D74" i="15"/>
  <c r="D82" i="15"/>
  <c r="D106" i="15"/>
  <c r="D114" i="15"/>
  <c r="D122" i="15"/>
  <c r="D130" i="15"/>
  <c r="D154" i="15"/>
  <c r="D162" i="15"/>
  <c r="D170" i="15"/>
  <c r="D178" i="15"/>
  <c r="D11" i="15"/>
  <c r="D15" i="15"/>
  <c r="D19" i="15"/>
  <c r="D23" i="15"/>
  <c r="D27" i="15"/>
  <c r="D31" i="15"/>
  <c r="D35" i="15"/>
  <c r="D39" i="15"/>
  <c r="D43" i="15"/>
  <c r="D59" i="15"/>
  <c r="D63" i="15"/>
  <c r="D67" i="15"/>
  <c r="D71" i="15"/>
  <c r="D75" i="15"/>
  <c r="D79" i="15"/>
  <c r="D83" i="15"/>
  <c r="D87" i="15"/>
  <c r="D91" i="15"/>
  <c r="D107" i="15"/>
  <c r="D111" i="15"/>
  <c r="D115" i="15"/>
  <c r="D119" i="15"/>
  <c r="D123" i="15"/>
  <c r="D127" i="15"/>
  <c r="D131" i="15"/>
  <c r="D135" i="15"/>
  <c r="D139" i="15"/>
  <c r="D155" i="15"/>
  <c r="D159" i="15"/>
  <c r="D163" i="15"/>
  <c r="D167" i="15"/>
  <c r="D171" i="15"/>
  <c r="D175" i="15"/>
  <c r="D179" i="15"/>
  <c r="D183" i="15"/>
  <c r="D187" i="15"/>
  <c r="D203" i="15"/>
  <c r="D10" i="15"/>
  <c r="D18" i="15"/>
  <c r="D22" i="15"/>
  <c r="D26" i="15"/>
  <c r="D34" i="15"/>
  <c r="D62" i="15"/>
  <c r="D110" i="15"/>
  <c r="D158" i="15"/>
  <c r="D190" i="15"/>
  <c r="D202" i="15"/>
  <c r="F93" i="15"/>
  <c r="BF20" i="15"/>
  <c r="G26" i="12" s="1"/>
  <c r="K1" i="15"/>
  <c r="L10" i="11" l="1"/>
  <c r="L19" i="11"/>
  <c r="L98" i="11" s="1"/>
  <c r="F34" i="15"/>
  <c r="BF7" i="15"/>
  <c r="L46" i="11" s="1"/>
  <c r="G14" i="12" s="1"/>
  <c r="F22" i="15"/>
  <c r="G24" i="12"/>
  <c r="F59" i="15"/>
  <c r="F205" i="15"/>
  <c r="L22" i="11"/>
  <c r="L21" i="11"/>
  <c r="F37" i="15"/>
  <c r="F204" i="15"/>
  <c r="F124" i="15"/>
  <c r="F104" i="15"/>
  <c r="L123" i="11"/>
  <c r="BF9" i="15"/>
  <c r="L53" i="11" s="1"/>
  <c r="G15" i="12" s="1"/>
  <c r="BF32" i="15"/>
  <c r="G11" i="12" s="1"/>
  <c r="H11" i="12" s="1"/>
  <c r="I11" i="12" s="1"/>
  <c r="BF6" i="15"/>
  <c r="BF25" i="15"/>
  <c r="BF16" i="15"/>
  <c r="BF13" i="15"/>
  <c r="L59" i="11" s="1"/>
  <c r="BF30" i="15"/>
  <c r="BF12" i="15"/>
  <c r="L60" i="11" s="1"/>
  <c r="BF23" i="15"/>
  <c r="BF35" i="15"/>
  <c r="L30" i="11" s="1"/>
  <c r="G12" i="12" s="1"/>
  <c r="BF19" i="15"/>
  <c r="BF24" i="15"/>
  <c r="BF15" i="15"/>
  <c r="G20" i="12" s="1"/>
  <c r="D104" i="15"/>
  <c r="BF27" i="15"/>
  <c r="H94" i="11" s="1"/>
  <c r="BF14" i="15"/>
  <c r="L58" i="11" s="1"/>
  <c r="BF10" i="15"/>
  <c r="L101" i="11" s="1"/>
  <c r="BF21" i="15"/>
  <c r="L111" i="11" s="1"/>
  <c r="BF34" i="15"/>
  <c r="L26" i="11" s="1"/>
  <c r="H10" i="12"/>
  <c r="I10" i="12" s="1"/>
  <c r="H9" i="12"/>
  <c r="I9" i="12" s="1"/>
  <c r="H8" i="12"/>
  <c r="I8" i="12" s="1"/>
  <c r="D5" i="15"/>
  <c r="L17" i="11" s="1"/>
  <c r="L43" i="11" s="1"/>
  <c r="L42" i="11"/>
  <c r="L34" i="11"/>
  <c r="D204" i="15"/>
  <c r="L100" i="11" l="1"/>
  <c r="L38" i="11"/>
  <c r="G13" i="12" s="1"/>
  <c r="L122" i="11"/>
  <c r="G21" i="12"/>
  <c r="L73" i="11"/>
  <c r="L54" i="11"/>
  <c r="L63" i="11"/>
  <c r="L15" i="11"/>
  <c r="L62" i="11"/>
  <c r="L14" i="11"/>
  <c r="L11" i="11"/>
  <c r="L44" i="11"/>
  <c r="L45" i="11" s="1"/>
  <c r="L12" i="11"/>
  <c r="L18" i="11"/>
  <c r="L35" i="11" s="1"/>
  <c r="L36" i="11" s="1"/>
  <c r="L37" i="11" s="1"/>
  <c r="L13" i="11"/>
  <c r="L16" i="11"/>
  <c r="L27" i="11" s="1"/>
  <c r="L28" i="11" s="1"/>
  <c r="L29" i="11" s="1"/>
  <c r="L120" i="11" l="1"/>
  <c r="L109" i="11"/>
  <c r="L110" i="11"/>
  <c r="L121" i="11"/>
  <c r="L76" i="11"/>
  <c r="L47" i="11"/>
  <c r="F14" i="12"/>
  <c r="H14" i="12" s="1"/>
  <c r="I14" i="12" s="1"/>
  <c r="L31" i="11"/>
  <c r="F12" i="12"/>
  <c r="H12" i="12" s="1"/>
  <c r="I12" i="12" s="1"/>
  <c r="L39" i="11"/>
  <c r="F13" i="12"/>
  <c r="H13" i="12" s="1"/>
  <c r="I13" i="12" s="1"/>
  <c r="L81" i="11"/>
  <c r="L67" i="11"/>
  <c r="L68" i="11" s="1"/>
  <c r="L50" i="11"/>
  <c r="L51" i="11" s="1"/>
  <c r="L52" i="11" s="1"/>
  <c r="F15" i="12" s="1"/>
  <c r="L113" i="11" l="1"/>
  <c r="L114" i="11" s="1"/>
  <c r="L77" i="11"/>
  <c r="L78" i="11" s="1"/>
  <c r="L79" i="11" s="1"/>
  <c r="H15" i="12"/>
  <c r="I15" i="12" s="1"/>
  <c r="L61" i="11"/>
  <c r="L64" i="11" s="1"/>
  <c r="H17" i="12" s="1"/>
  <c r="I17" i="12" s="1"/>
  <c r="L55" i="11"/>
  <c r="H38" i="12" l="1"/>
  <c r="I38" i="12" s="1"/>
  <c r="L82" i="11"/>
  <c r="L83" i="11" s="1"/>
  <c r="L84" i="11" s="1"/>
  <c r="F37" i="12" l="1"/>
  <c r="H37" i="12" s="1"/>
  <c r="I37" i="12" s="1"/>
  <c r="F25" i="12"/>
  <c r="H25" i="12" s="1"/>
  <c r="I25" i="12" s="1"/>
  <c r="L70" i="11"/>
  <c r="F21" i="12"/>
  <c r="H21" i="12" s="1"/>
  <c r="I21" i="12" s="1"/>
  <c r="L71" i="11" l="1"/>
  <c r="L72" i="11" s="1"/>
  <c r="L74" i="11" s="1"/>
  <c r="J25" i="12" l="1"/>
  <c r="J38" i="12"/>
  <c r="J37" i="12"/>
  <c r="J75" i="12"/>
  <c r="J112" i="12"/>
  <c r="J87" i="12"/>
  <c r="J78" i="12"/>
  <c r="J77" i="12"/>
  <c r="J76" i="12"/>
  <c r="J80" i="12"/>
  <c r="J72" i="12"/>
  <c r="J73" i="12"/>
  <c r="J67" i="12"/>
  <c r="J74" i="12"/>
  <c r="J66" i="12"/>
  <c r="J43" i="12"/>
  <c r="J8" i="12"/>
  <c r="K8" i="12" s="1"/>
  <c r="L8" i="12" s="1"/>
  <c r="J7" i="12"/>
  <c r="K7" i="12" s="1"/>
  <c r="L7" i="12" s="1"/>
  <c r="J10" i="12"/>
  <c r="K10" i="12" s="1"/>
  <c r="L10" i="12" s="1"/>
  <c r="J11" i="12"/>
  <c r="K11" i="12" s="1"/>
  <c r="L11" i="12" s="1"/>
  <c r="J60" i="12"/>
  <c r="J13" i="12"/>
  <c r="K13" i="12" s="1"/>
  <c r="L13" i="12" s="1"/>
  <c r="J12" i="12"/>
  <c r="K12" i="12" s="1"/>
  <c r="L12" i="12" s="1"/>
  <c r="J79" i="12"/>
  <c r="J14" i="12"/>
  <c r="K14" i="12" s="1"/>
  <c r="L14" i="12" s="1"/>
  <c r="J9" i="12"/>
  <c r="K9" i="12" s="1"/>
  <c r="L9" i="12" s="1"/>
  <c r="K112" i="12" l="1"/>
  <c r="L112" i="12"/>
  <c r="K79" i="12"/>
  <c r="L79" i="12"/>
  <c r="K80" i="12"/>
  <c r="L80" i="12"/>
  <c r="K78" i="12"/>
  <c r="L78" i="12"/>
  <c r="K75" i="12"/>
  <c r="L75" i="12"/>
  <c r="K66" i="12"/>
  <c r="L66" i="12"/>
  <c r="K67" i="12"/>
  <c r="L67" i="12"/>
  <c r="K72" i="12"/>
  <c r="L72" i="12"/>
  <c r="K77" i="12"/>
  <c r="L77" i="12"/>
  <c r="K87" i="12"/>
  <c r="L87" i="12"/>
  <c r="K60" i="12"/>
  <c r="L60" i="12"/>
  <c r="K74" i="12"/>
  <c r="L74" i="12"/>
  <c r="K76" i="12"/>
  <c r="L76" i="12"/>
  <c r="K73" i="12"/>
  <c r="L73" i="12"/>
  <c r="K25" i="12"/>
  <c r="L25" i="12"/>
  <c r="K37" i="12"/>
  <c r="L37" i="12"/>
  <c r="K38" i="12"/>
  <c r="L38" i="12"/>
  <c r="K43" i="12"/>
  <c r="L43" i="12"/>
  <c r="F20" i="12"/>
  <c r="H20" i="12" l="1"/>
  <c r="I20" i="12" s="1"/>
  <c r="L117" i="11"/>
  <c r="L126" i="11"/>
  <c r="G23" i="12"/>
  <c r="F24" i="12" l="1"/>
  <c r="H24" i="12" s="1"/>
  <c r="I24" i="12" s="1"/>
  <c r="F26" i="12"/>
  <c r="H26" i="12" s="1"/>
  <c r="I26" i="12" s="1"/>
  <c r="F18" i="12"/>
  <c r="G18" i="12"/>
  <c r="F23" i="12"/>
  <c r="H23" i="12" s="1"/>
  <c r="L119" i="11"/>
  <c r="L118" i="11"/>
  <c r="L124" i="11" l="1"/>
  <c r="L125" i="11" s="1"/>
  <c r="I23" i="12"/>
  <c r="F16" i="12"/>
  <c r="L102" i="11"/>
  <c r="H18" i="12" s="1"/>
  <c r="G16" i="12"/>
  <c r="H16" i="12"/>
  <c r="I16" i="12" s="1"/>
  <c r="I18" i="12" l="1"/>
  <c r="I47" i="12" s="1"/>
  <c r="I54" i="12" s="1"/>
  <c r="I102" i="12" s="1"/>
  <c r="I108" i="12" s="1"/>
  <c r="I136" i="12" s="1"/>
  <c r="I137" i="12" l="1"/>
  <c r="BI10" i="15" s="1"/>
  <c r="BI11" i="15" s="1"/>
  <c r="BI12" i="15" l="1"/>
  <c r="BI13" i="15" l="1"/>
  <c r="BI14" i="15"/>
  <c r="BK15" i="15" l="1"/>
  <c r="BJ15" i="15"/>
  <c r="BI15" i="15"/>
  <c r="BI16" i="15"/>
  <c r="BJ16" i="15"/>
  <c r="BK16" i="15"/>
  <c r="BI17" i="15" l="1"/>
  <c r="BK17" i="15"/>
  <c r="BJ17" i="15"/>
  <c r="BL31" i="15" l="1"/>
  <c r="J128" i="12"/>
  <c r="L128" i="12" s="1"/>
  <c r="J129" i="12"/>
  <c r="J126" i="12"/>
  <c r="L126" i="12" s="1"/>
  <c r="J127" i="12"/>
  <c r="J124" i="12"/>
  <c r="L124" i="12" s="1"/>
  <c r="J125" i="12"/>
  <c r="J123" i="12"/>
  <c r="J26" i="12"/>
  <c r="L26" i="12" s="1"/>
  <c r="J59" i="12"/>
  <c r="L59" i="12" s="1"/>
  <c r="J110" i="12"/>
  <c r="J64" i="12"/>
  <c r="K64" i="12" s="1"/>
  <c r="J116" i="12"/>
  <c r="K116" i="12" s="1"/>
  <c r="J93" i="12"/>
  <c r="J114" i="12"/>
  <c r="K114" i="12" s="1"/>
  <c r="J115" i="12"/>
  <c r="J117" i="12"/>
  <c r="J120" i="12"/>
  <c r="J84" i="12"/>
  <c r="J89" i="12"/>
  <c r="L89" i="12" s="1"/>
  <c r="J24" i="12"/>
  <c r="K24" i="12" s="1"/>
  <c r="J61" i="12"/>
  <c r="J15" i="12"/>
  <c r="K15" i="12" s="1"/>
  <c r="L15" i="12" s="1"/>
  <c r="J21" i="12"/>
  <c r="J85" i="12"/>
  <c r="J82" i="12"/>
  <c r="K82" i="12" s="1"/>
  <c r="J121" i="12"/>
  <c r="J57" i="12"/>
  <c r="J88" i="12"/>
  <c r="J109" i="12"/>
  <c r="J86" i="12"/>
  <c r="J58" i="12"/>
  <c r="J130" i="12" l="1"/>
  <c r="K130" i="12"/>
  <c r="L130" i="12"/>
  <c r="K129" i="12"/>
  <c r="L129" i="12"/>
  <c r="K128" i="12"/>
  <c r="K126" i="12"/>
  <c r="K127" i="12"/>
  <c r="L127" i="12"/>
  <c r="K124" i="12"/>
  <c r="K125" i="12"/>
  <c r="L125" i="12"/>
  <c r="K123" i="12"/>
  <c r="L123" i="12"/>
  <c r="K26" i="12"/>
  <c r="J17" i="12"/>
  <c r="K17" i="12" s="1"/>
  <c r="J71" i="12"/>
  <c r="K71" i="12" s="1"/>
  <c r="J16" i="12"/>
  <c r="L16" i="12" s="1"/>
  <c r="J63" i="12"/>
  <c r="L63" i="12" s="1"/>
  <c r="J111" i="12"/>
  <c r="L111" i="12" s="1"/>
  <c r="J95" i="12"/>
  <c r="K95" i="12" s="1"/>
  <c r="J68" i="12"/>
  <c r="K68" i="12" s="1"/>
  <c r="J94" i="12"/>
  <c r="L94" i="12" s="1"/>
  <c r="J20" i="12"/>
  <c r="L20" i="12" s="1"/>
  <c r="J113" i="12"/>
  <c r="K113" i="12" s="1"/>
  <c r="J92" i="12"/>
  <c r="L92" i="12" s="1"/>
  <c r="J41" i="12"/>
  <c r="L41" i="12" s="1"/>
  <c r="J81" i="12"/>
  <c r="L81" i="12" s="1"/>
  <c r="J83" i="12"/>
  <c r="K83" i="12" s="1"/>
  <c r="J23" i="12"/>
  <c r="K23" i="12" s="1"/>
  <c r="J96" i="12"/>
  <c r="L96" i="12" s="1"/>
  <c r="J18" i="12"/>
  <c r="L18" i="12" s="1"/>
  <c r="G15" i="32"/>
  <c r="J42" i="12"/>
  <c r="L42" i="12" s="1"/>
  <c r="J65" i="12"/>
  <c r="K65" i="12" s="1"/>
  <c r="K110" i="12"/>
  <c r="L110" i="12"/>
  <c r="L64" i="12"/>
  <c r="L116" i="12"/>
  <c r="K93" i="12"/>
  <c r="L93" i="12"/>
  <c r="L114" i="12"/>
  <c r="K115" i="12"/>
  <c r="L115" i="12"/>
  <c r="K117" i="12"/>
  <c r="L117" i="12"/>
  <c r="K120" i="12"/>
  <c r="L120" i="12"/>
  <c r="K84" i="12"/>
  <c r="L84" i="12"/>
  <c r="K89" i="12"/>
  <c r="L24" i="12"/>
  <c r="L61" i="12"/>
  <c r="K61" i="12"/>
  <c r="K21" i="12"/>
  <c r="L21" i="12"/>
  <c r="K59" i="12"/>
  <c r="K85" i="12"/>
  <c r="L85" i="12"/>
  <c r="L82" i="12"/>
  <c r="K121" i="12"/>
  <c r="L121" i="12"/>
  <c r="L57" i="12"/>
  <c r="K57" i="12"/>
  <c r="L88" i="12"/>
  <c r="K88" i="12"/>
  <c r="K58" i="12"/>
  <c r="L58" i="12"/>
  <c r="K86" i="12"/>
  <c r="L86" i="12"/>
  <c r="K109" i="12"/>
  <c r="L109" i="12"/>
  <c r="K92" i="12" l="1"/>
  <c r="L95" i="12"/>
  <c r="L83" i="12"/>
  <c r="L17" i="12"/>
  <c r="K20" i="12"/>
  <c r="L113" i="12"/>
  <c r="K16" i="12"/>
  <c r="L68" i="12"/>
  <c r="K63" i="12"/>
  <c r="L23" i="12"/>
  <c r="L71" i="12"/>
  <c r="K111" i="12"/>
  <c r="K81" i="12"/>
  <c r="K18" i="12"/>
  <c r="K41" i="12"/>
  <c r="L65" i="12"/>
  <c r="K96" i="12"/>
  <c r="K42" i="12"/>
  <c r="K94" i="12"/>
  <c r="J136" i="12"/>
  <c r="L136" i="12" s="1"/>
  <c r="F15" i="32"/>
  <c r="H15" i="32" s="1"/>
  <c r="H21" i="32" s="1"/>
  <c r="H22" i="32" s="1"/>
  <c r="O22" i="32" s="1"/>
  <c r="L143" i="12" l="1"/>
  <c r="L144" i="12" s="1"/>
  <c r="G145" i="12" s="1"/>
  <c r="L47" i="12"/>
  <c r="L54" i="12" s="1"/>
  <c r="L102" i="12" s="1"/>
  <c r="L108" i="12" s="1"/>
  <c r="B23" i="32" l="1"/>
</calcChain>
</file>

<file path=xl/sharedStrings.xml><?xml version="1.0" encoding="utf-8"?>
<sst xmlns="http://schemas.openxmlformats.org/spreadsheetml/2006/main" count="1159" uniqueCount="517">
  <si>
    <t>ที่</t>
  </si>
  <si>
    <t>รายการ</t>
  </si>
  <si>
    <t>Factor F</t>
  </si>
  <si>
    <t>ข้อมูลประกอบการประมาณราคา</t>
  </si>
  <si>
    <t>บาท/ลบ.ม.</t>
  </si>
  <si>
    <t>ระยะขนส่ง</t>
  </si>
  <si>
    <t xml:space="preserve"> =</t>
  </si>
  <si>
    <t xml:space="preserve">ระยะขนส่ง                  </t>
  </si>
  <si>
    <t>ลูกรัง</t>
  </si>
  <si>
    <t>บาท/ตัน</t>
  </si>
  <si>
    <t xml:space="preserve"> บาท/ตัน</t>
  </si>
  <si>
    <t xml:space="preserve">ระยะขนส่ง      </t>
  </si>
  <si>
    <t xml:space="preserve">ระยะขนส่ง        </t>
  </si>
  <si>
    <t xml:space="preserve">ระยะขนส่ง       </t>
  </si>
  <si>
    <t>รายการราคาค่างานต่อหน่วย</t>
  </si>
  <si>
    <t>=</t>
  </si>
  <si>
    <t xml:space="preserve"> บาท/ตร.ม.</t>
  </si>
  <si>
    <t xml:space="preserve">        ผิวทาง (ขนทิ้ง)</t>
  </si>
  <si>
    <t>ค่าตัวแปร</t>
  </si>
  <si>
    <t xml:space="preserve"> บาท/ลบ.ม.</t>
  </si>
  <si>
    <t>หมายเหตุ</t>
  </si>
  <si>
    <t xml:space="preserve">          - ราคน้ำมันโซล่า เฉลี่ย</t>
  </si>
  <si>
    <t>บาท / ลิตร</t>
  </si>
  <si>
    <t>ชื่อสายทาง</t>
  </si>
  <si>
    <t>จำนวน</t>
  </si>
  <si>
    <t>หน่วย</t>
  </si>
  <si>
    <t>ราคาวัสดุ-ค่าแรง-ต่อหน่วย</t>
  </si>
  <si>
    <t>จำนวนเงิน</t>
  </si>
  <si>
    <t>วัสดุ</t>
  </si>
  <si>
    <t>ค่าแรง</t>
  </si>
  <si>
    <t>รวม</t>
  </si>
  <si>
    <t>(บาท)</t>
  </si>
  <si>
    <t>งานปรับปรุงโครงสร้างทาง</t>
  </si>
  <si>
    <t>ตร.ม.</t>
  </si>
  <si>
    <t>ลบ.ม.</t>
  </si>
  <si>
    <t>งานตีเส้นจราจร</t>
  </si>
  <si>
    <t>งานจราจรสงเคราะห์</t>
  </si>
  <si>
    <t>ชุด</t>
  </si>
  <si>
    <t>หลัก</t>
  </si>
  <si>
    <t>รหัสสายทาง</t>
  </si>
  <si>
    <t>สถานที่ตั้ง</t>
  </si>
  <si>
    <t>กม.</t>
  </si>
  <si>
    <t xml:space="preserve">   รายการ</t>
  </si>
  <si>
    <t xml:space="preserve"> ซม.</t>
  </si>
  <si>
    <t>บาท</t>
  </si>
  <si>
    <t xml:space="preserve">ชื่อสายทาง     </t>
  </si>
  <si>
    <t xml:space="preserve">สายทาง </t>
  </si>
  <si>
    <t xml:space="preserve">สถานที่ตั้ง </t>
  </si>
  <si>
    <t>ม. )</t>
  </si>
  <si>
    <t>3.1 Prime  Coat</t>
  </si>
  <si>
    <t>เมตร</t>
  </si>
  <si>
    <t xml:space="preserve">         - สายทางอยู่ในเขตพื้นที่  </t>
  </si>
  <si>
    <t xml:space="preserve">หินคลุก      </t>
  </si>
  <si>
    <t xml:space="preserve"> บาท/ลบ.ม.(หลวม)</t>
  </si>
  <si>
    <t>ความหนา</t>
  </si>
  <si>
    <t xml:space="preserve"> ตร.ม./ตัน )</t>
  </si>
  <si>
    <t xml:space="preserve"> บาท/ลบ.ม.(แน่น)</t>
  </si>
  <si>
    <t>ค่าบรรทุก</t>
  </si>
  <si>
    <t xml:space="preserve">น้ำมันโซล่าเฉลี่ย </t>
  </si>
  <si>
    <t>บาท/ลิตร</t>
  </si>
  <si>
    <t>หินฝุ่น</t>
  </si>
  <si>
    <t>(งบประมาณ 100 %) ดอกเบี้ยเงินกู้</t>
  </si>
  <si>
    <t>%</t>
  </si>
  <si>
    <t>ค่าขนส่งหิน</t>
  </si>
  <si>
    <t>เงินล่วงหน้าจ่าย</t>
  </si>
  <si>
    <t xml:space="preserve">ค่าขนส่งยาง  </t>
  </si>
  <si>
    <t>ดอกเบี้ยเงินฝาก</t>
  </si>
  <si>
    <t>Traffic  Factor</t>
  </si>
  <si>
    <t>เงินประกันผลงาน</t>
  </si>
  <si>
    <t>ภาษีมูลค่าเพิ่ม ( VAT )</t>
  </si>
  <si>
    <t>ราคาน้ำมันโซล่าเฉลี่ย</t>
  </si>
  <si>
    <t>อยู่ในพื้นที่</t>
  </si>
  <si>
    <t>ฝนตกปกติ</t>
  </si>
  <si>
    <t>ฝนตกชุก</t>
  </si>
  <si>
    <t>ตารางสรุปค่าดำเนินการและค่าเสื่อมราคา</t>
  </si>
  <si>
    <t>รวมค่างาน (บาท)</t>
  </si>
  <si>
    <t>ปกติ</t>
  </si>
  <si>
    <t xml:space="preserve"> 1. วัสดุคัดเลือก ลูกรังรองพื้นทาง</t>
  </si>
  <si>
    <t xml:space="preserve">           ขุด-ขน</t>
  </si>
  <si>
    <t>ลบ.ม.(หลวม)</t>
  </si>
  <si>
    <t xml:space="preserve">           ผสม (ผสมกับวัสดุอื่น  ๆ)</t>
  </si>
  <si>
    <t>ลบ.ม.(แน่น)</t>
  </si>
  <si>
    <t xml:space="preserve">           บดทับ</t>
  </si>
  <si>
    <t xml:space="preserve"> 2. งานพื้นทาง (หินคลุก)</t>
  </si>
  <si>
    <t xml:space="preserve">           ผสม  (Blend)</t>
  </si>
  <si>
    <t xml:space="preserve"> 3. งานขุดรื้อคันทางเดิมแล้วบดทับ</t>
  </si>
  <si>
    <t xml:space="preserve">           ลูกรัง       10  ซม.</t>
  </si>
  <si>
    <t xml:space="preserve">           หินคลุก    10  ซม.</t>
  </si>
  <si>
    <t xml:space="preserve">           ผิว AC  5  ซม. (ขนทิ้ง)</t>
  </si>
  <si>
    <t xml:space="preserve"> 4. งานราดยางไพร์มโค้ท</t>
  </si>
  <si>
    <t xml:space="preserve"> 5. งานราดยางแทคโค้ท</t>
  </si>
  <si>
    <t xml:space="preserve"> 6. งานผิวทางแอสฟัลติกคอนกรีต</t>
  </si>
  <si>
    <t>ตัน</t>
  </si>
  <si>
    <t>7. ค่าแรงงาน  Cape Seal</t>
  </si>
  <si>
    <t xml:space="preserve">           Chip  Seal</t>
  </si>
  <si>
    <t>ตร.ม</t>
  </si>
  <si>
    <t xml:space="preserve">            Fog   Spray</t>
  </si>
  <si>
    <t xml:space="preserve">            Slurry  Seal</t>
  </si>
  <si>
    <t>FACTOR D</t>
  </si>
  <si>
    <t>ความหนา(มม.)</t>
  </si>
  <si>
    <t>Factor สำหรับงานบำรุงทาง (สำหรับงานซ่อมสร้างผิวลาดยาง)</t>
  </si>
  <si>
    <t>ตาราง FACTOR F งานทาง</t>
  </si>
  <si>
    <t>ระยะเวลาการเบิกจ่าย</t>
  </si>
  <si>
    <t xml:space="preserve">  เดือน</t>
  </si>
  <si>
    <t>คำนวนค่า Factor F</t>
  </si>
  <si>
    <t>ค่างาน(ทุน)</t>
  </si>
  <si>
    <t>เวลาทำการ</t>
  </si>
  <si>
    <t>ค่า</t>
  </si>
  <si>
    <t>ดอก</t>
  </si>
  <si>
    <t>กำไร</t>
  </si>
  <si>
    <t>รวมในรูป</t>
  </si>
  <si>
    <t xml:space="preserve">ภาษี </t>
  </si>
  <si>
    <t>ล้านบาท</t>
  </si>
  <si>
    <t>เดือน</t>
  </si>
  <si>
    <t>อำนวยการ</t>
  </si>
  <si>
    <t>เบี้ย</t>
  </si>
  <si>
    <t>Factor</t>
  </si>
  <si>
    <t>(ปกติ)</t>
  </si>
  <si>
    <t>รถบรรทุกสิบล้อ + รถลากพ่วง</t>
  </si>
  <si>
    <t>บาท/ตร.ม.</t>
  </si>
  <si>
    <t xml:space="preserve">  - ค่าวัสดุที่แหล่ง</t>
  </si>
  <si>
    <t xml:space="preserve">  - ค่าเสื่อมราคาขุดตัก</t>
  </si>
  <si>
    <t xml:space="preserve">  - ค่าขนส่ง</t>
  </si>
  <si>
    <t xml:space="preserve">  - ค่าเสื่อมราคาบดทับ</t>
  </si>
  <si>
    <t>แห่ง</t>
  </si>
  <si>
    <t>ราคาแอสฟัลติกที่เลือก</t>
  </si>
  <si>
    <t>ปุ่ม</t>
  </si>
  <si>
    <t>ยาง CRS-2</t>
  </si>
  <si>
    <t>หิน3/4"</t>
  </si>
  <si>
    <t>หิน1/2"</t>
  </si>
  <si>
    <t>หิน3/8"</t>
  </si>
  <si>
    <t>หินผสมแอสฟัลต์</t>
  </si>
  <si>
    <t>ข้อมูลแหล่งวัสดุและระยะทางขนส่ง</t>
  </si>
  <si>
    <t>ใช้</t>
  </si>
  <si>
    <t>1.006 เมื่อปริมาณจราจรน้อยกว่า 1000 คัน/วัน</t>
  </si>
  <si>
    <t>1.013 เมื่อปริมาณจราจรมากกว่า 1000 คัน/วัน</t>
  </si>
  <si>
    <t xml:space="preserve"> 1 เมื่อใช้รถรถบรรทุก 10 ล้อ ในการขนส่งวัสดุ</t>
  </si>
  <si>
    <t>ดอกเบี้ยเงินกู้</t>
  </si>
  <si>
    <t>(งบประมาณ 100 %)</t>
  </si>
  <si>
    <t>ยอดยกไป</t>
  </si>
  <si>
    <t>ยอดยกมา</t>
  </si>
  <si>
    <t>ฝนตกชุก 1</t>
  </si>
  <si>
    <t xml:space="preserve">ฝนตกชุก 2 </t>
  </si>
  <si>
    <t>ฝนตกชุก 2</t>
  </si>
  <si>
    <t>ราคาน้ำมันโซล่า เฉลี่ย</t>
  </si>
  <si>
    <r>
      <t xml:space="preserve">ตารางค่าขนส่งค่าวัสดุก่อสร้าง </t>
    </r>
    <r>
      <rPr>
        <sz val="16"/>
        <color indexed="10"/>
        <rFont val="AngsanaUPC"/>
        <family val="1"/>
        <charset val="222"/>
      </rPr>
      <t xml:space="preserve"> รถบรรทุกสิบล้อ</t>
    </r>
  </si>
  <si>
    <r>
      <t xml:space="preserve">ตารางค่าขนส่งค่าวัสดุก่อสร้าง  </t>
    </r>
    <r>
      <rPr>
        <sz val="16"/>
        <color indexed="10"/>
        <rFont val="AngsanaUPC"/>
        <family val="1"/>
        <charset val="222"/>
      </rPr>
      <t>รถบรรทุกสิบล้อ + รถลากพ่วง</t>
    </r>
  </si>
  <si>
    <r>
      <t xml:space="preserve">ตารางค่าขนส่งค่าวัสดุก่อสร้าง  </t>
    </r>
    <r>
      <rPr>
        <b/>
        <sz val="13.5"/>
        <color indexed="10"/>
        <rFont val="DilleniaUPC"/>
        <family val="1"/>
        <charset val="222"/>
      </rPr>
      <t>รถบรรทุกสิบล้อ</t>
    </r>
  </si>
  <si>
    <t xml:space="preserve">     งานปูลาดและบดทับผิว  AC หนา 5 ซม.</t>
  </si>
  <si>
    <t xml:space="preserve">     บนผิวไพร์มโค้ท</t>
  </si>
  <si>
    <t xml:space="preserve">     บนผิวแทคโค้ท</t>
  </si>
  <si>
    <t xml:space="preserve">     ค่าผสมวัสดุแอสฟัลติกคอนกรีต</t>
  </si>
  <si>
    <t xml:space="preserve"> 2 เมื่อใช้รถบรรทุก 10 ล้อ + รถลากพ่วง ในการขนส่งวัสดุ</t>
  </si>
  <si>
    <t xml:space="preserve">Factor F  </t>
  </si>
  <si>
    <t xml:space="preserve">Factor F </t>
  </si>
  <si>
    <t>8. Pavement In-Place Recycling</t>
  </si>
  <si>
    <t xml:space="preserve">           ขุดลึก 20 ซม.</t>
  </si>
  <si>
    <t>วัสดุคัดเลือก</t>
  </si>
  <si>
    <t>9. งานถางป่าขุดต่อ</t>
  </si>
  <si>
    <t xml:space="preserve">     ขนาดกลาง</t>
  </si>
  <si>
    <t>10.งานตัดแต่งขั้นบันได</t>
  </si>
  <si>
    <t xml:space="preserve">  - ค่าผสม</t>
  </si>
  <si>
    <t xml:space="preserve">ชื่อสายทาง   </t>
  </si>
  <si>
    <t xml:space="preserve">ชนิดผิวทาง   </t>
  </si>
  <si>
    <t xml:space="preserve">                                         </t>
  </si>
  <si>
    <t xml:space="preserve">ชนิดไหล่ทาง  </t>
  </si>
  <si>
    <t>ระยะทางดำเนินการซ่อมสร้าง ฯ</t>
  </si>
  <si>
    <t xml:space="preserve">ผิวทางกว้าง    </t>
  </si>
  <si>
    <t xml:space="preserve">ช่วง  กม.         </t>
  </si>
  <si>
    <t xml:space="preserve">ถึง  กม. </t>
  </si>
  <si>
    <t>Factor  F</t>
  </si>
  <si>
    <t>รวมค่างานก่อสร้าง</t>
  </si>
  <si>
    <t xml:space="preserve">   หมายเหตุ</t>
  </si>
  <si>
    <t xml:space="preserve"> - เงินล่วงหน้าจ่าย </t>
  </si>
  <si>
    <t xml:space="preserve"> - ดอกเบี้ยเงินกู้      </t>
  </si>
  <si>
    <t xml:space="preserve"> - เงินประกันผลงานหัก </t>
  </si>
  <si>
    <t xml:space="preserve"> - พื้นที่</t>
  </si>
  <si>
    <t>สรุป</t>
  </si>
  <si>
    <t xml:space="preserve">ระยะทางดำเนินการ       </t>
  </si>
  <si>
    <t>เฉลี่ยราคา  กม.ละ</t>
  </si>
  <si>
    <t>1.1 งานถางป่าขุดตอ</t>
  </si>
  <si>
    <t>ซม.</t>
  </si>
  <si>
    <t>11.งานดินตัด - ขึ้นรูปคันทาง</t>
  </si>
  <si>
    <t xml:space="preserve">     ดิน - ขุดตัด</t>
  </si>
  <si>
    <t>ลบ.ม (ปกติ)</t>
  </si>
  <si>
    <t>12. งานดินคันทาง</t>
  </si>
  <si>
    <t xml:space="preserve">     ขุด - ขน</t>
  </si>
  <si>
    <t xml:space="preserve">      บดทับ</t>
  </si>
  <si>
    <t>ดินถม</t>
  </si>
  <si>
    <t>1. งานวัสดุดินถม ( จากการขนส่ง )</t>
  </si>
  <si>
    <t>2. งานวัสดุคัดเลือก</t>
  </si>
  <si>
    <t>3. งานลูกรัง</t>
  </si>
  <si>
    <t>4. งานพื้นทาง</t>
  </si>
  <si>
    <t xml:space="preserve">        ขุดรื้อหินคลุก</t>
  </si>
  <si>
    <t xml:space="preserve">อัตราการใช้ยาง </t>
  </si>
  <si>
    <t>ลิตร/ตร.ม.</t>
  </si>
  <si>
    <t xml:space="preserve">        N  =  ค่างาน Pavement In-Place Recycling</t>
  </si>
  <si>
    <t xml:space="preserve">        A  =  ปริมาณยางแอสฟัลต์</t>
  </si>
  <si>
    <t xml:space="preserve"> ตัน/ตร.ม.</t>
  </si>
  <si>
    <t xml:space="preserve">        Y  =  ราคายางแอสฟัลต์บวกค่าขนส่ง</t>
  </si>
  <si>
    <t xml:space="preserve">        S  =  ปริมาณปูนซีเมนต์</t>
  </si>
  <si>
    <t xml:space="preserve">        C  =  ราคาปริมาณปูนซีเมนต์บวกค่าขนส่ง</t>
  </si>
  <si>
    <t>ม.</t>
  </si>
  <si>
    <t xml:space="preserve"> กก./ลบ.ม.</t>
  </si>
  <si>
    <t xml:space="preserve">  - ค่าปูนซีเมนต์ + ค่าขนส่ง                                                    </t>
  </si>
  <si>
    <t xml:space="preserve">  - ปริมาณปูนซีเมนต์ต่อตารางเมตร</t>
  </si>
  <si>
    <t xml:space="preserve">          รวมค่างาน Pavement In-Place Recycling</t>
  </si>
  <si>
    <t xml:space="preserve">        N  =   [ Operating Cost + AY + SC ]</t>
  </si>
  <si>
    <t>ซีเมนต์</t>
  </si>
  <si>
    <t xml:space="preserve">อัตราการยุบตัว  </t>
  </si>
  <si>
    <t>5. งานขุดซ่อมผิวทางเดิม (Deep  Patch)</t>
  </si>
  <si>
    <t xml:space="preserve">  - ค่าวัสดุ</t>
  </si>
  <si>
    <t xml:space="preserve">       รวมค่าวัสดุ</t>
  </si>
  <si>
    <t xml:space="preserve">  - ค่าดำเนินการและค่าเสื่อมราคางานขุดรื้อพื้นทางเดิมแล้วบดทับ</t>
  </si>
  <si>
    <t xml:space="preserve">                รวมค่าวัสดุและขนส่ง</t>
  </si>
  <si>
    <t xml:space="preserve">                รวมค่าวัสดุและค่าแรงเป็นเงิน</t>
  </si>
  <si>
    <t xml:space="preserve">               รวมค่าวัสดุและขนส่ง</t>
  </si>
  <si>
    <t xml:space="preserve">               รวมค่าวัสดุและค่าแรงเป็นเงิน</t>
  </si>
  <si>
    <t xml:space="preserve">  - ค่าวัสดุหินคลุก</t>
  </si>
  <si>
    <t xml:space="preserve">                รวมค่าวัสดุ</t>
  </si>
  <si>
    <t xml:space="preserve">  - Tack Coat</t>
  </si>
  <si>
    <t xml:space="preserve">  - Hot Mix</t>
  </si>
  <si>
    <t xml:space="preserve">  - ค่าดำเนินการและค่าเสื่อมราคางาน Tack Coat ปูลาดและบดทับ</t>
  </si>
  <si>
    <t xml:space="preserve">  - ราคายางจากโรงงาน</t>
  </si>
  <si>
    <t xml:space="preserve">                รวมค่ายาง</t>
  </si>
  <si>
    <t xml:space="preserve">        ความลึกในการขุดกัด                              =</t>
  </si>
  <si>
    <t xml:space="preserve">        Operating Cost                                  =</t>
  </si>
  <si>
    <t xml:space="preserve">        ปริมาณซีเมนต์ที่ใช้ (โดยน้ำหนัก)                  =</t>
  </si>
  <si>
    <t xml:space="preserve">        หน่วยน้ำหนักของวัสดุพื้นทางที่ขุดกัด             =</t>
  </si>
  <si>
    <r>
      <t>6. งานพื้นทาง</t>
    </r>
    <r>
      <rPr>
        <b/>
        <sz val="12"/>
        <color indexed="10"/>
        <rFont val="DilleniaUPC"/>
        <family val="1"/>
      </rPr>
      <t xml:space="preserve"> ( หินคลุกปรับระดับ )</t>
    </r>
  </si>
  <si>
    <t xml:space="preserve">7. งานปะซ่อมผิวทางเดิม (Skin Patch) </t>
  </si>
  <si>
    <t>8. งานไพร์มโค้ท</t>
  </si>
  <si>
    <t>9. งานเทคโค้ท</t>
  </si>
  <si>
    <t>10. งาน Pavement In-Place Recycling</t>
  </si>
  <si>
    <t xml:space="preserve">   10.1 สูตรค่างาน Pavement In-Place Recycling </t>
  </si>
  <si>
    <t xml:space="preserve">  10.2 ข้อมูลประกอบการคิดค่างาน</t>
  </si>
  <si>
    <t>1.2 งานเกลี่ยปรับไหล่ทางเดิมแล้วบดทับ ( ไหล่ลูกรัง )</t>
  </si>
  <si>
    <t>1.3 งานปรับดินเดิมแล้วบดทับ</t>
  </si>
  <si>
    <t>1.4 งาน Benching</t>
  </si>
  <si>
    <t>1.6 งานดินถม ( จากการขนส่ง )</t>
  </si>
  <si>
    <t>1.7 งานวัสดุคัดเลือกบดอัดแน่น</t>
  </si>
  <si>
    <t>1.8 งานรองพื้นทาง (ลูกรังบดอัดแน่น)</t>
  </si>
  <si>
    <t xml:space="preserve">          ค่างาน Pavement In-Place Recycling</t>
  </si>
  <si>
    <t xml:space="preserve">  - ค่าเสื่อมราคาบดทับหินคลุกปรับระดับ</t>
  </si>
  <si>
    <t>\</t>
  </si>
  <si>
    <t xml:space="preserve"> - ค่าติดตั้งเครื่องผสม = 250,000</t>
  </si>
  <si>
    <t xml:space="preserve">   (ยางAC + ค่าขนส่ง) x 0.052</t>
  </si>
  <si>
    <t xml:space="preserve">   (หินผสม + ค่าขนส่ง) x 0.74</t>
  </si>
  <si>
    <t xml:space="preserve">   ค่าใช้จ่ายรวม    </t>
  </si>
  <si>
    <t xml:space="preserve">   ค่างานต้นทุน</t>
  </si>
  <si>
    <t xml:space="preserve"> ซม.                (</t>
  </si>
  <si>
    <t xml:space="preserve"> 11.1 กรณีปริมาณงานน้อยกว่าหรือเท่ากับ 10,000 ตัน</t>
  </si>
  <si>
    <t xml:space="preserve"> 11.2 กรณีปริมาณงานมากกว่า 10,000 ตัน</t>
  </si>
  <si>
    <t xml:space="preserve">ระยะทางตลอดสายทาง   </t>
  </si>
  <si>
    <t>ระยะทางดำเนินการ</t>
  </si>
  <si>
    <t xml:space="preserve">        ขุดรื้อรองพื้นทาง(ลูกรัง)</t>
  </si>
  <si>
    <t xml:space="preserve">  - ค่าดำเนินการ,ค่าเสื่อมราคาผสมและบดทับ (หินคลุกใหม่)</t>
  </si>
  <si>
    <t xml:space="preserve">  - ค่าดำเนินการ,ค่าเสื่อมราคาผสมและบดทับรองพื้นทาง(หินคลุกเดิม+หินคลุกใหม่)</t>
  </si>
  <si>
    <t xml:space="preserve"> - ค่าขนส่งอุปกรณ์ 80 ตัน ระยะทางขนส่ง 100 กม.</t>
  </si>
  <si>
    <t>ประมาณราคา</t>
  </si>
  <si>
    <t>ตรวจ</t>
  </si>
  <si>
    <t>ตำแน่ง</t>
  </si>
  <si>
    <t>ฝนตกชุก 1*</t>
  </si>
  <si>
    <t>ฝนตกชุก 2**</t>
  </si>
  <si>
    <t>ราคากลาง (บาท)</t>
  </si>
  <si>
    <t>ราคาต่อหน่วย</t>
  </si>
  <si>
    <t xml:space="preserve">  =</t>
  </si>
  <si>
    <t>รวมเป็นราคาค่าก่อสร้างประมาณ</t>
  </si>
  <si>
    <t>คิดเป็นราคากลาง</t>
  </si>
  <si>
    <t>1.5 งานดินตัด</t>
  </si>
  <si>
    <t>ในสายทาง</t>
  </si>
  <si>
    <t>หนาเฉลี่ย</t>
  </si>
  <si>
    <t>1.11 Deep  Patch</t>
  </si>
  <si>
    <t>รูปแบบที่ 2</t>
  </si>
  <si>
    <t>89..42</t>
  </si>
  <si>
    <t>251..13</t>
  </si>
  <si>
    <t>ระยะทางตามงบประมาณ</t>
  </si>
  <si>
    <t>รวมระยะทาง</t>
  </si>
  <si>
    <t>งานตีเส้น</t>
  </si>
  <si>
    <t>กิโลเมตร</t>
  </si>
  <si>
    <t>งาน  Recycling</t>
  </si>
  <si>
    <t>รวม พท.ผิว x 1.01</t>
  </si>
  <si>
    <t>รวม พท.ไหล่</t>
  </si>
  <si>
    <t>ระยะทาง</t>
  </si>
  <si>
    <t>สะพานยาว</t>
  </si>
  <si>
    <t>ผิว กว้าง</t>
  </si>
  <si>
    <t>ไหล่ กว้าง</t>
  </si>
  <si>
    <t>พท.ผิว</t>
  </si>
  <si>
    <t>พท.ไหล่</t>
  </si>
  <si>
    <t>5.3 ทางม้าลาย</t>
  </si>
  <si>
    <t>3.2 Tack  Coat บนผิวทางเดิม</t>
  </si>
  <si>
    <t>3.4 Tack  Coat บนผิวทางใหม่</t>
  </si>
  <si>
    <t>3.5 Asphaltic  Concrete ปูบน Tack Coat (ผิวทางใหม่)</t>
  </si>
  <si>
    <t>2.4 Tack  Coat บนผิวทางใหม่</t>
  </si>
  <si>
    <t>2.5 Asphaltic  Concrete ปูบน Tack Coat  (ผิวทางใหม่)</t>
  </si>
  <si>
    <t>4.5 Asphaltic  Concrete ปูบน Tack Coat  (ผิวทางใหม่)</t>
  </si>
  <si>
    <t>4.4 Tack  Coat บนผิวทางใหม่</t>
  </si>
  <si>
    <t xml:space="preserve">   6.1.1 หลักแนวโค้ง ค.ส.ล.</t>
  </si>
  <si>
    <t xml:space="preserve">   6.1.4 GUARD RAIL</t>
  </si>
  <si>
    <t xml:space="preserve">   6.2.3 ป้ายจราจรแบบ บ2.</t>
  </si>
  <si>
    <t xml:space="preserve">   6.2.4 ป้ายจราจร บ3 - บ55</t>
  </si>
  <si>
    <t xml:space="preserve">   6.2.6 ป้ายจราจร ต28-ต30,ต57,ต62</t>
  </si>
  <si>
    <t xml:space="preserve">   6.2.7 ป้ายจราจร ต61</t>
  </si>
  <si>
    <t xml:space="preserve">   6.2.9 ป้ายจราจรแบบ ต64,ต67</t>
  </si>
  <si>
    <t xml:space="preserve">   6.2.10 ป้ายจราจรแบบ ต65,ต68,ต70</t>
  </si>
  <si>
    <t xml:space="preserve">   6.2.11 ป้ายจราจรแบบ ต69</t>
  </si>
  <si>
    <t xml:space="preserve">   6.2.12 ป้ายจราจรแบบ ต71</t>
  </si>
  <si>
    <t xml:space="preserve">   6.2.13 ป้ายจราจรแบบ ต72 - ต73</t>
  </si>
  <si>
    <t xml:space="preserve">   6.2.14 ป้ายจราจรแบบ ต74</t>
  </si>
  <si>
    <t xml:space="preserve">   6.2.15 ป้ายจราจรแบบ ต76</t>
  </si>
  <si>
    <t xml:space="preserve">   6.2.16 ป้ายจราจรแบบ ต77</t>
  </si>
  <si>
    <t xml:space="preserve">   6.2.17 ป้ายจราจรแบบ ต78</t>
  </si>
  <si>
    <t xml:space="preserve">   6.2.24 ป้ายจราจรแบบ น5</t>
  </si>
  <si>
    <t xml:space="preserve">   6.2.33 หลักแนวโค้ง ค.ส.ล. (ขนาด 15.0x15.0 ซม. )</t>
  </si>
  <si>
    <t xml:space="preserve">   6.2.35 หลักเขตทาง</t>
  </si>
  <si>
    <t>B  =  ราคาหินปากโม่บวกด้วยค่าขนส่งจากปากโม่ ถึงที่ตั้งโรงงานผสมพาราแอสฟัลติกคอนกรีต หรือจุดกองรวม (บาท/ลบ.ม.)</t>
  </si>
  <si>
    <r>
      <t xml:space="preserve">รหัส Unprotect      </t>
    </r>
    <r>
      <rPr>
        <b/>
        <sz val="16"/>
        <color indexed="9"/>
        <rFont val="DilleniaUPC"/>
        <family val="1"/>
      </rPr>
      <t>000</t>
    </r>
  </si>
  <si>
    <r>
      <t>กรอกข้อความ หรือ ตัวเลข  เฉพาะในช่องพื้น</t>
    </r>
    <r>
      <rPr>
        <b/>
        <sz val="12"/>
        <rFont val="DilleniaUPC"/>
        <family val="1"/>
      </rPr>
      <t xml:space="preserve"> </t>
    </r>
    <r>
      <rPr>
        <b/>
        <sz val="12"/>
        <color indexed="13"/>
        <rFont val="DilleniaUPC"/>
        <family val="1"/>
      </rPr>
      <t>สีเหลือง</t>
    </r>
  </si>
  <si>
    <r>
      <t>ประเภทงาน</t>
    </r>
    <r>
      <rPr>
        <sz val="12"/>
        <rFont val="DilleniaUPC"/>
        <family val="1"/>
      </rPr>
      <t xml:space="preserve">            </t>
    </r>
  </si>
  <si>
    <r>
      <t>เจ้าของโครงการ</t>
    </r>
    <r>
      <rPr>
        <sz val="12"/>
        <rFont val="DilleniaUPC"/>
        <family val="1"/>
      </rPr>
      <t xml:space="preserve">       </t>
    </r>
  </si>
  <si>
    <r>
      <rPr>
        <b/>
        <sz val="12"/>
        <rFont val="DilleniaUPC"/>
        <family val="1"/>
      </rPr>
      <t>ฝนตกชุก 1*</t>
    </r>
    <r>
      <rPr>
        <sz val="12"/>
        <rFont val="DilleniaUPC"/>
        <family val="1"/>
      </rPr>
      <t xml:space="preserve">    = จันทบุรี  ,ชุมพร ,เชียงราย ,ตรัง ,นครพนม ,นครศรีธรรมราช ,ปราจีนบุรี ,ปัตตานี ,พัทลุง ,สงขลา ,สตูล ,สุราษฎร์ธานี ,หนองคาย</t>
    </r>
  </si>
  <si>
    <r>
      <rPr>
        <b/>
        <sz val="12"/>
        <rFont val="DilleniaUPC"/>
        <family val="1"/>
      </rPr>
      <t>ฝนตกชุก 2**</t>
    </r>
    <r>
      <rPr>
        <sz val="12"/>
        <rFont val="DilleniaUPC"/>
        <family val="1"/>
      </rPr>
      <t xml:space="preserve">   = ตราด ,นราธิวาส ,พังงา ,ภูเก็ต ,ยะลา ,ระนอง</t>
    </r>
  </si>
  <si>
    <r>
      <t xml:space="preserve">   6.2.26 </t>
    </r>
    <r>
      <rPr>
        <sz val="13.5"/>
        <rFont val="DilleniaUPC"/>
        <family val="1"/>
      </rPr>
      <t xml:space="preserve">ป้ายจราจรแบบ </t>
    </r>
    <r>
      <rPr>
        <sz val="13"/>
        <rFont val="DilleniaUPC"/>
        <family val="1"/>
      </rPr>
      <t>บ3-บ55+ต1-ต27,ต31-ต60,ต75</t>
    </r>
  </si>
  <si>
    <r>
      <t>ประเภทงาน</t>
    </r>
    <r>
      <rPr>
        <sz val="14"/>
        <rFont val="DilleniaUPC"/>
        <family val="1"/>
      </rPr>
      <t xml:space="preserve">            </t>
    </r>
  </si>
  <si>
    <r>
      <t>เจ้าของโครงการ</t>
    </r>
    <r>
      <rPr>
        <sz val="14"/>
        <rFont val="DilleniaUPC"/>
        <family val="1"/>
      </rPr>
      <t xml:space="preserve">       </t>
    </r>
  </si>
  <si>
    <r>
      <t>รหัสสายทาง</t>
    </r>
    <r>
      <rPr>
        <sz val="14"/>
        <rFont val="DilleniaUPC"/>
        <family val="1"/>
      </rPr>
      <t xml:space="preserve">                              </t>
    </r>
  </si>
  <si>
    <r>
      <t xml:space="preserve">สถานที่ตั้ง </t>
    </r>
    <r>
      <rPr>
        <sz val="14"/>
        <rFont val="DilleniaUPC"/>
        <family val="1"/>
      </rPr>
      <t xml:space="preserve">             </t>
    </r>
  </si>
  <si>
    <r>
      <t xml:space="preserve">ระยะทางตลอดสายทาง </t>
    </r>
    <r>
      <rPr>
        <sz val="14"/>
        <rFont val="DilleniaUPC"/>
        <family val="1"/>
      </rPr>
      <t xml:space="preserve">    </t>
    </r>
  </si>
  <si>
    <r>
      <t xml:space="preserve">ลักษณะสายทางเดิม   </t>
    </r>
    <r>
      <rPr>
        <sz val="14"/>
        <rFont val="DilleniaUPC"/>
        <family val="1"/>
      </rPr>
      <t xml:space="preserve">    </t>
    </r>
  </si>
  <si>
    <r>
      <t>กว้าง</t>
    </r>
    <r>
      <rPr>
        <sz val="14"/>
        <rFont val="DilleniaUPC"/>
        <family val="1"/>
      </rPr>
      <t xml:space="preserve">             </t>
    </r>
  </si>
  <si>
    <t>รวมค่างานต้นทุน</t>
  </si>
  <si>
    <t>หมวดค่าใช้จ่ายอื่นๆ</t>
  </si>
  <si>
    <t>รวมหมวดค่าใช้จ่ายอื่นๆ</t>
  </si>
  <si>
    <t xml:space="preserve">                                คิดเป็นค่าก่อสร้างทั้งสิ้น</t>
  </si>
  <si>
    <t xml:space="preserve">                                คิดเป็นค่าก่อสร้างโดยประมาณ</t>
  </si>
  <si>
    <t>ตัวอักษร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</si>
  <si>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</si>
  <si>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(ลงชื่อ)......................................................ประธานกรรมการฯ</t>
  </si>
  <si>
    <t>(ลงชื่อ)......................................................กรรมการฯ</t>
  </si>
  <si>
    <t>แบบประเมินราคากลางค่าบำรุงรักษาทาง</t>
  </si>
  <si>
    <t>11. งานผิวทางแอสฟัลติคคอนกรีต</t>
  </si>
  <si>
    <t xml:space="preserve">   6.2.27 ป้ายจราจรแบบ </t>
  </si>
  <si>
    <t>ค่างานต้นทุนงานทาง</t>
  </si>
  <si>
    <t>67.49.</t>
  </si>
  <si>
    <t>278..90</t>
  </si>
  <si>
    <t>-</t>
  </si>
  <si>
    <t>wind -</t>
  </si>
  <si>
    <t>เปลี่ยนของเดิม ช่วงปลายสาย 30 ต้น</t>
  </si>
  <si>
    <t>ส่วนต่อเชื่อม</t>
  </si>
  <si>
    <t>ไหล่</t>
  </si>
  <si>
    <t>ผิว</t>
  </si>
  <si>
    <t xml:space="preserve"> -  Para  Asphaltic  Concrete  ปูบน Tack  Coat (ผิวทางเดิม)</t>
  </si>
  <si>
    <t>2 โค้ง 1 ทางแยก</t>
  </si>
  <si>
    <t>เผื่อ 1 ตร.ม.</t>
  </si>
  <si>
    <t xml:space="preserve">                    คณะกรรมการกำหนดราคากลาง</t>
  </si>
  <si>
    <t xml:space="preserve">  ( นายนุกูล ย่องตีบ )</t>
  </si>
  <si>
    <t xml:space="preserve">    นายช่างโยธาชำนาญงาน</t>
  </si>
  <si>
    <t xml:space="preserve">            ( นายจักรกฤษ บุญเจริญ )   </t>
  </si>
  <si>
    <t xml:space="preserve">    นายช่างโยธาปฎิบัติงาน</t>
  </si>
  <si>
    <t xml:space="preserve">               ( นายเอกชัย บุตรขุน )         นายช่างโยธา พร.    </t>
  </si>
  <si>
    <t xml:space="preserve">   5.2.4 ป้ายจราจรแบบ น4</t>
  </si>
  <si>
    <t xml:space="preserve">   5.2.5 หลักแนวโค้ง ค.ส.ล. (ขนาด 12.5x12.5 ซม. )</t>
  </si>
  <si>
    <t xml:space="preserve">  ตามคำสั่งกรมทางหลวงชนบทที่ ขทช.ตราด/155/2559  ลว. 23 สิงหาคม 2559</t>
  </si>
  <si>
    <t xml:space="preserve"> - ค่าขนส่งแอสฟัลติกคอนกรีตในสายทาง ระยะทาง </t>
  </si>
  <si>
    <t xml:space="preserve"> - ปริมาณงาน  - Asphalt Concrete ทั้งโครงการ</t>
  </si>
  <si>
    <t xml:space="preserve">  - ค่าดำเนินการ + ค่าเสื่อมผสมแอสฟัลติกคอนกรีต  x</t>
  </si>
  <si>
    <t>A =   ราคายางแอสฟัลท์ ( AC ) ที่ แหล่งบวกด้วยค่าขนส่งถึงที่ตั้งโรงงานผสมพาราแอสฟัลติกคอนกรีต (บาท/ตัน)</t>
  </si>
  <si>
    <t xml:space="preserve"> -   Asphaltic  Concrete  ปูบน Prime  Coat </t>
  </si>
  <si>
    <t>widenning</t>
  </si>
  <si>
    <t>ลงหินคลุกหลวม</t>
  </si>
  <si>
    <t>รวมระยะทางทั้งหมด</t>
  </si>
  <si>
    <t>ต้น</t>
  </si>
  <si>
    <t>แบบประเมินราคากลางงานก่อสร้างทางไฟฟ้าแสงสว่าง  กิ่งเดี่ยวเสาสูง  9 เมตร</t>
  </si>
  <si>
    <t>โครงการ ปรับปรุงภูมิทัศน์ถนนลาดยาง AC  สายวงษ์พัฒนา-ทุ่งกราด(ระยะที่1) ต.สะตอ อ.เขาสมิง จ.ตราดเชื่อมโยงอำเภอขลุง จ.จันทบุรี</t>
  </si>
  <si>
    <t>ชนิด 9 ม.250 W.HPS.   ติดตั้งแบบกิ่งเดี่ยว   ระยะห่างเสา 35-40  เมตร แบบด้านเดียว</t>
  </si>
  <si>
    <t>ลำดับที่</t>
  </si>
  <si>
    <t>ปริมาณ</t>
  </si>
  <si>
    <t>ราคาต้นทุน(บาท)</t>
  </si>
  <si>
    <t>FN</t>
  </si>
  <si>
    <t>ประเมิณราคา</t>
  </si>
  <si>
    <t>ราคาทุน</t>
  </si>
  <si>
    <t>xFN</t>
  </si>
  <si>
    <t>กลาง(บาท)</t>
  </si>
  <si>
    <t>เสาไฟฟ้าพร้อมกิ่งโคมและอุปกรณ์ประกอบ</t>
  </si>
  <si>
    <t>1.2 โคมไฟฟ้า  250  W.HPS.  พร้อมอุปกรณ์</t>
  </si>
  <si>
    <t>โคม</t>
  </si>
  <si>
    <t>1.3 ค่าทาสีและติดตั้งแผ่นสะท้อนแสง</t>
  </si>
  <si>
    <t>1.4 ฐานเสาไฟ</t>
  </si>
  <si>
    <t>1.5 สายไฟฟ้า NYY 2x2.5 Sq.mm.  (สายไฟฟ้าเดินภายในเสา)</t>
  </si>
  <si>
    <t>1.6 Ground  rod</t>
  </si>
  <si>
    <t>1.7 ค่าติดตั้ง</t>
  </si>
  <si>
    <t>ค่าขนส่งจาก กทม.ถึงหน้างานต่อต้น</t>
  </si>
  <si>
    <t>ค่าอุปกรณ์ที่ใช้ร่วมกัน</t>
  </si>
  <si>
    <t>2.1 ตู้ควบคุมพร้อโฟโตเซล  ขนาด 60A 1Ph.240V</t>
  </si>
  <si>
    <r>
      <t>2.2 สายไฟฟ้า THW สีเขียว  1x16 mm</t>
    </r>
    <r>
      <rPr>
        <vertAlign val="superscript"/>
        <sz val="14"/>
        <color theme="1"/>
        <rFont val="TH SarabunPSK"/>
        <family val="2"/>
      </rPr>
      <t>2</t>
    </r>
  </si>
  <si>
    <t>2.3 สายไฟฟ้า  NYY 3x10 Sq.mm.  (จากเสาไฟฟ้าถึงเสาหม้อแปลง)</t>
  </si>
  <si>
    <t xml:space="preserve">2.4 สายไฟฟ้า THW.1X35 mm2 </t>
  </si>
  <si>
    <t>2.5 Ground  rod กลีบมะเฟืองยาว 2.00 ม.</t>
  </si>
  <si>
    <t>ค่าหลอดสำรอง และอิกนิเตอร์</t>
  </si>
  <si>
    <t>ค่าเดินสายไฟฟ้า</t>
  </si>
  <si>
    <t>4.1 สายไฟฟ้า NYY 3 x 10 Sq.mm. (สายเดินระหว่างเสา)</t>
  </si>
  <si>
    <t>4.2 ขุดวางสายไฟฟ้า พร้อม Precast ปิดทับ</t>
  </si>
  <si>
    <r>
      <t xml:space="preserve">4.3 ท่อ RSC  </t>
    </r>
    <r>
      <rPr>
        <sz val="14"/>
        <rFont val="Angsana New"/>
        <family val="1"/>
      </rPr>
      <t>Ø  2 - 12" พร้อมค่าดันลอด</t>
    </r>
  </si>
  <si>
    <t>รวมค่างานต้นทุนต่อต้น</t>
  </si>
  <si>
    <t>ค่าธรรมเนียมการไฟฟ้า</t>
  </si>
  <si>
    <t>กรณีมีใบค่าใช้จ่ายการไฟฟ้า (ตามใบแจ้งของการไฟฟ้า)</t>
  </si>
  <si>
    <t>กรณีไม่มีใบค่าใช้จ่ายการไฟฟ้า</t>
  </si>
  <si>
    <t>5.1 ค่าธรรมเนียมขยายเขตไฟฟ้าและติดตั้งหม้อแปลงไฟฟ้า</t>
  </si>
  <si>
    <t xml:space="preserve">       ขนาด 30 kVA ระบบ 22,000-460/230V. พร้อมอุปกรณ์</t>
  </si>
  <si>
    <t>5.2 ค่าธรรมเนียมต่อไฟฟ้า</t>
  </si>
  <si>
    <t>5.3 ค่าตรวจสอบการติดตั้ง</t>
  </si>
  <si>
    <t xml:space="preserve">5.4 ค่ามิเตอร์ (มิเตอร์ชนิด 1Ph. ขนาด 30(100)A หรือ 150/5A </t>
  </si>
  <si>
    <t xml:space="preserve">     ประกอบ CT แรงต่ำ 1 ชุด ต่อ 67 โคมที่ pf = 0.95)</t>
  </si>
  <si>
    <t>รวมค่าธรรมเนียมการไฟฟ้า</t>
  </si>
  <si>
    <t>รวมเป็นค่าก่อสร้าง</t>
  </si>
  <si>
    <t>คณะกรรมการกำหนดราคากลาง</t>
  </si>
  <si>
    <t>ตามคำสั่งจังหวัดตราด ที่  2039/2559  ลงวันที่ 20  ตุลาคม  2559</t>
  </si>
  <si>
    <t>ลงชื่อ....................................................ประธานกรรมการ</t>
  </si>
  <si>
    <t xml:space="preserve">       (นายเฉลิมราช  ประพันธ์วงค์)</t>
  </si>
  <si>
    <t xml:space="preserve">           นายช่างโยธาอาวุโส</t>
  </si>
  <si>
    <t>ลงชื่อ....................................................กรรมการ</t>
  </si>
  <si>
    <t xml:space="preserve">            (นายฤชัย เหลาพรม)</t>
  </si>
  <si>
    <t xml:space="preserve">        นายช่างโยธาชำนาญงาน</t>
  </si>
  <si>
    <t xml:space="preserve">            (นายนิภัทร  ทองยิ่ง)</t>
  </si>
  <si>
    <t xml:space="preserve">             นายช่างโยธา (พร.)</t>
  </si>
  <si>
    <t>ค่างานทั่วไป</t>
  </si>
  <si>
    <t>1.1 เสาไฟฟ้าสูง  9.00  ม.  พร้อมกิ่งเดี่ยว  และอุปกรณ์ฟิวส์ครบชุด</t>
  </si>
  <si>
    <t xml:space="preserve">   1.2 ค่าธรรมเนียมการไฟฟ้า</t>
  </si>
  <si>
    <t xml:space="preserve">   1.1  งานป้ายจราจรระหว่างก่อสร้าง </t>
  </si>
  <si>
    <t>กว้าง</t>
  </si>
  <si>
    <t>ยาว</t>
  </si>
  <si>
    <t>งาน ทางเชื่อม</t>
  </si>
  <si>
    <t>3.2  Asphaltic  Concrete</t>
  </si>
  <si>
    <t>2.2   Asphaltic  Concrete</t>
  </si>
  <si>
    <t xml:space="preserve">       - ติดตั้งปุ่มสะท้อนแสง ( 2 หน้า )</t>
  </si>
  <si>
    <t>งานผิวทาง+ผิวไหล่ทาง</t>
  </si>
  <si>
    <t>ช่วงดำเนินการ</t>
  </si>
  <si>
    <r>
      <t xml:space="preserve">กว้าง  </t>
    </r>
    <r>
      <rPr>
        <sz val="14"/>
        <rFont val="DilleniaUPC"/>
        <family val="1"/>
      </rPr>
      <t xml:space="preserve">  </t>
    </r>
  </si>
  <si>
    <t xml:space="preserve"> -  Prime  Coat</t>
  </si>
  <si>
    <t xml:space="preserve"> -  Para Asphaltic  Concrete  ปูบน Tack  Coat (ผิวทางเดิม)</t>
  </si>
  <si>
    <t xml:space="preserve"> -  งาน Pavement In - Place Recycling</t>
  </si>
  <si>
    <t xml:space="preserve"> -  หินคลุกบดอัดแน่น</t>
  </si>
  <si>
    <t xml:space="preserve"> -  หินคลุกปรับระดับ (หลวม)</t>
  </si>
  <si>
    <t xml:space="preserve"> -  สีเทอร์โมพลาสติก</t>
  </si>
  <si>
    <t xml:space="preserve"> -  Rumble Strips</t>
  </si>
  <si>
    <t xml:space="preserve"> -  หลักกิโลเมตร</t>
  </si>
  <si>
    <t xml:space="preserve"> -  ป้ายจราจร</t>
  </si>
  <si>
    <t xml:space="preserve"> -  สะพาน คสล</t>
  </si>
  <si>
    <t xml:space="preserve"> - ป้ายจราจรแบบ น6 </t>
  </si>
  <si>
    <t xml:space="preserve">ระยะทาง  </t>
  </si>
  <si>
    <t xml:space="preserve">   - ป้ายจราจรแบบ น3</t>
  </si>
  <si>
    <t xml:space="preserve"> -  Tack  Coat </t>
  </si>
  <si>
    <t xml:space="preserve">   - ป้ายจราจรแบบ ต1-ต27,ต31-ต60,ต75</t>
  </si>
  <si>
    <t xml:space="preserve">   - ป้ายประกาศกรมทางหลวงชนบท</t>
  </si>
  <si>
    <t>ยาง EAP</t>
  </si>
  <si>
    <t>ยาง AC</t>
  </si>
  <si>
    <t xml:space="preserve">   - ป้ายจราจรแบบ น1</t>
  </si>
  <si>
    <t>4.1 งานปรับปรุง</t>
  </si>
  <si>
    <t xml:space="preserve"> -  Asphaltic  Concrete  ปูบน Prime  Coat </t>
  </si>
  <si>
    <t xml:space="preserve">   - ป้ายเตือนแนวทาง (โค้งขวาและโค้งซ้าย)</t>
  </si>
  <si>
    <t xml:space="preserve">   - ป้ายจราจรแบบ บ1.</t>
  </si>
  <si>
    <t xml:space="preserve">   - ป้ายจราจรแบบ น2 ( 1 แผ่นป้าย )</t>
  </si>
  <si>
    <t xml:space="preserve">   - ป้ายจราจรแบบ น2 ( 2 แผ่นป้าย )</t>
  </si>
  <si>
    <t xml:space="preserve">   - ป้ายจราจรแบบ น2 ( 3 แผ่นป้าย )</t>
  </si>
  <si>
    <t xml:space="preserve">   - สัญญาณไฟกระพริบ+ต1-ต27,ต31-ต60,ต75</t>
  </si>
  <si>
    <t xml:space="preserve">   - หลักแนวโค้ง ค.ส.ล. (ขนาด 15.0x15.0 ซม. )</t>
  </si>
  <si>
    <t xml:space="preserve">   - สัญญาณไฟกระพริบ+บ1</t>
  </si>
  <si>
    <t xml:space="preserve">   - งาน Timber Barricade </t>
  </si>
  <si>
    <t xml:space="preserve">   - หลักกิโลเมตร(แบบติดตั้งแผ่นสะท้อนแสง)</t>
  </si>
  <si>
    <t xml:space="preserve">   - Rumble Strips</t>
  </si>
  <si>
    <t xml:space="preserve">   - Guard  Rail (สำหรับทางตรง,ทางโค้ง R&gt;700 ม.,ความสูงคันทางน้อยกว่า 3.00 ม.)</t>
  </si>
  <si>
    <t xml:space="preserve">   - Guard  Rail (สำหรับทางโค้ง 450 ม.&lt;ทางโค้ง R&lt;700 ม.)</t>
  </si>
  <si>
    <t xml:space="preserve">   - Guard  Rail (สำหรับทางโค้ง 150 ม.&lt;ทางโค้ง R&lt;450 ม.)</t>
  </si>
  <si>
    <t xml:space="preserve">   - Guard  Rail (สำหรับทางโค้ง R&gt;150 ม.)</t>
  </si>
  <si>
    <t xml:space="preserve">   - Guard  Rail (สำหรับติดตั้งคอสะพาน แบบมาตรฐานงานสะพาน สพ-0904/64)</t>
  </si>
  <si>
    <t xml:space="preserve">   - สัญญาณไฟกระพริบ</t>
  </si>
  <si>
    <t xml:space="preserve">   - ป้ายกำหนดน้ำหนักบรรทุก</t>
  </si>
  <si>
    <t>สรุปประมาณราคาค่าบำรุงรักษาทาง</t>
  </si>
  <si>
    <t>พานิชย์กรุงเทพมหานคร</t>
  </si>
  <si>
    <t>5.1 งานติดตั้ง</t>
  </si>
  <si>
    <t>AC</t>
  </si>
  <si>
    <t xml:space="preserve">(ระยะดำเนินการ 100 วัน)  </t>
  </si>
  <si>
    <t>0+000</t>
  </si>
  <si>
    <t>3 เส้น กว้าง 10  ซม.</t>
  </si>
  <si>
    <t>เห็นชอบ</t>
  </si>
  <si>
    <t>31.50,32.50,33.50,34.50,35.50,36.50</t>
  </si>
  <si>
    <t>อ.เมือง จ.เพชรบุรี</t>
  </si>
  <si>
    <t>อ.เขาย้อย จ.เพชรบุรี</t>
  </si>
  <si>
    <t>น้ำมันดีเซลหมุนเร็ว ราคา 35.50 บาท/ลิตร</t>
  </si>
  <si>
    <t>อำเภอเมือง จังหวัดเพชรบุรี</t>
  </si>
  <si>
    <t xml:space="preserve">ปรับปรุงผิวทางแอสฟัลท์คอนกรีต </t>
  </si>
  <si>
    <t xml:space="preserve">   - งานรื้อถนนคอนกรีตเสริมเหล็กเดิม(รื้อขนทิ้ง)</t>
  </si>
  <si>
    <t xml:space="preserve">   - งานบดอัดถนนเดิมพร้อมเทคอนกรีตเสริมเหล็ก หนา 0.15 ม.</t>
  </si>
  <si>
    <t>จังหวัดเพชรบุรี</t>
  </si>
  <si>
    <t>สายภายในศาลากลางจังหวัดเพชรบุรี</t>
  </si>
  <si>
    <t xml:space="preserve">   - งานรื้อท่อระบายน้ำเดิม(รื้อขนทิ้ง)</t>
  </si>
  <si>
    <t>บ่อ</t>
  </si>
  <si>
    <t xml:space="preserve">   - งานรื้อบ่อพัก คสล.เดิมพร้อมฝาตะแกรงเดิม(รื้อขนทิ้ง)</t>
  </si>
  <si>
    <t xml:space="preserve">   - งานวางรางระบายน้ำร่องตื้น(O-GUTTER)</t>
  </si>
  <si>
    <t xml:space="preserve">   - งานทรายหยาบบดอัดแน่น(รองพื้น,ถมข้างท่อ)</t>
  </si>
  <si>
    <t xml:space="preserve">   - งานคอนกรีตหยาบ</t>
  </si>
  <si>
    <t xml:space="preserve">   - งานวางบ่อพัก คสล. พร้อมฝา คสล.</t>
  </si>
  <si>
    <t>0+251</t>
  </si>
  <si>
    <t>น้ำมันดีเซลหมุนเร็ว ราคา 30.50 บาท/ลิตร</t>
  </si>
  <si>
    <t>ประธานคณะกรรมการ…………………………………….…………..</t>
  </si>
  <si>
    <t>กรรมการ……..................……………………………………….</t>
  </si>
  <si>
    <t>กรรมการ …………..……………………………………………</t>
  </si>
  <si>
    <t>วันที่  22  เดือน   มีนาคม   พ.ศ. 2567</t>
  </si>
  <si>
    <t>นักทรัพยากรบุคคลชำนาญการ</t>
  </si>
  <si>
    <t>นายช่างโยธาชำนาญงาน</t>
  </si>
  <si>
    <t>นักจัดการงานทั่วไปชำนาญการ</t>
  </si>
  <si>
    <t>นางสาวณิชาภา  หมื่นภักดี</t>
  </si>
  <si>
    <t>นางสาวสุพัตรา  ข้อออ</t>
  </si>
  <si>
    <t>นายธัชนนท์  นิติพันธุ์วณิช</t>
  </si>
  <si>
    <t>งานรื้อถอนและปรับปรุง</t>
  </si>
  <si>
    <t>เหล็ก WIRE MESH f 6.00 มม. @ 0.20 ม.#+ลูกรังรองพื้น</t>
  </si>
  <si>
    <t>งบ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</si>
</sst>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7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0.000"/>
    <numFmt numFmtId="190" formatCode="_-* #,##0.0000_-;\-* #,##0.0000_-;_-* &quot;-&quot;????_-;_-@_-"/>
    <numFmt numFmtId="191" formatCode="#,##0.000"/>
    <numFmt numFmtId="192" formatCode="#,##0.0000"/>
    <numFmt numFmtId="193" formatCode="0.0"/>
    <numFmt numFmtId="194" formatCode="#,##0.00_ ;\-#,##0.00\ "/>
    <numFmt numFmtId="195" formatCode="#,##0.0000_);\(#,##0.0000\)"/>
    <numFmt numFmtId="196" formatCode="0.0%"/>
    <numFmt numFmtId="197" formatCode="_(* #,##0.00_);_(* \(#,##0.00\);_(* &quot; &quot;??_);_(@_)"/>
    <numFmt numFmtId="198" formatCode="#,##0.000;\-#,##0.000"/>
    <numFmt numFmtId="199" formatCode="#,##0.000_);\(#,##0.000\)"/>
    <numFmt numFmtId="200" formatCode="_-* #,##0_-;\-* #,##0_-;_-* &quot;-&quot;??_-;_-@_-"/>
    <numFmt numFmtId="201" formatCode="0.00000000"/>
    <numFmt numFmtId="202" formatCode="0\+000"/>
    <numFmt numFmtId="203" formatCode="_-* #,##0.0000_-;\-* #,##0.0000_-;_-* &quot;-&quot;??_-;_-@_-"/>
    <numFmt numFmtId="204" formatCode="General_)"/>
    <numFmt numFmtId="205" formatCode="#,##0.000000&quot; &quot;"/>
    <numFmt numFmtId="206" formatCode="dd\-mm\-yy"/>
    <numFmt numFmtId="207" formatCode="#,###&quot;   &quot;"/>
    <numFmt numFmtId="208" formatCode="&quot;฿&quot;\t#,##0_);\(&quot;฿&quot;\t#,##0\)"/>
    <numFmt numFmtId="209" formatCode="\t0.00E+00"/>
    <numFmt numFmtId="210" formatCode="#,##0.0_);\(#,##0.0\)"/>
    <numFmt numFmtId="211" formatCode="_(&quot;$&quot;* #,##0.000_);_(&quot;$&quot;* \(#,##0.000\);_(&quot;$&quot;* &quot;-&quot;??_);_(@_)"/>
    <numFmt numFmtId="212" formatCode="0.0&quot;  &quot;"/>
    <numFmt numFmtId="213" formatCode="&quot;ฃ&quot;#,##0;[Red]\-&quot;ฃ&quot;#,##0"/>
    <numFmt numFmtId="214" formatCode="dd\-mmm\-yy_)"/>
    <numFmt numFmtId="215" formatCode="_-* #,##0.00000_-;\-* #,##0.00000_-;_-* &quot;-&quot;?????_-;_-@_-"/>
    <numFmt numFmtId="216" formatCode="m/d/yy\ hh:mm"/>
    <numFmt numFmtId="217" formatCode="_(&quot;$&quot;* #,##0.0000_);_(&quot;$&quot;* \(#,##0.0000\);_(&quot;$&quot;* &quot;-&quot;??_);_(@_)"/>
    <numFmt numFmtId="218" formatCode="0.0.0"/>
    <numFmt numFmtId="219" formatCode="_-* #,##0.0_-;\-* #,##0.0_-;_-* &quot;-&quot;?_-;_-@_-"/>
    <numFmt numFmtId="220" formatCode="_-* #,##0.00_-;\-* #,##0.00_-;_-* &quot;-&quot;_-;_-@_-"/>
    <numFmt numFmtId="221" formatCode="_-* #,##0.0_-;\-* #,##0.0_-;_-* &quot;-&quot;_-;_-@_-"/>
  </numFmts>
  <fonts count="129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b/>
      <sz val="14"/>
      <name val="AngsanaUPC"/>
      <family val="1"/>
      <charset val="222"/>
    </font>
    <font>
      <sz val="14"/>
      <name val="AngsanaUPC"/>
      <family val="1"/>
      <charset val="222"/>
    </font>
    <font>
      <sz val="13.5"/>
      <name val="DilleniaUPC"/>
      <family val="1"/>
    </font>
    <font>
      <sz val="10"/>
      <name val="Courier"/>
      <family val="3"/>
    </font>
    <font>
      <sz val="13.5"/>
      <name val="DilleniaUPC"/>
      <family val="1"/>
      <charset val="222"/>
    </font>
    <font>
      <sz val="12"/>
      <name val="DilleniaUPC"/>
      <family val="1"/>
      <charset val="222"/>
    </font>
    <font>
      <sz val="12"/>
      <name val="DilleniaUPC"/>
      <family val="1"/>
    </font>
    <font>
      <b/>
      <sz val="12"/>
      <name val="DilleniaUPC"/>
      <family val="1"/>
    </font>
    <font>
      <b/>
      <sz val="14"/>
      <name val="DilleniaUPC"/>
      <family val="1"/>
      <charset val="222"/>
    </font>
    <font>
      <b/>
      <sz val="13.5"/>
      <name val="DilleniaUPC"/>
      <family val="1"/>
      <charset val="222"/>
    </font>
    <font>
      <b/>
      <sz val="13.5"/>
      <name val="DilleniaUPC"/>
      <family val="1"/>
    </font>
    <font>
      <sz val="13"/>
      <name val="DilleniaUPC"/>
      <family val="1"/>
      <charset val="222"/>
    </font>
    <font>
      <sz val="13.5"/>
      <color indexed="8"/>
      <name val="DilleniaUPC"/>
      <family val="1"/>
      <charset val="222"/>
    </font>
    <font>
      <sz val="14"/>
      <name val="DilleniaUPC"/>
      <family val="1"/>
      <charset val="222"/>
    </font>
    <font>
      <sz val="16"/>
      <name val="AngsanaUPC"/>
      <family val="1"/>
      <charset val="222"/>
    </font>
    <font>
      <sz val="16"/>
      <color indexed="10"/>
      <name val="AngsanaUPC"/>
      <family val="1"/>
      <charset val="222"/>
    </font>
    <font>
      <b/>
      <sz val="13.5"/>
      <color indexed="10"/>
      <name val="DilleniaUPC"/>
      <family val="1"/>
      <charset val="222"/>
    </font>
    <font>
      <b/>
      <sz val="13.5"/>
      <color indexed="52"/>
      <name val="DilleniaUPC"/>
      <family val="1"/>
      <charset val="222"/>
    </font>
    <font>
      <b/>
      <sz val="14"/>
      <color indexed="10"/>
      <name val="DilleniaUPC"/>
      <family val="1"/>
      <charset val="222"/>
    </font>
    <font>
      <b/>
      <u/>
      <sz val="12"/>
      <name val="DilleniaUPC"/>
      <family val="1"/>
    </font>
    <font>
      <b/>
      <sz val="14"/>
      <name val="DilleniaUPC"/>
      <family val="1"/>
    </font>
    <font>
      <sz val="13.5"/>
      <color indexed="10"/>
      <name val="DilleniaUPC"/>
      <family val="1"/>
      <charset val="222"/>
    </font>
    <font>
      <b/>
      <sz val="13.5"/>
      <name val="DilleniaUPC"/>
      <family val="1"/>
    </font>
    <font>
      <b/>
      <sz val="12"/>
      <color indexed="10"/>
      <name val="DilleniaUPC"/>
      <family val="1"/>
    </font>
    <font>
      <sz val="13.5"/>
      <color indexed="10"/>
      <name val="DilleniaUPC"/>
      <family val="1"/>
      <charset val="222"/>
    </font>
    <font>
      <b/>
      <u/>
      <sz val="12"/>
      <color theme="1"/>
      <name val="DilleniaUPC"/>
      <family val="1"/>
    </font>
    <font>
      <b/>
      <sz val="14"/>
      <color indexed="12"/>
      <name val="Cordia New"/>
      <family val="2"/>
    </font>
    <font>
      <b/>
      <sz val="14"/>
      <color rgb="FF002060"/>
      <name val="Cordia New"/>
      <family val="2"/>
    </font>
    <font>
      <b/>
      <sz val="14"/>
      <name val="Cordia New"/>
      <family val="2"/>
    </font>
    <font>
      <sz val="14"/>
      <color rgb="FFFF0000"/>
      <name val="Cordia New"/>
      <family val="2"/>
    </font>
    <font>
      <b/>
      <sz val="14"/>
      <color rgb="FFFF0000"/>
      <name val="DilleniaUPC"/>
      <family val="1"/>
      <charset val="222"/>
    </font>
    <font>
      <sz val="14"/>
      <color rgb="FFFF0000"/>
      <name val="DilleniaUPC"/>
      <family val="1"/>
      <charset val="222"/>
    </font>
    <font>
      <b/>
      <sz val="16"/>
      <name val="DilleniaUPC"/>
      <family val="1"/>
    </font>
    <font>
      <b/>
      <sz val="16"/>
      <color indexed="9"/>
      <name val="DilleniaUPC"/>
      <family val="1"/>
    </font>
    <font>
      <b/>
      <sz val="12"/>
      <color indexed="9"/>
      <name val="DilleniaUPC"/>
      <family val="1"/>
    </font>
    <font>
      <b/>
      <sz val="12"/>
      <color indexed="13"/>
      <name val="DilleniaUPC"/>
      <family val="1"/>
    </font>
    <font>
      <u/>
      <sz val="12"/>
      <name val="DilleniaUPC"/>
      <family val="1"/>
    </font>
    <font>
      <sz val="12"/>
      <color indexed="12"/>
      <name val="DilleniaUPC"/>
      <family val="1"/>
    </font>
    <font>
      <sz val="12"/>
      <color theme="1"/>
      <name val="DilleniaUPC"/>
      <family val="1"/>
    </font>
    <font>
      <sz val="12"/>
      <color theme="0"/>
      <name val="DilleniaUPC"/>
      <family val="1"/>
    </font>
    <font>
      <sz val="12"/>
      <color indexed="10"/>
      <name val="DilleniaUPC"/>
      <family val="1"/>
    </font>
    <font>
      <sz val="11"/>
      <name val="DilleniaUPC"/>
      <family val="1"/>
    </font>
    <font>
      <sz val="13"/>
      <name val="DilleniaUPC"/>
      <family val="1"/>
    </font>
    <font>
      <sz val="14"/>
      <name val="DilleniaUPC"/>
      <family val="1"/>
    </font>
    <font>
      <b/>
      <sz val="14"/>
      <color indexed="10"/>
      <name val="DilleniaUPC"/>
      <family val="1"/>
    </font>
    <font>
      <sz val="14"/>
      <color indexed="10"/>
      <name val="DilleniaUPC"/>
      <family val="1"/>
    </font>
    <font>
      <b/>
      <sz val="14"/>
      <color theme="0"/>
      <name val="DilleniaUPC"/>
      <family val="1"/>
    </font>
    <font>
      <sz val="11"/>
      <color indexed="8"/>
      <name val="Tahoma"/>
      <family val="2"/>
      <charset val="222"/>
    </font>
    <font>
      <sz val="14"/>
      <name val="SV Rojchana"/>
    </font>
    <font>
      <sz val="14"/>
      <name val="AngsanaUPC"/>
      <family val="1"/>
    </font>
    <font>
      <sz val="10"/>
      <name val="Helv"/>
      <family val="2"/>
    </font>
    <font>
      <sz val="16"/>
      <name val="DilleniaUPC"/>
      <family val="1"/>
    </font>
    <font>
      <sz val="16"/>
      <name val="DilleniaUPC"/>
      <family val="1"/>
      <charset val="222"/>
    </font>
    <font>
      <sz val="11"/>
      <name val="?? ?????"/>
      <family val="3"/>
      <charset val="255"/>
    </font>
    <font>
      <sz val="11"/>
      <name val="??"/>
      <family val="1"/>
    </font>
    <font>
      <sz val="12"/>
      <name val="Helv"/>
      <family val="2"/>
    </font>
    <font>
      <sz val="10"/>
      <name val="Arial"/>
      <family val="2"/>
    </font>
    <font>
      <sz val="11"/>
      <color indexed="8"/>
      <name val="Tahoma"/>
      <family val="2"/>
    </font>
    <font>
      <sz val="11"/>
      <color indexed="9"/>
      <name val="Tahoma"/>
      <family val="2"/>
    </font>
    <font>
      <b/>
      <i/>
      <sz val="24"/>
      <color indexed="49"/>
      <name val="Arial Narrow"/>
      <family val="2"/>
    </font>
    <font>
      <sz val="11"/>
      <color indexed="9"/>
      <name val="Cordia New"/>
      <family val="2"/>
      <charset val="222"/>
    </font>
    <font>
      <sz val="11"/>
      <color indexed="8"/>
      <name val="Cordia New"/>
      <family val="2"/>
      <charset val="222"/>
    </font>
    <font>
      <sz val="11"/>
      <color indexed="16"/>
      <name val="Cordia New"/>
      <family val="2"/>
      <charset val="222"/>
    </font>
    <font>
      <sz val="12"/>
      <name val="Times New Roman"/>
      <family val="1"/>
    </font>
    <font>
      <sz val="12"/>
      <name val="????"/>
      <charset val="136"/>
    </font>
    <font>
      <b/>
      <sz val="11"/>
      <color indexed="53"/>
      <name val="Cordia New"/>
      <family val="2"/>
      <charset val="222"/>
    </font>
    <font>
      <b/>
      <sz val="11"/>
      <color indexed="9"/>
      <name val="Cordia New"/>
      <family val="2"/>
      <charset val="222"/>
    </font>
    <font>
      <sz val="12"/>
      <name val="EucrosiaUPC"/>
      <family val="1"/>
    </font>
    <font>
      <sz val="10"/>
      <color indexed="8"/>
      <name val="Arial"/>
      <family val="2"/>
    </font>
    <font>
      <b/>
      <sz val="14"/>
      <name val="AngsanaUPC"/>
      <family val="1"/>
    </font>
    <font>
      <b/>
      <sz val="11"/>
      <color indexed="8"/>
      <name val="Cordia New"/>
      <family val="2"/>
      <charset val="222"/>
    </font>
    <font>
      <i/>
      <sz val="11"/>
      <color indexed="23"/>
      <name val="Tahoma"/>
      <family val="2"/>
    </font>
    <font>
      <sz val="11"/>
      <color indexed="17"/>
      <name val="Cordia New"/>
      <family val="2"/>
      <charset val="22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Cordia New"/>
      <family val="2"/>
      <charset val="222"/>
    </font>
    <font>
      <b/>
      <sz val="13"/>
      <color indexed="62"/>
      <name val="Cordia New"/>
      <family val="2"/>
      <charset val="222"/>
    </font>
    <font>
      <b/>
      <sz val="11"/>
      <color indexed="62"/>
      <name val="Cordia New"/>
      <family val="2"/>
      <charset val="222"/>
    </font>
    <font>
      <u/>
      <sz val="14"/>
      <color indexed="12"/>
      <name val="Cordia New"/>
      <family val="2"/>
    </font>
    <font>
      <sz val="11"/>
      <color indexed="62"/>
      <name val="Cordia New"/>
      <family val="2"/>
      <charset val="222"/>
    </font>
    <font>
      <sz val="11"/>
      <color indexed="53"/>
      <name val="Cordia New"/>
      <family val="2"/>
      <charset val="222"/>
    </font>
    <font>
      <sz val="11"/>
      <color indexed="60"/>
      <name val="Cordia New"/>
      <family val="2"/>
      <charset val="222"/>
    </font>
    <font>
      <sz val="7"/>
      <name val="Small Fonts"/>
      <family val="2"/>
    </font>
    <font>
      <b/>
      <sz val="11"/>
      <color indexed="63"/>
      <name val="Cordia New"/>
      <family val="2"/>
      <charset val="22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b/>
      <sz val="18"/>
      <color indexed="62"/>
      <name val="Angsana New"/>
      <family val="2"/>
      <charset val="222"/>
    </font>
    <font>
      <b/>
      <sz val="18"/>
      <color indexed="62"/>
      <name val="Tahoma"/>
      <family val="2"/>
    </font>
    <font>
      <b/>
      <sz val="24"/>
      <name val="AngsanaUPC"/>
      <family val="1"/>
      <charset val="222"/>
    </font>
    <font>
      <sz val="11"/>
      <color indexed="10"/>
      <name val="Cordia New"/>
      <family val="2"/>
      <charset val="222"/>
    </font>
    <font>
      <b/>
      <sz val="11"/>
      <color indexed="10"/>
      <name val="Tahoma"/>
      <family val="2"/>
    </font>
    <font>
      <sz val="11"/>
      <color indexed="10"/>
      <name val="Tahoma"/>
      <family val="2"/>
    </font>
    <font>
      <sz val="10"/>
      <color indexed="8"/>
      <name val="Cordia New"/>
      <family val="2"/>
    </font>
    <font>
      <sz val="16"/>
      <name val="Angsana New"/>
      <family val="1"/>
    </font>
    <font>
      <sz val="11"/>
      <color indexed="8"/>
      <name val="Calibri"/>
      <family val="2"/>
      <charset val="222"/>
    </font>
    <font>
      <b/>
      <sz val="11"/>
      <color indexed="9"/>
      <name val="Tahoma"/>
      <family val="2"/>
    </font>
    <font>
      <sz val="11"/>
      <color indexed="17"/>
      <name val="Tahoma"/>
      <family val="2"/>
    </font>
    <font>
      <sz val="11"/>
      <color theme="1"/>
      <name val="Tahoma"/>
      <family val="2"/>
      <charset val="222"/>
    </font>
    <font>
      <sz val="10"/>
      <name val="Arial"/>
      <family val="2"/>
      <charset val="222"/>
    </font>
    <font>
      <sz val="11"/>
      <color indexed="62"/>
      <name val="Tahoma"/>
      <family val="2"/>
    </font>
    <font>
      <sz val="11"/>
      <color indexed="19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62"/>
      <name val="Tahoma"/>
      <family val="2"/>
    </font>
    <font>
      <b/>
      <sz val="13"/>
      <color indexed="62"/>
      <name val="Tahoma"/>
      <family val="2"/>
    </font>
    <font>
      <b/>
      <sz val="11"/>
      <color indexed="62"/>
      <name val="Tahoma"/>
      <family val="2"/>
    </font>
    <font>
      <sz val="14"/>
      <color rgb="FFFF0000"/>
      <name val="AngsanaUPC"/>
      <family val="1"/>
      <charset val="222"/>
    </font>
    <font>
      <b/>
      <sz val="14"/>
      <color theme="1"/>
      <name val="DilleniaUPC"/>
      <family val="1"/>
    </font>
    <font>
      <b/>
      <sz val="16"/>
      <color theme="1"/>
      <name val="TH SarabunPSK"/>
      <family val="2"/>
    </font>
    <font>
      <sz val="12"/>
      <color theme="1"/>
      <name val="TH SarabunPSK"/>
      <family val="2"/>
    </font>
    <font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4"/>
      <color rgb="FFFF0000"/>
      <name val="TH SarabunPSK"/>
      <family val="2"/>
    </font>
    <font>
      <vertAlign val="superscript"/>
      <sz val="14"/>
      <color theme="1"/>
      <name val="TH SarabunPSK"/>
      <family val="2"/>
    </font>
    <font>
      <sz val="14"/>
      <name val="Angsana New"/>
      <family val="1"/>
    </font>
    <font>
      <b/>
      <sz val="14"/>
      <color theme="1"/>
      <name val="TH SarabunPSK"/>
      <family val="2"/>
    </font>
    <font>
      <b/>
      <u/>
      <sz val="14"/>
      <name val="TH SarabunPSK"/>
      <family val="2"/>
    </font>
    <font>
      <sz val="12"/>
      <color rgb="FFFF0000"/>
      <name val="CordiaUPC"/>
      <family val="2"/>
      <charset val="222"/>
    </font>
    <font>
      <sz val="12"/>
      <color rgb="FFFF0000"/>
      <name val="Cordia New"/>
      <family val="2"/>
    </font>
    <font>
      <sz val="12"/>
      <name val="CordiaUPC"/>
      <family val="2"/>
      <charset val="222"/>
    </font>
    <font>
      <sz val="14"/>
      <color rgb="FFFF0000"/>
      <name val="DilleniaUPC"/>
      <family val="1"/>
    </font>
    <font>
      <sz val="14"/>
      <color theme="1"/>
      <name val="DilleniaUPC"/>
      <family val="1"/>
    </font>
  </fonts>
  <fills count="54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16"/>
        <bgColor indexed="64"/>
      </patternFill>
    </fill>
    <fill>
      <patternFill patternType="solid">
        <fgColor indexed="52"/>
        <bgColor indexed="29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8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E4F2A0"/>
        <bgColor indexed="64"/>
      </patternFill>
    </fill>
  </fills>
  <borders count="9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22"/>
      </bottom>
      <diagonal/>
    </border>
    <border>
      <left style="medium">
        <color indexed="64"/>
      </left>
      <right style="medium">
        <color indexed="64"/>
      </right>
      <top/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22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/>
      <diagonal/>
    </border>
    <border>
      <left style="medium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/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/>
      <right style="medium">
        <color indexed="64"/>
      </right>
      <top/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33">
    <xf numFmtId="0" fontId="0" fillId="0" borderId="0"/>
    <xf numFmtId="43" fontId="3" fillId="0" borderId="0" applyFont="0" applyFill="0" applyBorder="0" applyAlignment="0" applyProtection="0"/>
    <xf numFmtId="39" fontId="7" fillId="0" borderId="0"/>
    <xf numFmtId="4" fontId="3" fillId="0" borderId="0"/>
    <xf numFmtId="0" fontId="3" fillId="0" borderId="0"/>
    <xf numFmtId="0" fontId="2" fillId="0" borderId="0"/>
    <xf numFmtId="0" fontId="3" fillId="0" borderId="0"/>
    <xf numFmtId="43" fontId="51" fillId="0" borderId="0" applyFont="0" applyFill="0" applyBorder="0" applyAlignment="0" applyProtection="0"/>
    <xf numFmtId="0" fontId="52" fillId="0" borderId="0">
      <alignment vertical="center"/>
    </xf>
    <xf numFmtId="204" fontId="53" fillId="0" borderId="0" applyFont="0" applyFill="0" applyBorder="0" applyAlignment="0" applyProtection="0"/>
    <xf numFmtId="205" fontId="53" fillId="0" borderId="0" applyFont="0" applyFill="0" applyBorder="0" applyAlignment="0" applyProtection="0"/>
    <xf numFmtId="206" fontId="53" fillId="0" borderId="0" applyFont="0" applyFill="0" applyBorder="0" applyAlignment="0" applyProtection="0"/>
    <xf numFmtId="207" fontId="53" fillId="0" borderId="0" applyFont="0" applyFill="0" applyBorder="0" applyAlignment="0" applyProtection="0"/>
    <xf numFmtId="4" fontId="54" fillId="0" borderId="0" applyFont="0" applyFill="0" applyBorder="0" applyAlignment="0" applyProtection="0"/>
    <xf numFmtId="208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6" fillId="0" borderId="0" applyFont="0" applyFill="0" applyBorder="0" applyAlignment="0" applyProtection="0"/>
    <xf numFmtId="209" fontId="56" fillId="0" borderId="0" applyFont="0" applyFill="0" applyBorder="0" applyAlignment="0" applyProtection="0"/>
    <xf numFmtId="207" fontId="53" fillId="0" borderId="0" applyFont="0" applyFill="0" applyBorder="0" applyAlignment="0" applyProtection="0"/>
    <xf numFmtId="38" fontId="57" fillId="0" borderId="0" applyFont="0" applyFill="0" applyBorder="0" applyAlignment="0" applyProtection="0"/>
    <xf numFmtId="40" fontId="57" fillId="0" borderId="0" applyFont="0" applyFill="0" applyBorder="0" applyAlignment="0" applyProtection="0"/>
    <xf numFmtId="0" fontId="58" fillId="0" borderId="0"/>
    <xf numFmtId="0" fontId="59" fillId="0" borderId="0"/>
    <xf numFmtId="9" fontId="60" fillId="13" borderId="0"/>
    <xf numFmtId="0" fontId="61" fillId="14" borderId="0" applyNumberFormat="0" applyBorder="0" applyAlignment="0" applyProtection="0"/>
    <xf numFmtId="0" fontId="61" fillId="15" borderId="0" applyNumberFormat="0" applyBorder="0" applyAlignment="0" applyProtection="0"/>
    <xf numFmtId="0" fontId="61" fillId="16" borderId="0" applyNumberFormat="0" applyBorder="0" applyAlignment="0" applyProtection="0"/>
    <xf numFmtId="0" fontId="61" fillId="17" borderId="0" applyNumberFormat="0" applyBorder="0" applyAlignment="0" applyProtection="0"/>
    <xf numFmtId="0" fontId="61" fillId="18" borderId="0" applyNumberFormat="0" applyBorder="0" applyAlignment="0" applyProtection="0"/>
    <xf numFmtId="0" fontId="61" fillId="16" borderId="0" applyNumberFormat="0" applyBorder="0" applyAlignment="0" applyProtection="0"/>
    <xf numFmtId="0" fontId="61" fillId="14" borderId="0" applyNumberFormat="0" applyBorder="0" applyAlignment="0" applyProtection="0"/>
    <xf numFmtId="0" fontId="61" fillId="14" borderId="0" applyNumberFormat="0" applyBorder="0" applyAlignment="0" applyProtection="0"/>
    <xf numFmtId="0" fontId="61" fillId="15" borderId="0" applyNumberFormat="0" applyBorder="0" applyAlignment="0" applyProtection="0"/>
    <xf numFmtId="0" fontId="61" fillId="15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7" borderId="0" applyNumberFormat="0" applyBorder="0" applyAlignment="0" applyProtection="0"/>
    <xf numFmtId="0" fontId="61" fillId="17" borderId="0" applyNumberFormat="0" applyBorder="0" applyAlignment="0" applyProtection="0"/>
    <xf numFmtId="0" fontId="61" fillId="18" borderId="0" applyNumberFormat="0" applyBorder="0" applyAlignment="0" applyProtection="0"/>
    <xf numFmtId="0" fontId="61" fillId="18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1" fillId="18" borderId="0" applyNumberFormat="0" applyBorder="0" applyAlignment="0" applyProtection="0"/>
    <xf numFmtId="0" fontId="61" fillId="15" borderId="0" applyNumberFormat="0" applyBorder="0" applyAlignment="0" applyProtection="0"/>
    <xf numFmtId="0" fontId="61" fillId="19" borderId="0" applyNumberFormat="0" applyBorder="0" applyAlignment="0" applyProtection="0"/>
    <xf numFmtId="0" fontId="61" fillId="20" borderId="0" applyNumberFormat="0" applyBorder="0" applyAlignment="0" applyProtection="0"/>
    <xf numFmtId="0" fontId="61" fillId="18" borderId="0" applyNumberFormat="0" applyBorder="0" applyAlignment="0" applyProtection="0"/>
    <xf numFmtId="0" fontId="61" fillId="16" borderId="0" applyNumberFormat="0" applyBorder="0" applyAlignment="0" applyProtection="0"/>
    <xf numFmtId="0" fontId="61" fillId="18" borderId="0" applyNumberFormat="0" applyBorder="0" applyAlignment="0" applyProtection="0"/>
    <xf numFmtId="0" fontId="61" fillId="18" borderId="0" applyNumberFormat="0" applyBorder="0" applyAlignment="0" applyProtection="0"/>
    <xf numFmtId="0" fontId="61" fillId="15" borderId="0" applyNumberFormat="0" applyBorder="0" applyAlignment="0" applyProtection="0"/>
    <xf numFmtId="0" fontId="61" fillId="15" borderId="0" applyNumberFormat="0" applyBorder="0" applyAlignment="0" applyProtection="0"/>
    <xf numFmtId="0" fontId="61" fillId="19" borderId="0" applyNumberFormat="0" applyBorder="0" applyAlignment="0" applyProtection="0"/>
    <xf numFmtId="0" fontId="61" fillId="19" borderId="0" applyNumberFormat="0" applyBorder="0" applyAlignment="0" applyProtection="0"/>
    <xf numFmtId="0" fontId="61" fillId="20" borderId="0" applyNumberFormat="0" applyBorder="0" applyAlignment="0" applyProtection="0"/>
    <xf numFmtId="0" fontId="61" fillId="20" borderId="0" applyNumberFormat="0" applyBorder="0" applyAlignment="0" applyProtection="0"/>
    <xf numFmtId="0" fontId="61" fillId="18" borderId="0" applyNumberFormat="0" applyBorder="0" applyAlignment="0" applyProtection="0"/>
    <xf numFmtId="0" fontId="61" fillId="18" borderId="0" applyNumberFormat="0" applyBorder="0" applyAlignment="0" applyProtection="0"/>
    <xf numFmtId="0" fontId="61" fillId="16" borderId="0" applyNumberFormat="0" applyBorder="0" applyAlignment="0" applyProtection="0"/>
    <xf numFmtId="0" fontId="61" fillId="16" borderId="0" applyNumberFormat="0" applyBorder="0" applyAlignment="0" applyProtection="0"/>
    <xf numFmtId="0" fontId="62" fillId="18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20" borderId="0" applyNumberFormat="0" applyBorder="0" applyAlignment="0" applyProtection="0"/>
    <xf numFmtId="0" fontId="62" fillId="18" borderId="0" applyNumberFormat="0" applyBorder="0" applyAlignment="0" applyProtection="0"/>
    <xf numFmtId="0" fontId="62" fillId="15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21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22" borderId="0" applyNumberFormat="0" applyBorder="0" applyAlignment="0" applyProtection="0"/>
    <xf numFmtId="0" fontId="62" fillId="20" borderId="0" applyNumberFormat="0" applyBorder="0" applyAlignment="0" applyProtection="0"/>
    <xf numFmtId="0" fontId="62" fillId="20" borderId="0" applyNumberFormat="0" applyBorder="0" applyAlignment="0" applyProtection="0"/>
    <xf numFmtId="0" fontId="62" fillId="18" borderId="0" applyNumberFormat="0" applyBorder="0" applyAlignment="0" applyProtection="0"/>
    <xf numFmtId="0" fontId="62" fillId="18" borderId="0" applyNumberFormat="0" applyBorder="0" applyAlignment="0" applyProtection="0"/>
    <xf numFmtId="0" fontId="62" fillId="15" borderId="0" applyNumberFormat="0" applyBorder="0" applyAlignment="0" applyProtection="0"/>
    <xf numFmtId="0" fontId="62" fillId="15" borderId="0" applyNumberFormat="0" applyBorder="0" applyAlignment="0" applyProtection="0"/>
    <xf numFmtId="0" fontId="63" fillId="23" borderId="28">
      <alignment horizontal="centerContinuous" vertical="top"/>
    </xf>
    <xf numFmtId="0" fontId="64" fillId="24" borderId="0" applyNumberFormat="0" applyBorder="0" applyAlignment="0" applyProtection="0"/>
    <xf numFmtId="0" fontId="65" fillId="25" borderId="0" applyNumberFormat="0" applyBorder="0" applyAlignment="0" applyProtection="0"/>
    <xf numFmtId="0" fontId="65" fillId="25" borderId="0" applyNumberFormat="0" applyBorder="0" applyAlignment="0" applyProtection="0"/>
    <xf numFmtId="0" fontId="64" fillId="26" borderId="0" applyNumberFormat="0" applyBorder="0" applyAlignment="0" applyProtection="0"/>
    <xf numFmtId="0" fontId="64" fillId="27" borderId="0" applyNumberFormat="0" applyBorder="0" applyAlignment="0" applyProtection="0"/>
    <xf numFmtId="0" fontId="65" fillId="28" borderId="0" applyNumberFormat="0" applyBorder="0" applyAlignment="0" applyProtection="0"/>
    <xf numFmtId="0" fontId="65" fillId="29" borderId="0" applyNumberFormat="0" applyBorder="0" applyAlignment="0" applyProtection="0"/>
    <xf numFmtId="0" fontId="64" fillId="30" borderId="0" applyNumberFormat="0" applyBorder="0" applyAlignment="0" applyProtection="0"/>
    <xf numFmtId="0" fontId="64" fillId="30" borderId="0" applyNumberFormat="0" applyBorder="0" applyAlignment="0" applyProtection="0"/>
    <xf numFmtId="0" fontId="65" fillId="28" borderId="0" applyNumberFormat="0" applyBorder="0" applyAlignment="0" applyProtection="0"/>
    <xf numFmtId="0" fontId="65" fillId="31" borderId="0" applyNumberFormat="0" applyBorder="0" applyAlignment="0" applyProtection="0"/>
    <xf numFmtId="0" fontId="64" fillId="29" borderId="0" applyNumberFormat="0" applyBorder="0" applyAlignment="0" applyProtection="0"/>
    <xf numFmtId="0" fontId="64" fillId="24" borderId="0" applyNumberFormat="0" applyBorder="0" applyAlignment="0" applyProtection="0"/>
    <xf numFmtId="0" fontId="65" fillId="25" borderId="0" applyNumberFormat="0" applyBorder="0" applyAlignment="0" applyProtection="0"/>
    <xf numFmtId="0" fontId="65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32" borderId="0" applyNumberFormat="0" applyBorder="0" applyAlignment="0" applyProtection="0"/>
    <xf numFmtId="0" fontId="65" fillId="33" borderId="0" applyNumberFormat="0" applyBorder="0" applyAlignment="0" applyProtection="0"/>
    <xf numFmtId="0" fontId="65" fillId="25" borderId="0" applyNumberFormat="0" applyBorder="0" applyAlignment="0" applyProtection="0"/>
    <xf numFmtId="0" fontId="64" fillId="26" borderId="0" applyNumberFormat="0" applyBorder="0" applyAlignment="0" applyProtection="0"/>
    <xf numFmtId="0" fontId="64" fillId="34" borderId="0" applyNumberFormat="0" applyBorder="0" applyAlignment="0" applyProtection="0"/>
    <xf numFmtId="0" fontId="65" fillId="28" borderId="0" applyNumberFormat="0" applyBorder="0" applyAlignment="0" applyProtection="0"/>
    <xf numFmtId="0" fontId="65" fillId="35" borderId="0" applyNumberFormat="0" applyBorder="0" applyAlignment="0" applyProtection="0"/>
    <xf numFmtId="0" fontId="64" fillId="35" borderId="0" applyNumberFormat="0" applyBorder="0" applyAlignment="0" applyProtection="0"/>
    <xf numFmtId="0" fontId="66" fillId="36" borderId="0" applyNumberFormat="0" applyBorder="0" applyAlignment="0" applyProtection="0"/>
    <xf numFmtId="0" fontId="60" fillId="0" borderId="0" applyFill="0" applyBorder="0" applyAlignment="0"/>
    <xf numFmtId="210" fontId="54" fillId="0" borderId="0" applyFill="0" applyBorder="0" applyAlignment="0"/>
    <xf numFmtId="0" fontId="67" fillId="0" borderId="0" applyFill="0" applyBorder="0" applyAlignment="0"/>
    <xf numFmtId="0" fontId="68" fillId="0" borderId="0" applyFill="0" applyBorder="0" applyAlignment="0"/>
    <xf numFmtId="0" fontId="68" fillId="0" borderId="0" applyFill="0" applyBorder="0" applyAlignment="0"/>
    <xf numFmtId="211" fontId="53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212" fontId="55" fillId="0" borderId="0" applyFill="0" applyBorder="0" applyAlignment="0"/>
    <xf numFmtId="212" fontId="56" fillId="0" borderId="0" applyFill="0" applyBorder="0" applyAlignment="0"/>
    <xf numFmtId="212" fontId="56" fillId="0" borderId="0" applyFill="0" applyBorder="0" applyAlignment="0"/>
    <xf numFmtId="210" fontId="54" fillId="0" borderId="0" applyFill="0" applyBorder="0" applyAlignment="0"/>
    <xf numFmtId="0" fontId="69" fillId="37" borderId="73" applyNumberFormat="0" applyAlignment="0" applyProtection="0"/>
    <xf numFmtId="0" fontId="70" fillId="30" borderId="74" applyNumberFormat="0" applyAlignment="0" applyProtection="0"/>
    <xf numFmtId="211" fontId="53" fillId="0" borderId="0" applyFont="0" applyFill="0" applyBorder="0" applyAlignment="0" applyProtection="0"/>
    <xf numFmtId="211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213" fontId="71" fillId="0" borderId="0"/>
    <xf numFmtId="0" fontId="63" fillId="23" borderId="28">
      <alignment horizontal="centerContinuous" vertical="top"/>
    </xf>
    <xf numFmtId="210" fontId="54" fillId="0" borderId="0" applyFont="0" applyFill="0" applyBorder="0" applyAlignment="0" applyProtection="0"/>
    <xf numFmtId="214" fontId="53" fillId="0" borderId="0"/>
    <xf numFmtId="14" fontId="72" fillId="0" borderId="0" applyFill="0" applyBorder="0" applyAlignment="0"/>
    <xf numFmtId="15" fontId="73" fillId="7" borderId="0">
      <alignment horizontal="centerContinuous"/>
    </xf>
    <xf numFmtId="196" fontId="53" fillId="0" borderId="0"/>
    <xf numFmtId="0" fontId="74" fillId="38" borderId="0" applyNumberFormat="0" applyBorder="0" applyAlignment="0" applyProtection="0"/>
    <xf numFmtId="0" fontId="74" fillId="39" borderId="0" applyNumberFormat="0" applyBorder="0" applyAlignment="0" applyProtection="0"/>
    <xf numFmtId="0" fontId="74" fillId="40" borderId="0" applyNumberFormat="0" applyBorder="0" applyAlignment="0" applyProtection="0"/>
    <xf numFmtId="211" fontId="53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210" fontId="54" fillId="0" borderId="0" applyFill="0" applyBorder="0" applyAlignment="0"/>
    <xf numFmtId="211" fontId="53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212" fontId="55" fillId="0" borderId="0" applyFill="0" applyBorder="0" applyAlignment="0"/>
    <xf numFmtId="212" fontId="56" fillId="0" borderId="0" applyFill="0" applyBorder="0" applyAlignment="0"/>
    <xf numFmtId="212" fontId="56" fillId="0" borderId="0" applyFill="0" applyBorder="0" applyAlignment="0"/>
    <xf numFmtId="210" fontId="54" fillId="0" borderId="0" applyFill="0" applyBorder="0" applyAlignment="0"/>
    <xf numFmtId="0" fontId="75" fillId="0" borderId="0" applyNumberFormat="0" applyFill="0" applyBorder="0" applyAlignment="0" applyProtection="0"/>
    <xf numFmtId="0" fontId="76" fillId="31" borderId="0" applyNumberFormat="0" applyBorder="0" applyAlignment="0" applyProtection="0"/>
    <xf numFmtId="38" fontId="77" fillId="23" borderId="0" applyNumberFormat="0" applyBorder="0" applyAlignment="0" applyProtection="0"/>
    <xf numFmtId="0" fontId="78" fillId="0" borderId="67" applyNumberFormat="0" applyAlignment="0" applyProtection="0">
      <alignment horizontal="left" vertical="center"/>
    </xf>
    <xf numFmtId="0" fontId="78" fillId="0" borderId="13">
      <alignment horizontal="left" vertical="center"/>
    </xf>
    <xf numFmtId="0" fontId="79" fillId="0" borderId="75" applyNumberFormat="0" applyFill="0" applyAlignment="0" applyProtection="0"/>
    <xf numFmtId="0" fontId="80" fillId="0" borderId="76" applyNumberFormat="0" applyFill="0" applyAlignment="0" applyProtection="0"/>
    <xf numFmtId="0" fontId="81" fillId="0" borderId="77" applyNumberFormat="0" applyFill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83" fillId="35" borderId="73" applyNumberFormat="0" applyAlignment="0" applyProtection="0"/>
    <xf numFmtId="10" fontId="77" fillId="41" borderId="16" applyNumberFormat="0" applyBorder="0" applyAlignment="0" applyProtection="0"/>
    <xf numFmtId="211" fontId="53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210" fontId="54" fillId="0" borderId="0" applyFill="0" applyBorder="0" applyAlignment="0"/>
    <xf numFmtId="211" fontId="53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212" fontId="55" fillId="0" borderId="0" applyFill="0" applyBorder="0" applyAlignment="0"/>
    <xf numFmtId="212" fontId="56" fillId="0" borderId="0" applyFill="0" applyBorder="0" applyAlignment="0"/>
    <xf numFmtId="212" fontId="56" fillId="0" borderId="0" applyFill="0" applyBorder="0" applyAlignment="0"/>
    <xf numFmtId="210" fontId="54" fillId="0" borderId="0" applyFill="0" applyBorder="0" applyAlignment="0"/>
    <xf numFmtId="0" fontId="84" fillId="0" borderId="78" applyNumberFormat="0" applyFill="0" applyAlignment="0" applyProtection="0"/>
    <xf numFmtId="0" fontId="85" fillId="42" borderId="0" applyNumberFormat="0" applyBorder="0" applyAlignment="0" applyProtection="0"/>
    <xf numFmtId="37" fontId="86" fillId="0" borderId="0"/>
    <xf numFmtId="215" fontId="53" fillId="0" borderId="0"/>
    <xf numFmtId="215" fontId="5" fillId="0" borderId="0"/>
    <xf numFmtId="215" fontId="5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" fillId="0" borderId="0"/>
    <xf numFmtId="0" fontId="60" fillId="28" borderId="79" applyNumberFormat="0" applyFont="0" applyAlignment="0" applyProtection="0"/>
    <xf numFmtId="0" fontId="60" fillId="28" borderId="79" applyNumberFormat="0" applyFont="0" applyAlignment="0" applyProtection="0"/>
    <xf numFmtId="0" fontId="87" fillId="37" borderId="80" applyNumberFormat="0" applyAlignment="0" applyProtection="0"/>
    <xf numFmtId="0" fontId="88" fillId="0" borderId="0" applyFont="0" applyFill="0" applyBorder="0" applyAlignment="0" applyProtection="0"/>
    <xf numFmtId="211" fontId="53" fillId="0" borderId="0" applyFont="0" applyFill="0" applyBorder="0" applyAlignment="0" applyProtection="0"/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10" fontId="60" fillId="0" borderId="0" applyFont="0" applyFill="0" applyBorder="0" applyAlignment="0" applyProtection="0"/>
    <xf numFmtId="211" fontId="53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210" fontId="54" fillId="0" borderId="0" applyFill="0" applyBorder="0" applyAlignment="0"/>
    <xf numFmtId="211" fontId="53" fillId="0" borderId="0" applyFill="0" applyBorder="0" applyAlignment="0"/>
    <xf numFmtId="211" fontId="5" fillId="0" borderId="0" applyFill="0" applyBorder="0" applyAlignment="0"/>
    <xf numFmtId="211" fontId="5" fillId="0" borderId="0" applyFill="0" applyBorder="0" applyAlignment="0"/>
    <xf numFmtId="212" fontId="55" fillId="0" borderId="0" applyFill="0" applyBorder="0" applyAlignment="0"/>
    <xf numFmtId="212" fontId="56" fillId="0" borderId="0" applyFill="0" applyBorder="0" applyAlignment="0"/>
    <xf numFmtId="212" fontId="56" fillId="0" borderId="0" applyFill="0" applyBorder="0" applyAlignment="0"/>
    <xf numFmtId="210" fontId="54" fillId="0" borderId="0" applyFill="0" applyBorder="0" applyAlignment="0"/>
    <xf numFmtId="1" fontId="60" fillId="0" borderId="2" applyNumberFormat="0" applyFill="0" applyAlignment="0" applyProtection="0">
      <alignment horizontal="center" vertical="center"/>
    </xf>
    <xf numFmtId="0" fontId="89" fillId="13" borderId="0"/>
    <xf numFmtId="0" fontId="90" fillId="0" borderId="0" applyNumberFormat="0" applyFill="0" applyBorder="0" applyAlignment="0" applyProtection="0"/>
    <xf numFmtId="49" fontId="72" fillId="0" borderId="0" applyFill="0" applyBorder="0" applyAlignment="0"/>
    <xf numFmtId="0" fontId="68" fillId="0" borderId="0" applyFill="0" applyBorder="0" applyAlignment="0"/>
    <xf numFmtId="0" fontId="68" fillId="0" borderId="0" applyFill="0" applyBorder="0" applyAlignment="0"/>
    <xf numFmtId="0" fontId="91" fillId="0" borderId="0" applyNumberFormat="0" applyFill="0" applyBorder="0" applyAlignment="0" applyProtection="0"/>
    <xf numFmtId="3" fontId="92" fillId="0" borderId="44">
      <alignment horizontal="center"/>
    </xf>
    <xf numFmtId="216" fontId="53" fillId="0" borderId="0" applyFont="0" applyFill="0" applyBorder="0" applyAlignment="0" applyProtection="0"/>
    <xf numFmtId="217" fontId="53" fillId="0" borderId="0" applyFont="0" applyFill="0" applyBorder="0" applyAlignment="0" applyProtection="0"/>
    <xf numFmtId="0" fontId="93" fillId="0" borderId="0" applyNumberFormat="0" applyFill="0" applyBorder="0" applyAlignment="0" applyProtection="0"/>
    <xf numFmtId="0" fontId="94" fillId="43" borderId="73" applyNumberFormat="0" applyAlignment="0" applyProtection="0"/>
    <xf numFmtId="0" fontId="94" fillId="43" borderId="73" applyNumberFormat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96" fontId="96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7" fillId="0" borderId="0" applyFont="0" applyFill="0" applyBorder="0" applyAlignment="0" applyProtection="0"/>
    <xf numFmtId="189" fontId="6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0" fillId="0" borderId="0" applyFont="0" applyFill="0" applyBorder="0" applyAlignment="0" applyProtection="0"/>
    <xf numFmtId="189" fontId="60" fillId="0" borderId="0" applyFont="0" applyFill="0" applyBorder="0" applyAlignment="0" applyProtection="0"/>
    <xf numFmtId="189" fontId="60" fillId="0" borderId="0" applyFont="0" applyFill="0" applyBorder="0" applyAlignment="0" applyProtection="0"/>
    <xf numFmtId="189" fontId="60" fillId="0" borderId="0" applyFont="0" applyFill="0" applyBorder="0" applyAlignment="0" applyProtection="0"/>
    <xf numFmtId="189" fontId="60" fillId="0" borderId="0" applyFont="0" applyFill="0" applyBorder="0" applyAlignment="0" applyProtection="0"/>
    <xf numFmtId="19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3" fillId="0" borderId="0" applyFont="0" applyFill="0" applyBorder="0" applyAlignment="0" applyProtection="0"/>
    <xf numFmtId="187" fontId="60" fillId="0" borderId="0" applyFill="0" applyBorder="0" applyAlignment="0" applyProtection="0"/>
    <xf numFmtId="43" fontId="5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18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87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60" fillId="0" borderId="0" applyFont="0" applyFill="0" applyBorder="0" applyAlignment="0" applyProtection="0"/>
    <xf numFmtId="218" fontId="5" fillId="0" borderId="0" applyFont="0" applyFill="0" applyBorder="0" applyAlignment="0" applyProtection="0"/>
    <xf numFmtId="189" fontId="60" fillId="0" borderId="0" applyFont="0" applyFill="0" applyBorder="0" applyAlignment="0" applyProtection="0"/>
    <xf numFmtId="43" fontId="51" fillId="0" borderId="0" applyFont="0" applyFill="0" applyBorder="0" applyAlignment="0" applyProtection="0"/>
    <xf numFmtId="189" fontId="60" fillId="0" borderId="0" applyFont="0" applyFill="0" applyBorder="0" applyAlignment="0" applyProtection="0"/>
    <xf numFmtId="203" fontId="60" fillId="0" borderId="0" applyFont="0" applyFill="0" applyBorder="0" applyAlignment="0" applyProtection="0"/>
    <xf numFmtId="189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9" fillId="44" borderId="74" applyNumberFormat="0" applyAlignment="0" applyProtection="0"/>
    <xf numFmtId="0" fontId="99" fillId="44" borderId="74" applyNumberFormat="0" applyAlignment="0" applyProtection="0"/>
    <xf numFmtId="0" fontId="95" fillId="0" borderId="81" applyNumberFormat="0" applyFill="0" applyAlignment="0" applyProtection="0"/>
    <xf numFmtId="0" fontId="95" fillId="0" borderId="81" applyNumberFormat="0" applyFill="0" applyAlignment="0" applyProtection="0"/>
    <xf numFmtId="0" fontId="100" fillId="18" borderId="0" applyNumberFormat="0" applyBorder="0" applyAlignment="0" applyProtection="0"/>
    <xf numFmtId="0" fontId="100" fillId="18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60" fillId="0" borderId="0"/>
    <xf numFmtId="0" fontId="53" fillId="0" borderId="0"/>
    <xf numFmtId="0" fontId="5" fillId="0" borderId="0"/>
    <xf numFmtId="0" fontId="60" fillId="0" borderId="0"/>
    <xf numFmtId="0" fontId="101" fillId="0" borderId="0"/>
    <xf numFmtId="0" fontId="53" fillId="0" borderId="0"/>
    <xf numFmtId="0" fontId="2" fillId="0" borderId="0"/>
    <xf numFmtId="0" fontId="60" fillId="0" borderId="0"/>
    <xf numFmtId="0" fontId="51" fillId="0" borderId="0"/>
    <xf numFmtId="0" fontId="3" fillId="0" borderId="0"/>
    <xf numFmtId="0" fontId="53" fillId="0" borderId="0"/>
    <xf numFmtId="0" fontId="97" fillId="0" borderId="0"/>
    <xf numFmtId="0" fontId="53" fillId="0" borderId="0"/>
    <xf numFmtId="0" fontId="60" fillId="0" borderId="0"/>
    <xf numFmtId="0" fontId="53" fillId="0" borderId="0"/>
    <xf numFmtId="0" fontId="2" fillId="0" borderId="0"/>
    <xf numFmtId="0" fontId="102" fillId="0" borderId="0"/>
    <xf numFmtId="0" fontId="2" fillId="0" borderId="0"/>
    <xf numFmtId="0" fontId="103" fillId="19" borderId="73" applyNumberFormat="0" applyAlignment="0" applyProtection="0"/>
    <xf numFmtId="0" fontId="103" fillId="19" borderId="73" applyNumberFormat="0" applyAlignment="0" applyProtection="0"/>
    <xf numFmtId="0" fontId="104" fillId="19" borderId="0" applyNumberFormat="0" applyBorder="0" applyAlignment="0" applyProtection="0"/>
    <xf numFmtId="0" fontId="104" fillId="19" borderId="0" applyNumberFormat="0" applyBorder="0" applyAlignment="0" applyProtection="0"/>
    <xf numFmtId="9" fontId="5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5" fillId="0" borderId="82" applyNumberFormat="0" applyFill="0" applyAlignment="0" applyProtection="0"/>
    <xf numFmtId="0" fontId="105" fillId="0" borderId="82" applyNumberFormat="0" applyFill="0" applyAlignment="0" applyProtection="0"/>
    <xf numFmtId="0" fontId="106" fillId="45" borderId="0" applyNumberFormat="0" applyBorder="0" applyAlignment="0" applyProtection="0"/>
    <xf numFmtId="0" fontId="106" fillId="45" borderId="0" applyNumberFormat="0" applyBorder="0" applyAlignment="0" applyProtection="0"/>
    <xf numFmtId="0" fontId="62" fillId="46" borderId="0" applyNumberFormat="0" applyBorder="0" applyAlignment="0" applyProtection="0"/>
    <xf numFmtId="0" fontId="62" fillId="46" borderId="0" applyNumberFormat="0" applyBorder="0" applyAlignment="0" applyProtection="0"/>
    <xf numFmtId="0" fontId="62" fillId="21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22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8" borderId="0" applyNumberFormat="0" applyBorder="0" applyAlignment="0" applyProtection="0"/>
    <xf numFmtId="0" fontId="62" fillId="48" borderId="0" applyNumberFormat="0" applyBorder="0" applyAlignment="0" applyProtection="0"/>
    <xf numFmtId="0" fontId="62" fillId="49" borderId="0" applyNumberFormat="0" applyBorder="0" applyAlignment="0" applyProtection="0"/>
    <xf numFmtId="0" fontId="62" fillId="49" borderId="0" applyNumberFormat="0" applyBorder="0" applyAlignment="0" applyProtection="0"/>
    <xf numFmtId="0" fontId="107" fillId="43" borderId="80" applyNumberFormat="0" applyAlignment="0" applyProtection="0"/>
    <xf numFmtId="0" fontId="107" fillId="43" borderId="80" applyNumberFormat="0" applyAlignment="0" applyProtection="0"/>
    <xf numFmtId="0" fontId="5" fillId="16" borderId="79" applyNumberFormat="0" applyFont="0" applyAlignment="0" applyProtection="0"/>
    <xf numFmtId="0" fontId="5" fillId="16" borderId="79" applyNumberFormat="0" applyFont="0" applyAlignment="0" applyProtection="0"/>
    <xf numFmtId="0" fontId="108" fillId="0" borderId="83" applyNumberFormat="0" applyFill="0" applyAlignment="0" applyProtection="0"/>
    <xf numFmtId="0" fontId="108" fillId="0" borderId="83" applyNumberFormat="0" applyFill="0" applyAlignment="0" applyProtection="0"/>
    <xf numFmtId="0" fontId="109" fillId="0" borderId="84" applyNumberFormat="0" applyFill="0" applyAlignment="0" applyProtection="0"/>
    <xf numFmtId="0" fontId="109" fillId="0" borderId="84" applyNumberFormat="0" applyFill="0" applyAlignment="0" applyProtection="0"/>
    <xf numFmtId="0" fontId="110" fillId="0" borderId="85" applyNumberFormat="0" applyFill="0" applyAlignment="0" applyProtection="0"/>
    <xf numFmtId="0" fontId="110" fillId="0" borderId="85" applyNumberFormat="0" applyFill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" fillId="0" borderId="0"/>
    <xf numFmtId="0" fontId="60" fillId="0" borderId="0"/>
    <xf numFmtId="43" fontId="3" fillId="0" borderId="0" applyFont="0" applyFill="0" applyBorder="0" applyAlignment="0" applyProtection="0"/>
  </cellStyleXfs>
  <cellXfs count="906">
    <xf numFmtId="0" fontId="0" fillId="0" borderId="0" xfId="0"/>
    <xf numFmtId="39" fontId="10" fillId="0" borderId="0" xfId="0" applyNumberFormat="1" applyFont="1" applyBorder="1" applyAlignment="1" applyProtection="1">
      <alignment horizontal="left"/>
    </xf>
    <xf numFmtId="39" fontId="10" fillId="0" borderId="0" xfId="0" applyNumberFormat="1" applyFont="1" applyBorder="1" applyProtection="1"/>
    <xf numFmtId="39" fontId="10" fillId="0" borderId="0" xfId="0" applyNumberFormat="1" applyFont="1" applyBorder="1" applyAlignment="1" applyProtection="1">
      <alignment horizontal="center"/>
    </xf>
    <xf numFmtId="39" fontId="10" fillId="0" borderId="0" xfId="0" applyNumberFormat="1" applyFont="1" applyAlignment="1" applyProtection="1">
      <alignment horizontal="left"/>
    </xf>
    <xf numFmtId="39" fontId="8" fillId="0" borderId="0" xfId="2" applyFont="1" applyFill="1"/>
    <xf numFmtId="39" fontId="8" fillId="0" borderId="7" xfId="2" applyFont="1" applyFill="1" applyBorder="1" applyAlignment="1">
      <alignment horizontal="center"/>
    </xf>
    <xf numFmtId="188" fontId="13" fillId="0" borderId="9" xfId="0" applyNumberFormat="1" applyFont="1" applyFill="1" applyBorder="1" applyAlignment="1">
      <alignment horizontal="center" vertical="center"/>
    </xf>
    <xf numFmtId="188" fontId="13" fillId="0" borderId="2" xfId="0" applyNumberFormat="1" applyFont="1" applyFill="1" applyBorder="1" applyAlignment="1">
      <alignment horizontal="center" vertical="center"/>
    </xf>
    <xf numFmtId="188" fontId="13" fillId="0" borderId="18" xfId="0" applyNumberFormat="1" applyFont="1" applyFill="1" applyBorder="1" applyAlignment="1">
      <alignment horizontal="center" vertical="center"/>
    </xf>
    <xf numFmtId="2" fontId="10" fillId="0" borderId="0" xfId="0" applyNumberFormat="1" applyFont="1" applyBorder="1" applyAlignment="1" applyProtection="1">
      <alignment horizontal="left"/>
    </xf>
    <xf numFmtId="39" fontId="10" fillId="0" borderId="0" xfId="0" applyNumberFormat="1" applyFont="1" applyProtection="1"/>
    <xf numFmtId="39" fontId="10" fillId="0" borderId="0" xfId="0" applyNumberFormat="1" applyFont="1" applyFill="1" applyProtection="1"/>
    <xf numFmtId="43" fontId="10" fillId="0" borderId="0" xfId="0" applyNumberFormat="1" applyFont="1" applyBorder="1" applyProtection="1"/>
    <xf numFmtId="0" fontId="10" fillId="0" borderId="0" xfId="0" applyFont="1" applyProtection="1"/>
    <xf numFmtId="37" fontId="10" fillId="0" borderId="0" xfId="0" applyNumberFormat="1" applyFont="1" applyFill="1" applyBorder="1" applyAlignment="1" applyProtection="1">
      <alignment horizontal="center"/>
    </xf>
    <xf numFmtId="37" fontId="10" fillId="2" borderId="0" xfId="0" applyNumberFormat="1" applyFont="1" applyFill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Protection="1"/>
    <xf numFmtId="187" fontId="10" fillId="0" borderId="0" xfId="0" applyNumberFormat="1" applyFont="1" applyAlignment="1" applyProtection="1">
      <alignment horizontal="center"/>
    </xf>
    <xf numFmtId="37" fontId="10" fillId="0" borderId="0" xfId="0" applyNumberFormat="1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7" fillId="0" borderId="0" xfId="0" applyFont="1" applyProtection="1"/>
    <xf numFmtId="0" fontId="12" fillId="0" borderId="0" xfId="0" applyFont="1" applyProtection="1"/>
    <xf numFmtId="0" fontId="17" fillId="0" borderId="0" xfId="0" applyFont="1" applyAlignment="1" applyProtection="1">
      <alignment horizontal="left"/>
    </xf>
    <xf numFmtId="187" fontId="17" fillId="0" borderId="17" xfId="0" applyNumberFormat="1" applyFont="1" applyBorder="1" applyAlignment="1" applyProtection="1"/>
    <xf numFmtId="0" fontId="10" fillId="0" borderId="0" xfId="0" applyFont="1" applyFill="1" applyProtection="1"/>
    <xf numFmtId="39" fontId="5" fillId="0" borderId="9" xfId="2" applyFont="1" applyFill="1" applyBorder="1" applyAlignment="1">
      <alignment horizontal="center"/>
    </xf>
    <xf numFmtId="39" fontId="5" fillId="0" borderId="18" xfId="2" applyFont="1" applyFill="1" applyBorder="1" applyAlignment="1">
      <alignment horizontal="center"/>
    </xf>
    <xf numFmtId="39" fontId="5" fillId="0" borderId="0" xfId="2" applyFont="1" applyFill="1"/>
    <xf numFmtId="0" fontId="5" fillId="0" borderId="0" xfId="0" applyFont="1" applyFill="1"/>
    <xf numFmtId="195" fontId="8" fillId="0" borderId="17" xfId="2" applyNumberFormat="1" applyFont="1" applyFill="1" applyBorder="1" applyAlignment="1">
      <alignment horizontal="center"/>
    </xf>
    <xf numFmtId="195" fontId="8" fillId="0" borderId="7" xfId="2" applyNumberFormat="1" applyFont="1" applyFill="1" applyBorder="1" applyAlignment="1">
      <alignment horizontal="center"/>
    </xf>
    <xf numFmtId="2" fontId="13" fillId="0" borderId="14" xfId="2" applyNumberFormat="1" applyFont="1" applyFill="1" applyBorder="1" applyAlignment="1" applyProtection="1">
      <alignment horizontal="center"/>
    </xf>
    <xf numFmtId="2" fontId="13" fillId="0" borderId="14" xfId="2" applyNumberFormat="1" applyFont="1" applyFill="1" applyBorder="1" applyAlignment="1">
      <alignment horizontal="center"/>
    </xf>
    <xf numFmtId="0" fontId="8" fillId="0" borderId="10" xfId="0" applyFont="1" applyFill="1" applyBorder="1"/>
    <xf numFmtId="195" fontId="16" fillId="0" borderId="1" xfId="2" applyNumberFormat="1" applyFont="1" applyFill="1" applyBorder="1" applyAlignment="1">
      <alignment horizontal="center"/>
    </xf>
    <xf numFmtId="195" fontId="16" fillId="0" borderId="2" xfId="2" applyNumberFormat="1" applyFont="1" applyFill="1" applyBorder="1" applyAlignment="1">
      <alignment horizontal="center"/>
    </xf>
    <xf numFmtId="195" fontId="16" fillId="0" borderId="24" xfId="2" applyNumberFormat="1" applyFont="1" applyFill="1" applyBorder="1" applyAlignment="1">
      <alignment horizontal="center"/>
    </xf>
    <xf numFmtId="39" fontId="10" fillId="0" borderId="0" xfId="0" applyNumberFormat="1" applyFont="1" applyFill="1" applyAlignment="1" applyProtection="1">
      <alignment horizontal="left"/>
    </xf>
    <xf numFmtId="37" fontId="11" fillId="0" borderId="0" xfId="0" applyNumberFormat="1" applyFont="1" applyAlignment="1" applyProtection="1">
      <alignment horizontal="left"/>
    </xf>
    <xf numFmtId="0" fontId="23" fillId="0" borderId="0" xfId="0" applyFont="1" applyProtection="1"/>
    <xf numFmtId="192" fontId="25" fillId="0" borderId="9" xfId="0" applyNumberFormat="1" applyFont="1" applyFill="1" applyBorder="1" applyAlignment="1">
      <alignment horizontal="center"/>
    </xf>
    <xf numFmtId="188" fontId="25" fillId="0" borderId="19" xfId="0" applyNumberFormat="1" applyFont="1" applyFill="1" applyBorder="1" applyAlignment="1">
      <alignment horizontal="center"/>
    </xf>
    <xf numFmtId="188" fontId="25" fillId="0" borderId="24" xfId="0" applyNumberFormat="1" applyFont="1" applyFill="1" applyBorder="1" applyAlignment="1">
      <alignment horizontal="center"/>
    </xf>
    <xf numFmtId="192" fontId="25" fillId="0" borderId="2" xfId="0" applyNumberFormat="1" applyFont="1" applyFill="1" applyBorder="1" applyAlignment="1">
      <alignment horizontal="center"/>
    </xf>
    <xf numFmtId="192" fontId="25" fillId="0" borderId="18" xfId="0" applyNumberFormat="1" applyFont="1" applyFill="1" applyBorder="1" applyAlignment="1">
      <alignment horizontal="center"/>
    </xf>
    <xf numFmtId="188" fontId="25" fillId="0" borderId="23" xfId="0" applyNumberFormat="1" applyFont="1" applyFill="1" applyBorder="1" applyAlignment="1">
      <alignment horizontal="center"/>
    </xf>
    <xf numFmtId="198" fontId="10" fillId="0" borderId="0" xfId="0" applyNumberFormat="1" applyFont="1" applyProtection="1"/>
    <xf numFmtId="0" fontId="23" fillId="0" borderId="0" xfId="0" applyFont="1" applyFill="1" applyProtection="1"/>
    <xf numFmtId="0" fontId="24" fillId="0" borderId="0" xfId="0" applyFont="1" applyBorder="1" applyProtection="1"/>
    <xf numFmtId="39" fontId="5" fillId="0" borderId="62" xfId="2" applyNumberFormat="1" applyFont="1" applyFill="1" applyBorder="1" applyAlignment="1" applyProtection="1">
      <alignment horizontal="right"/>
    </xf>
    <xf numFmtId="187" fontId="28" fillId="0" borderId="2" xfId="2" applyNumberFormat="1" applyFont="1" applyFill="1" applyBorder="1" applyAlignment="1"/>
    <xf numFmtId="0" fontId="28" fillId="0" borderId="2" xfId="0" applyFont="1" applyFill="1" applyBorder="1" applyAlignment="1"/>
    <xf numFmtId="2" fontId="28" fillId="0" borderId="2" xfId="2" applyNumberFormat="1" applyFont="1" applyFill="1" applyBorder="1" applyAlignment="1"/>
    <xf numFmtId="39" fontId="10" fillId="0" borderId="0" xfId="0" applyNumberFormat="1" applyFont="1" applyFill="1" applyProtection="1">
      <protection locked="0"/>
    </xf>
    <xf numFmtId="1" fontId="10" fillId="0" borderId="0" xfId="0" applyNumberFormat="1" applyFont="1" applyFill="1" applyAlignment="1" applyProtection="1">
      <alignment horizontal="center"/>
      <protection locked="0"/>
    </xf>
    <xf numFmtId="1" fontId="10" fillId="0" borderId="0" xfId="0" applyNumberFormat="1" applyFont="1" applyFill="1" applyAlignment="1" applyProtection="1">
      <alignment horizontal="left"/>
      <protection locked="0"/>
    </xf>
    <xf numFmtId="37" fontId="10" fillId="0" borderId="0" xfId="0" applyNumberFormat="1" applyFont="1" applyFill="1" applyAlignment="1" applyProtection="1">
      <alignment horizontal="left"/>
    </xf>
    <xf numFmtId="187" fontId="10" fillId="0" borderId="0" xfId="0" applyNumberFormat="1" applyFont="1" applyAlignment="1" applyProtection="1"/>
    <xf numFmtId="37" fontId="10" fillId="7" borderId="0" xfId="0" applyNumberFormat="1" applyFont="1" applyFill="1" applyBorder="1" applyAlignment="1" applyProtection="1">
      <alignment horizontal="center"/>
      <protection locked="0"/>
    </xf>
    <xf numFmtId="189" fontId="17" fillId="8" borderId="0" xfId="0" applyNumberFormat="1" applyFont="1" applyFill="1" applyAlignment="1" applyProtection="1">
      <alignment horizontal="center"/>
    </xf>
    <xf numFmtId="39" fontId="5" fillId="0" borderId="19" xfId="2" applyFont="1" applyFill="1" applyBorder="1" applyAlignment="1">
      <alignment horizontal="center"/>
    </xf>
    <xf numFmtId="39" fontId="5" fillId="0" borderId="23" xfId="2" applyFont="1" applyFill="1" applyBorder="1" applyAlignment="1">
      <alignment horizontal="center"/>
    </xf>
    <xf numFmtId="37" fontId="10" fillId="0" borderId="0" xfId="0" applyNumberFormat="1" applyFont="1" applyFill="1" applyBorder="1" applyAlignment="1" applyProtection="1">
      <alignment horizontal="center"/>
      <protection locked="0"/>
    </xf>
    <xf numFmtId="39" fontId="10" fillId="0" borderId="0" xfId="0" applyNumberFormat="1" applyFont="1" applyFill="1" applyBorder="1" applyAlignment="1" applyProtection="1">
      <alignment horizontal="left"/>
    </xf>
    <xf numFmtId="0" fontId="11" fillId="0" borderId="0" xfId="0" applyFont="1" applyFill="1" applyProtection="1"/>
    <xf numFmtId="39" fontId="10" fillId="0" borderId="0" xfId="0" applyNumberFormat="1" applyFont="1" applyAlignment="1" applyProtection="1">
      <alignment horizontal="center"/>
    </xf>
    <xf numFmtId="0" fontId="23" fillId="0" borderId="0" xfId="0" applyFont="1" applyBorder="1" applyProtection="1"/>
    <xf numFmtId="4" fontId="29" fillId="0" borderId="0" xfId="0" applyNumberFormat="1" applyFont="1" applyFill="1" applyBorder="1" applyProtection="1"/>
    <xf numFmtId="0" fontId="3" fillId="0" borderId="25" xfId="0" applyFont="1" applyBorder="1"/>
    <xf numFmtId="0" fontId="3" fillId="0" borderId="30" xfId="0" applyFont="1" applyBorder="1" applyAlignment="1"/>
    <xf numFmtId="0" fontId="3" fillId="0" borderId="11" xfId="0" applyFont="1" applyBorder="1"/>
    <xf numFmtId="0" fontId="3" fillId="0" borderId="30" xfId="0" applyFont="1" applyBorder="1" applyAlignment="1">
      <alignment horizontal="center"/>
    </xf>
    <xf numFmtId="2" fontId="3" fillId="11" borderId="30" xfId="0" applyNumberFormat="1" applyFont="1" applyFill="1" applyBorder="1" applyAlignment="1">
      <alignment horizontal="center"/>
    </xf>
    <xf numFmtId="2" fontId="3" fillId="0" borderId="30" xfId="0" applyNumberFormat="1" applyFont="1" applyBorder="1" applyAlignment="1">
      <alignment horizontal="center"/>
    </xf>
    <xf numFmtId="0" fontId="3" fillId="0" borderId="0" xfId="0" applyFont="1"/>
    <xf numFmtId="202" fontId="3" fillId="0" borderId="27" xfId="0" applyNumberFormat="1" applyFont="1" applyFill="1" applyBorder="1" applyAlignment="1"/>
    <xf numFmtId="202" fontId="3" fillId="0" borderId="0" xfId="0" applyNumberFormat="1" applyFont="1" applyFill="1" applyBorder="1" applyAlignment="1">
      <alignment horizontal="center"/>
    </xf>
    <xf numFmtId="0" fontId="3" fillId="0" borderId="0" xfId="0" applyFont="1" applyBorder="1"/>
    <xf numFmtId="200" fontId="3" fillId="12" borderId="0" xfId="1" applyNumberFormat="1" applyFont="1" applyFill="1" applyBorder="1"/>
    <xf numFmtId="43" fontId="30" fillId="0" borderId="0" xfId="4" applyNumberFormat="1" applyFont="1" applyFill="1" applyBorder="1" applyAlignment="1">
      <alignment horizontal="center" vertical="center"/>
    </xf>
    <xf numFmtId="0" fontId="31" fillId="0" borderId="17" xfId="4" applyNumberFormat="1" applyFont="1" applyFill="1" applyBorder="1" applyAlignment="1">
      <alignment horizontal="center" vertical="center"/>
    </xf>
    <xf numFmtId="187" fontId="17" fillId="0" borderId="0" xfId="0" applyNumberFormat="1" applyFont="1" applyBorder="1" applyAlignment="1" applyProtection="1"/>
    <xf numFmtId="2" fontId="3" fillId="0" borderId="0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7" xfId="0" applyFont="1" applyBorder="1"/>
    <xf numFmtId="0" fontId="3" fillId="0" borderId="17" xfId="0" applyFont="1" applyBorder="1"/>
    <xf numFmtId="0" fontId="3" fillId="0" borderId="30" xfId="0" applyFont="1" applyBorder="1"/>
    <xf numFmtId="0" fontId="17" fillId="0" borderId="30" xfId="0" applyFont="1" applyBorder="1"/>
    <xf numFmtId="0" fontId="3" fillId="0" borderId="2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02" fontId="3" fillId="8" borderId="27" xfId="0" applyNumberFormat="1" applyFont="1" applyFill="1" applyBorder="1" applyAlignment="1">
      <alignment horizontal="center"/>
    </xf>
    <xf numFmtId="202" fontId="3" fillId="8" borderId="0" xfId="0" applyNumberFormat="1" applyFont="1" applyFill="1" applyBorder="1" applyAlignment="1">
      <alignment horizontal="center"/>
    </xf>
    <xf numFmtId="187" fontId="17" fillId="8" borderId="0" xfId="0" applyNumberFormat="1" applyFont="1" applyFill="1" applyBorder="1" applyAlignment="1" applyProtection="1"/>
    <xf numFmtId="0" fontId="33" fillId="0" borderId="0" xfId="0" applyFont="1" applyBorder="1" applyAlignment="1">
      <alignment horizontal="center"/>
    </xf>
    <xf numFmtId="0" fontId="3" fillId="8" borderId="26" xfId="0" applyFont="1" applyFill="1" applyBorder="1" applyAlignment="1">
      <alignment horizontal="center"/>
    </xf>
    <xf numFmtId="0" fontId="32" fillId="8" borderId="29" xfId="0" applyFont="1" applyFill="1" applyBorder="1" applyAlignment="1">
      <alignment horizontal="center"/>
    </xf>
    <xf numFmtId="187" fontId="12" fillId="8" borderId="29" xfId="0" applyNumberFormat="1" applyFont="1" applyFill="1" applyBorder="1" applyAlignment="1" applyProtection="1"/>
    <xf numFmtId="187" fontId="34" fillId="8" borderId="29" xfId="0" applyNumberFormat="1" applyFont="1" applyFill="1" applyBorder="1" applyAlignment="1" applyProtection="1"/>
    <xf numFmtId="187" fontId="12" fillId="0" borderId="29" xfId="0" applyNumberFormat="1" applyFont="1" applyBorder="1" applyAlignment="1" applyProtection="1"/>
    <xf numFmtId="187" fontId="12" fillId="0" borderId="14" xfId="0" applyNumberFormat="1" applyFont="1" applyBorder="1" applyAlignment="1" applyProtection="1"/>
    <xf numFmtId="0" fontId="3" fillId="0" borderId="29" xfId="0" applyFont="1" applyBorder="1"/>
    <xf numFmtId="0" fontId="3" fillId="8" borderId="27" xfId="0" applyFont="1" applyFill="1" applyBorder="1" applyAlignment="1">
      <alignment horizontal="center"/>
    </xf>
    <xf numFmtId="0" fontId="32" fillId="8" borderId="0" xfId="0" applyFont="1" applyFill="1" applyBorder="1" applyAlignment="1">
      <alignment horizontal="center"/>
    </xf>
    <xf numFmtId="187" fontId="12" fillId="8" borderId="0" xfId="0" applyNumberFormat="1" applyFont="1" applyFill="1" applyBorder="1" applyAlignment="1" applyProtection="1"/>
    <xf numFmtId="187" fontId="34" fillId="8" borderId="0" xfId="0" applyNumberFormat="1" applyFont="1" applyFill="1" applyBorder="1" applyAlignment="1" applyProtection="1"/>
    <xf numFmtId="187" fontId="12" fillId="0" borderId="13" xfId="0" applyNumberFormat="1" applyFont="1" applyBorder="1" applyAlignment="1" applyProtection="1">
      <alignment horizontal="left" vertical="center"/>
    </xf>
    <xf numFmtId="187" fontId="12" fillId="0" borderId="28" xfId="0" applyNumberFormat="1" applyFont="1" applyBorder="1" applyAlignment="1" applyProtection="1">
      <alignment vertical="center"/>
    </xf>
    <xf numFmtId="187" fontId="12" fillId="0" borderId="12" xfId="0" applyNumberFormat="1" applyFont="1" applyBorder="1" applyAlignment="1" applyProtection="1">
      <alignment vertical="center"/>
    </xf>
    <xf numFmtId="0" fontId="3" fillId="8" borderId="30" xfId="0" applyFont="1" applyFill="1" applyBorder="1" applyAlignment="1">
      <alignment horizontal="center"/>
    </xf>
    <xf numFmtId="2" fontId="3" fillId="8" borderId="30" xfId="0" applyNumberFormat="1" applyFont="1" applyFill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30" xfId="0" applyNumberFormat="1" applyFont="1" applyBorder="1"/>
    <xf numFmtId="0" fontId="3" fillId="8" borderId="0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/>
    </xf>
    <xf numFmtId="187" fontId="12" fillId="0" borderId="29" xfId="0" applyNumberFormat="1" applyFont="1" applyFill="1" applyBorder="1" applyAlignment="1" applyProtection="1"/>
    <xf numFmtId="187" fontId="35" fillId="0" borderId="29" xfId="0" applyNumberFormat="1" applyFont="1" applyFill="1" applyBorder="1" applyAlignment="1" applyProtection="1"/>
    <xf numFmtId="0" fontId="3" fillId="0" borderId="14" xfId="0" applyFont="1" applyBorder="1"/>
    <xf numFmtId="0" fontId="3" fillId="0" borderId="12" xfId="0" applyFont="1" applyBorder="1" applyAlignment="1"/>
    <xf numFmtId="0" fontId="3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11" fillId="0" borderId="0" xfId="0" applyFont="1" applyProtection="1"/>
    <xf numFmtId="0" fontId="36" fillId="4" borderId="0" xfId="0" applyFont="1" applyFill="1" applyProtection="1"/>
    <xf numFmtId="0" fontId="37" fillId="6" borderId="0" xfId="0" applyFont="1" applyFill="1" applyAlignment="1" applyProtection="1">
      <alignment horizontal="center"/>
    </xf>
    <xf numFmtId="4" fontId="11" fillId="0" borderId="0" xfId="3" applyFont="1" applyAlignment="1" applyProtection="1">
      <alignment horizontal="centerContinuous"/>
    </xf>
    <xf numFmtId="4" fontId="10" fillId="0" borderId="0" xfId="3" applyFont="1" applyProtection="1"/>
    <xf numFmtId="0" fontId="38" fillId="5" borderId="0" xfId="0" applyFont="1" applyFill="1" applyBorder="1" applyProtection="1"/>
    <xf numFmtId="0" fontId="36" fillId="5" borderId="0" xfId="0" applyFont="1" applyFill="1" applyBorder="1" applyProtection="1"/>
    <xf numFmtId="0" fontId="36" fillId="5" borderId="0" xfId="0" applyFont="1" applyFill="1" applyBorder="1" applyAlignment="1" applyProtection="1">
      <alignment horizontal="center"/>
    </xf>
    <xf numFmtId="0" fontId="36" fillId="0" borderId="0" xfId="0" applyFont="1" applyFill="1" applyBorder="1" applyProtection="1"/>
    <xf numFmtId="43" fontId="10" fillId="3" borderId="0" xfId="1" applyFont="1" applyFill="1" applyAlignment="1">
      <alignment horizontal="left"/>
    </xf>
    <xf numFmtId="0" fontId="10" fillId="3" borderId="0" xfId="0" applyFont="1" applyFill="1" applyAlignment="1" applyProtection="1">
      <alignment horizontal="center"/>
      <protection locked="0"/>
    </xf>
    <xf numFmtId="4" fontId="10" fillId="0" borderId="0" xfId="3" applyFont="1" applyFill="1" applyProtection="1"/>
    <xf numFmtId="0" fontId="10" fillId="3" borderId="0" xfId="0" applyFont="1" applyFill="1" applyProtection="1">
      <protection locked="0"/>
    </xf>
    <xf numFmtId="0" fontId="10" fillId="8" borderId="0" xfId="0" applyFont="1" applyFill="1" applyAlignment="1" applyProtection="1">
      <alignment horizontal="center"/>
    </xf>
    <xf numFmtId="39" fontId="6" fillId="0" borderId="0" xfId="2" applyFont="1" applyAlignment="1" applyProtection="1">
      <alignment horizontal="left"/>
    </xf>
    <xf numFmtId="189" fontId="10" fillId="0" borderId="0" xfId="0" applyNumberFormat="1" applyFont="1" applyFill="1" applyBorder="1" applyAlignment="1" applyProtection="1">
      <alignment horizontal="center"/>
      <protection locked="0"/>
    </xf>
    <xf numFmtId="189" fontId="10" fillId="0" borderId="0" xfId="2" applyNumberFormat="1" applyFont="1" applyAlignment="1" applyProtection="1">
      <alignment horizontal="left"/>
    </xf>
    <xf numFmtId="189" fontId="10" fillId="0" borderId="0" xfId="2" applyNumberFormat="1" applyFont="1" applyAlignment="1" applyProtection="1">
      <alignment horizontal="center"/>
    </xf>
    <xf numFmtId="0" fontId="10" fillId="3" borderId="0" xfId="0" applyFont="1" applyFill="1" applyAlignment="1" applyProtection="1">
      <protection locked="0"/>
    </xf>
    <xf numFmtId="189" fontId="10" fillId="8" borderId="0" xfId="0" applyNumberFormat="1" applyFont="1" applyFill="1" applyAlignment="1" applyProtection="1">
      <protection locked="0"/>
    </xf>
    <xf numFmtId="189" fontId="10" fillId="9" borderId="0" xfId="0" applyNumberFormat="1" applyFont="1" applyFill="1" applyProtection="1"/>
    <xf numFmtId="0" fontId="10" fillId="0" borderId="0" xfId="0" applyFont="1" applyAlignment="1" applyProtection="1">
      <alignment horizontal="left"/>
    </xf>
    <xf numFmtId="0" fontId="40" fillId="0" borderId="0" xfId="0" applyFont="1" applyProtection="1"/>
    <xf numFmtId="0" fontId="41" fillId="3" borderId="0" xfId="0" applyFont="1" applyFill="1" applyProtection="1">
      <protection locked="0"/>
    </xf>
    <xf numFmtId="43" fontId="10" fillId="3" borderId="0" xfId="1" applyFont="1" applyFill="1" applyAlignment="1">
      <alignment horizontal="center"/>
    </xf>
    <xf numFmtId="39" fontId="10" fillId="7" borderId="0" xfId="0" applyNumberFormat="1" applyFont="1" applyFill="1" applyAlignment="1" applyProtection="1">
      <alignment horizontal="center"/>
      <protection locked="0"/>
    </xf>
    <xf numFmtId="43" fontId="10" fillId="3" borderId="0" xfId="0" applyNumberFormat="1" applyFont="1" applyFill="1" applyAlignment="1" applyProtection="1">
      <alignment horizontal="right"/>
      <protection locked="0"/>
    </xf>
    <xf numFmtId="0" fontId="10" fillId="0" borderId="0" xfId="0" applyFont="1" applyFill="1" applyAlignment="1" applyProtection="1">
      <alignment horizontal="left"/>
    </xf>
    <xf numFmtId="0" fontId="42" fillId="0" borderId="0" xfId="0" applyFont="1" applyProtection="1"/>
    <xf numFmtId="0" fontId="42" fillId="0" borderId="0" xfId="0" applyFont="1" applyFill="1" applyBorder="1" applyAlignment="1" applyProtection="1">
      <alignment horizontal="center"/>
    </xf>
    <xf numFmtId="0" fontId="42" fillId="0" borderId="0" xfId="0" applyFont="1" applyFill="1" applyProtection="1"/>
    <xf numFmtId="1" fontId="10" fillId="0" borderId="0" xfId="0" applyNumberFormat="1" applyFont="1" applyFill="1" applyProtection="1"/>
    <xf numFmtId="4" fontId="42" fillId="0" borderId="0" xfId="0" applyNumberFormat="1" applyFont="1" applyFill="1" applyProtection="1"/>
    <xf numFmtId="0" fontId="42" fillId="0" borderId="0" xfId="0" applyFont="1" applyFill="1" applyAlignment="1" applyProtection="1">
      <alignment horizontal="left"/>
    </xf>
    <xf numFmtId="4" fontId="40" fillId="0" borderId="0" xfId="0" applyNumberFormat="1" applyFont="1" applyFill="1" applyProtection="1"/>
    <xf numFmtId="39" fontId="24" fillId="0" borderId="0" xfId="0" applyNumberFormat="1" applyFont="1" applyAlignment="1" applyProtection="1">
      <alignment horizontal="left"/>
    </xf>
    <xf numFmtId="0" fontId="42" fillId="0" borderId="0" xfId="0" applyFont="1" applyAlignment="1" applyProtection="1">
      <alignment horizontal="left"/>
    </xf>
    <xf numFmtId="3" fontId="40" fillId="0" borderId="0" xfId="0" applyNumberFormat="1" applyFont="1" applyProtection="1"/>
    <xf numFmtId="0" fontId="42" fillId="0" borderId="0" xfId="0" applyFont="1" applyBorder="1" applyProtection="1"/>
    <xf numFmtId="4" fontId="40" fillId="0" borderId="0" xfId="0" applyNumberFormat="1" applyFont="1" applyProtection="1"/>
    <xf numFmtId="0" fontId="10" fillId="3" borderId="0" xfId="0" applyFont="1" applyFill="1" applyAlignment="1" applyProtection="1">
      <alignment horizontal="center"/>
    </xf>
    <xf numFmtId="2" fontId="10" fillId="0" borderId="0" xfId="0" quotePrefix="1" applyNumberFormat="1" applyFont="1" applyProtection="1"/>
    <xf numFmtId="0" fontId="42" fillId="10" borderId="0" xfId="0" applyFont="1" applyFill="1" applyProtection="1"/>
    <xf numFmtId="0" fontId="43" fillId="0" borderId="0" xfId="0" applyFont="1" applyProtection="1"/>
    <xf numFmtId="0" fontId="10" fillId="0" borderId="0" xfId="0" applyFont="1" applyAlignment="1" applyProtection="1">
      <alignment horizontal="right"/>
    </xf>
    <xf numFmtId="2" fontId="40" fillId="0" borderId="0" xfId="0" quotePrefix="1" applyNumberFormat="1" applyFont="1" applyProtection="1"/>
    <xf numFmtId="37" fontId="10" fillId="0" borderId="0" xfId="0" applyNumberFormat="1" applyFont="1" applyProtection="1"/>
    <xf numFmtId="2" fontId="10" fillId="3" borderId="0" xfId="0" applyNumberFormat="1" applyFont="1" applyFill="1" applyAlignment="1" applyProtection="1">
      <alignment horizontal="center"/>
      <protection locked="0"/>
    </xf>
    <xf numFmtId="4" fontId="10" fillId="0" borderId="0" xfId="0" applyNumberFormat="1" applyFont="1" applyProtection="1"/>
    <xf numFmtId="2" fontId="10" fillId="0" borderId="0" xfId="0" applyNumberFormat="1" applyFont="1" applyAlignment="1" applyProtection="1">
      <alignment horizontal="center" vertical="center"/>
    </xf>
    <xf numFmtId="2" fontId="10" fillId="0" borderId="0" xfId="0" applyNumberFormat="1" applyFont="1" applyAlignment="1" applyProtection="1">
      <alignment horizontal="center"/>
    </xf>
    <xf numFmtId="0" fontId="44" fillId="0" borderId="0" xfId="0" applyFont="1" applyProtection="1"/>
    <xf numFmtId="4" fontId="10" fillId="0" borderId="0" xfId="0" quotePrefix="1" applyNumberFormat="1" applyFont="1" applyProtection="1"/>
    <xf numFmtId="193" fontId="10" fillId="3" borderId="0" xfId="0" applyNumberFormat="1" applyFont="1" applyFill="1" applyAlignment="1" applyProtection="1">
      <alignment horizontal="center"/>
    </xf>
    <xf numFmtId="37" fontId="10" fillId="0" borderId="0" xfId="0" applyNumberFormat="1" applyFont="1" applyAlignment="1" applyProtection="1">
      <alignment horizontal="left"/>
    </xf>
    <xf numFmtId="2" fontId="10" fillId="0" borderId="0" xfId="0" applyNumberFormat="1" applyFont="1" applyBorder="1" applyAlignment="1">
      <alignment horizontal="center"/>
    </xf>
    <xf numFmtId="2" fontId="10" fillId="0" borderId="0" xfId="0" applyNumberFormat="1" applyFont="1" applyFill="1" applyProtection="1"/>
    <xf numFmtId="2" fontId="10" fillId="0" borderId="0" xfId="0" applyNumberFormat="1" applyFont="1" applyProtection="1"/>
    <xf numFmtId="3" fontId="10" fillId="0" borderId="0" xfId="0" applyNumberFormat="1" applyFont="1" applyProtection="1"/>
    <xf numFmtId="0" fontId="45" fillId="0" borderId="0" xfId="0" applyFont="1" applyProtection="1"/>
    <xf numFmtId="37" fontId="45" fillId="0" borderId="0" xfId="0" applyNumberFormat="1" applyFont="1" applyProtection="1"/>
    <xf numFmtId="187" fontId="10" fillId="0" borderId="0" xfId="0" applyNumberFormat="1" applyFont="1" applyAlignment="1" applyProtection="1">
      <alignment horizontal="left"/>
    </xf>
    <xf numFmtId="187" fontId="46" fillId="0" borderId="0" xfId="0" applyNumberFormat="1" applyFont="1" applyFill="1" applyBorder="1" applyAlignment="1" applyProtection="1"/>
    <xf numFmtId="39" fontId="46" fillId="0" borderId="0" xfId="0" applyNumberFormat="1" applyFont="1" applyAlignment="1" applyProtection="1">
      <alignment horizontal="left"/>
    </xf>
    <xf numFmtId="4" fontId="40" fillId="0" borderId="0" xfId="0" quotePrefix="1" applyNumberFormat="1" applyFont="1" applyProtection="1"/>
    <xf numFmtId="41" fontId="10" fillId="0" borderId="0" xfId="0" applyNumberFormat="1" applyFont="1" applyProtection="1"/>
    <xf numFmtId="2" fontId="10" fillId="0" borderId="0" xfId="0" applyNumberFormat="1" applyFont="1" applyFill="1" applyAlignment="1" applyProtection="1">
      <alignment horizontal="center"/>
    </xf>
    <xf numFmtId="188" fontId="10" fillId="0" borderId="0" xfId="0" applyNumberFormat="1" applyFont="1" applyFill="1" applyProtection="1"/>
    <xf numFmtId="0" fontId="47" fillId="0" borderId="0" xfId="0" applyFont="1" applyProtection="1"/>
    <xf numFmtId="0" fontId="24" fillId="0" borderId="0" xfId="0" applyFont="1" applyProtection="1"/>
    <xf numFmtId="189" fontId="47" fillId="8" borderId="0" xfId="0" applyNumberFormat="1" applyFont="1" applyFill="1" applyAlignment="1" applyProtection="1">
      <alignment horizontal="center"/>
    </xf>
    <xf numFmtId="0" fontId="47" fillId="0" borderId="16" xfId="0" applyFont="1" applyBorder="1" applyAlignment="1" applyProtection="1">
      <alignment horizontal="center"/>
    </xf>
    <xf numFmtId="0" fontId="47" fillId="0" borderId="14" xfId="0" applyFont="1" applyBorder="1" applyProtection="1"/>
    <xf numFmtId="0" fontId="47" fillId="0" borderId="30" xfId="0" applyFont="1" applyBorder="1" applyProtection="1"/>
    <xf numFmtId="0" fontId="47" fillId="0" borderId="11" xfId="0" applyFont="1" applyBorder="1" applyProtection="1"/>
    <xf numFmtId="0" fontId="47" fillId="0" borderId="17" xfId="0" applyFont="1" applyBorder="1" applyProtection="1"/>
    <xf numFmtId="0" fontId="47" fillId="0" borderId="0" xfId="0" applyFont="1" applyBorder="1" applyProtection="1"/>
    <xf numFmtId="43" fontId="47" fillId="0" borderId="0" xfId="0" applyNumberFormat="1" applyFont="1" applyProtection="1"/>
    <xf numFmtId="0" fontId="47" fillId="0" borderId="27" xfId="0" applyFont="1" applyBorder="1" applyProtection="1"/>
    <xf numFmtId="0" fontId="10" fillId="0" borderId="17" xfId="0" applyFont="1" applyBorder="1" applyProtection="1"/>
    <xf numFmtId="0" fontId="47" fillId="0" borderId="26" xfId="0" applyFont="1" applyBorder="1" applyProtection="1"/>
    <xf numFmtId="0" fontId="47" fillId="0" borderId="27" xfId="0" applyFont="1" applyBorder="1" applyAlignment="1" applyProtection="1">
      <alignment horizontal="center"/>
    </xf>
    <xf numFmtId="0" fontId="47" fillId="0" borderId="0" xfId="0" applyFont="1" applyFill="1" applyProtection="1"/>
    <xf numFmtId="0" fontId="47" fillId="0" borderId="29" xfId="0" applyFont="1" applyBorder="1" applyProtection="1"/>
    <xf numFmtId="0" fontId="47" fillId="0" borderId="0" xfId="0" applyFont="1" applyFill="1" applyBorder="1" applyProtection="1"/>
    <xf numFmtId="4" fontId="47" fillId="0" borderId="0" xfId="3" applyFont="1" applyProtection="1"/>
    <xf numFmtId="4" fontId="47" fillId="0" borderId="0" xfId="3" applyFont="1" applyProtection="1">
      <protection locked="0"/>
    </xf>
    <xf numFmtId="0" fontId="47" fillId="0" borderId="0" xfId="0" applyFont="1" applyProtection="1">
      <protection locked="0"/>
    </xf>
    <xf numFmtId="4" fontId="47" fillId="0" borderId="0" xfId="0" applyNumberFormat="1" applyFont="1" applyFill="1" applyProtection="1"/>
    <xf numFmtId="3" fontId="47" fillId="0" borderId="0" xfId="0" applyNumberFormat="1" applyFont="1" applyProtection="1"/>
    <xf numFmtId="3" fontId="47" fillId="0" borderId="0" xfId="0" applyNumberFormat="1" applyFont="1" applyAlignment="1" applyProtection="1">
      <alignment horizontal="center"/>
    </xf>
    <xf numFmtId="0" fontId="47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right"/>
    </xf>
    <xf numFmtId="0" fontId="47" fillId="0" borderId="0" xfId="0" applyFont="1" applyFill="1" applyAlignment="1" applyProtection="1">
      <alignment horizontal="left"/>
    </xf>
    <xf numFmtId="191" fontId="47" fillId="0" borderId="0" xfId="0" applyNumberFormat="1" applyFont="1" applyFill="1" applyAlignment="1" applyProtection="1">
      <alignment horizontal="center"/>
    </xf>
    <xf numFmtId="3" fontId="47" fillId="0" borderId="0" xfId="0" applyNumberFormat="1" applyFont="1" applyFill="1" applyProtection="1"/>
    <xf numFmtId="189" fontId="47" fillId="0" borderId="0" xfId="0" applyNumberFormat="1" applyFont="1" applyFill="1" applyAlignment="1" applyProtection="1">
      <alignment horizontal="center"/>
    </xf>
    <xf numFmtId="0" fontId="24" fillId="0" borderId="0" xfId="0" applyFont="1" applyFill="1" applyProtection="1"/>
    <xf numFmtId="2" fontId="47" fillId="0" borderId="0" xfId="0" applyNumberFormat="1" applyFont="1" applyFill="1" applyAlignment="1" applyProtection="1">
      <alignment horizontal="center"/>
    </xf>
    <xf numFmtId="191" fontId="47" fillId="0" borderId="0" xfId="0" applyNumberFormat="1" applyFont="1" applyFill="1" applyBorder="1" applyAlignment="1" applyProtection="1">
      <alignment horizontal="center"/>
    </xf>
    <xf numFmtId="3" fontId="47" fillId="0" borderId="0" xfId="0" applyNumberFormat="1" applyFont="1" applyFill="1" applyBorder="1" applyProtection="1"/>
    <xf numFmtId="202" fontId="47" fillId="0" borderId="0" xfId="0" applyNumberFormat="1" applyFont="1" applyFill="1" applyAlignment="1" applyProtection="1">
      <alignment horizontal="center"/>
    </xf>
    <xf numFmtId="0" fontId="47" fillId="0" borderId="0" xfId="0" applyFont="1" applyFill="1" applyBorder="1" applyAlignment="1" applyProtection="1">
      <alignment horizontal="center"/>
    </xf>
    <xf numFmtId="197" fontId="47" fillId="0" borderId="0" xfId="0" applyNumberFormat="1" applyFont="1" applyFill="1" applyProtection="1"/>
    <xf numFmtId="3" fontId="47" fillId="0" borderId="0" xfId="0" applyNumberFormat="1" applyFont="1" applyFill="1" applyBorder="1" applyAlignment="1" applyProtection="1">
      <alignment horizontal="left"/>
    </xf>
    <xf numFmtId="0" fontId="47" fillId="0" borderId="0" xfId="0" applyFont="1" applyFill="1" applyBorder="1" applyAlignment="1" applyProtection="1">
      <alignment horizontal="left"/>
    </xf>
    <xf numFmtId="3" fontId="47" fillId="0" borderId="27" xfId="0" applyNumberFormat="1" applyFont="1" applyBorder="1" applyProtection="1"/>
    <xf numFmtId="196" fontId="47" fillId="0" borderId="17" xfId="0" applyNumberFormat="1" applyFont="1" applyFill="1" applyBorder="1" applyProtection="1"/>
    <xf numFmtId="39" fontId="47" fillId="0" borderId="0" xfId="0" applyNumberFormat="1" applyFont="1" applyFill="1" applyBorder="1" applyProtection="1"/>
    <xf numFmtId="3" fontId="10" fillId="0" borderId="26" xfId="0" applyNumberFormat="1" applyFont="1" applyBorder="1" applyProtection="1"/>
    <xf numFmtId="3" fontId="47" fillId="0" borderId="25" xfId="0" applyNumberFormat="1" applyFont="1" applyBorder="1" applyProtection="1"/>
    <xf numFmtId="0" fontId="24" fillId="0" borderId="26" xfId="0" applyFont="1" applyBorder="1" applyProtection="1"/>
    <xf numFmtId="0" fontId="24" fillId="0" borderId="29" xfId="0" applyFont="1" applyBorder="1" applyProtection="1"/>
    <xf numFmtId="3" fontId="47" fillId="0" borderId="29" xfId="0" applyNumberFormat="1" applyFont="1" applyBorder="1" applyAlignment="1" applyProtection="1">
      <alignment horizontal="center"/>
    </xf>
    <xf numFmtId="3" fontId="47" fillId="0" borderId="29" xfId="0" applyNumberFormat="1" applyFont="1" applyBorder="1" applyProtection="1"/>
    <xf numFmtId="4" fontId="47" fillId="0" borderId="0" xfId="0" applyNumberFormat="1" applyFont="1" applyAlignment="1" applyProtection="1">
      <alignment horizontal="center"/>
    </xf>
    <xf numFmtId="189" fontId="47" fillId="0" borderId="0" xfId="0" applyNumberFormat="1" applyFont="1" applyFill="1" applyAlignment="1" applyProtection="1">
      <alignment horizontal="left"/>
    </xf>
    <xf numFmtId="0" fontId="10" fillId="0" borderId="0" xfId="0" applyFont="1" applyProtection="1"/>
    <xf numFmtId="0" fontId="11" fillId="0" borderId="0" xfId="0" applyFont="1" applyProtection="1"/>
    <xf numFmtId="0" fontId="47" fillId="0" borderId="27" xfId="0" applyFont="1" applyBorder="1" applyAlignment="1" applyProtection="1">
      <alignment horizontal="center"/>
    </xf>
    <xf numFmtId="0" fontId="17" fillId="0" borderId="27" xfId="0" applyFont="1" applyBorder="1" applyAlignment="1" applyProtection="1">
      <alignment horizontal="left"/>
    </xf>
    <xf numFmtId="0" fontId="17" fillId="0" borderId="0" xfId="0" applyFont="1" applyBorder="1" applyProtection="1"/>
    <xf numFmtId="0" fontId="47" fillId="0" borderId="27" xfId="0" applyFont="1" applyBorder="1" applyAlignment="1" applyProtection="1"/>
    <xf numFmtId="0" fontId="47" fillId="0" borderId="26" xfId="0" applyFont="1" applyBorder="1" applyAlignment="1" applyProtection="1"/>
    <xf numFmtId="0" fontId="0" fillId="0" borderId="30" xfId="0" applyBorder="1" applyAlignment="1"/>
    <xf numFmtId="0" fontId="0" fillId="0" borderId="0" xfId="0" applyAlignment="1"/>
    <xf numFmtId="0" fontId="0" fillId="0" borderId="17" xfId="0" applyBorder="1" applyAlignment="1"/>
    <xf numFmtId="0" fontId="0" fillId="0" borderId="29" xfId="0" applyBorder="1" applyAlignment="1"/>
    <xf numFmtId="0" fontId="0" fillId="0" borderId="14" xfId="0" applyBorder="1" applyAlignment="1"/>
    <xf numFmtId="0" fontId="17" fillId="0" borderId="28" xfId="0" applyFont="1" applyBorder="1" applyAlignment="1" applyProtection="1">
      <alignment horizontal="center"/>
    </xf>
    <xf numFmtId="39" fontId="17" fillId="0" borderId="0" xfId="0" applyNumberFormat="1" applyFont="1" applyFill="1" applyBorder="1" applyProtection="1"/>
    <xf numFmtId="0" fontId="9" fillId="0" borderId="0" xfId="0" applyFont="1" applyBorder="1" applyProtection="1"/>
    <xf numFmtId="0" fontId="17" fillId="0" borderId="28" xfId="0" applyFont="1" applyBorder="1" applyAlignment="1" applyProtection="1"/>
    <xf numFmtId="0" fontId="0" fillId="0" borderId="2" xfId="0" applyBorder="1" applyAlignment="1"/>
    <xf numFmtId="0" fontId="0" fillId="0" borderId="15" xfId="0" applyBorder="1" applyAlignment="1"/>
    <xf numFmtId="188" fontId="24" fillId="0" borderId="11" xfId="0" applyNumberFormat="1" applyFont="1" applyBorder="1" applyAlignment="1"/>
    <xf numFmtId="188" fontId="24" fillId="0" borderId="17" xfId="0" applyNumberFormat="1" applyFont="1" applyBorder="1" applyAlignment="1"/>
    <xf numFmtId="0" fontId="17" fillId="0" borderId="0" xfId="0" applyFont="1" applyBorder="1" applyAlignment="1" applyProtection="1">
      <alignment horizontal="center"/>
    </xf>
    <xf numFmtId="3" fontId="17" fillId="0" borderId="0" xfId="0" applyNumberFormat="1" applyFont="1" applyBorder="1" applyAlignment="1" applyProtection="1">
      <alignment horizontal="center"/>
    </xf>
    <xf numFmtId="190" fontId="12" fillId="0" borderId="0" xfId="2" applyNumberFormat="1" applyFont="1" applyBorder="1" applyAlignment="1" applyProtection="1">
      <alignment horizontal="center"/>
    </xf>
    <xf numFmtId="43" fontId="17" fillId="0" borderId="0" xfId="1" applyFont="1" applyBorder="1" applyAlignment="1" applyProtection="1">
      <alignment horizontal="right"/>
    </xf>
    <xf numFmtId="3" fontId="17" fillId="0" borderId="0" xfId="0" applyNumberFormat="1" applyFont="1" applyBorder="1" applyProtection="1"/>
    <xf numFmtId="0" fontId="17" fillId="0" borderId="0" xfId="0" applyFont="1" applyBorder="1" applyAlignment="1" applyProtection="1">
      <alignment horizontal="left"/>
    </xf>
    <xf numFmtId="189" fontId="24" fillId="0" borderId="0" xfId="0" applyNumberFormat="1" applyFont="1" applyBorder="1" applyAlignment="1" applyProtection="1">
      <alignment horizontal="center"/>
    </xf>
    <xf numFmtId="43" fontId="17" fillId="0" borderId="0" xfId="1" applyFont="1" applyBorder="1" applyAlignment="1" applyProtection="1">
      <alignment horizontal="center"/>
    </xf>
    <xf numFmtId="196" fontId="17" fillId="0" borderId="0" xfId="0" applyNumberFormat="1" applyFont="1" applyFill="1" applyBorder="1" applyProtection="1"/>
    <xf numFmtId="3" fontId="9" fillId="0" borderId="0" xfId="0" applyNumberFormat="1" applyFont="1" applyBorder="1" applyProtection="1"/>
    <xf numFmtId="4" fontId="47" fillId="0" borderId="10" xfId="0" applyNumberFormat="1" applyFont="1" applyBorder="1" applyAlignment="1"/>
    <xf numFmtId="43" fontId="47" fillId="0" borderId="2" xfId="1" applyFont="1" applyBorder="1" applyAlignment="1"/>
    <xf numFmtId="0" fontId="10" fillId="0" borderId="0" xfId="0" applyFont="1" applyProtection="1"/>
    <xf numFmtId="0" fontId="11" fillId="0" borderId="0" xfId="0" applyFont="1" applyProtection="1"/>
    <xf numFmtId="4" fontId="47" fillId="0" borderId="0" xfId="3" applyFont="1" applyAlignment="1" applyProtection="1">
      <alignment horizontal="center"/>
    </xf>
    <xf numFmtId="4" fontId="47" fillId="0" borderId="0" xfId="3" applyFont="1" applyAlignment="1" applyProtection="1"/>
    <xf numFmtId="4" fontId="47" fillId="0" borderId="0" xfId="0" applyNumberFormat="1" applyFont="1" applyAlignment="1" applyProtection="1">
      <alignment horizontal="center"/>
    </xf>
    <xf numFmtId="43" fontId="9" fillId="3" borderId="0" xfId="1" applyFont="1" applyFill="1" applyAlignment="1">
      <alignment horizontal="center"/>
    </xf>
    <xf numFmtId="0" fontId="10" fillId="0" borderId="0" xfId="0" applyFont="1" applyFill="1" applyAlignment="1" applyProtection="1">
      <alignment horizontal="center"/>
    </xf>
    <xf numFmtId="189" fontId="10" fillId="0" borderId="0" xfId="0" applyNumberFormat="1" applyFont="1" applyFill="1" applyAlignment="1" applyProtection="1">
      <protection locked="0"/>
    </xf>
    <xf numFmtId="189" fontId="10" fillId="0" borderId="0" xfId="0" applyNumberFormat="1" applyFont="1" applyFill="1" applyAlignment="1" applyProtection="1">
      <alignment horizontal="center"/>
      <protection locked="0"/>
    </xf>
    <xf numFmtId="0" fontId="17" fillId="0" borderId="0" xfId="0" applyFont="1" applyAlignment="1" applyProtection="1"/>
    <xf numFmtId="0" fontId="10" fillId="3" borderId="0" xfId="0" applyFont="1" applyFill="1" applyAlignment="1" applyProtection="1">
      <alignment horizontal="left"/>
      <protection locked="0"/>
    </xf>
    <xf numFmtId="0" fontId="17" fillId="0" borderId="25" xfId="0" applyFont="1" applyBorder="1" applyProtection="1"/>
    <xf numFmtId="4" fontId="17" fillId="0" borderId="0" xfId="3" applyFont="1" applyProtection="1"/>
    <xf numFmtId="43" fontId="47" fillId="0" borderId="0" xfId="1" applyFont="1" applyProtection="1"/>
    <xf numFmtId="39" fontId="5" fillId="50" borderId="45" xfId="2" applyFont="1" applyFill="1" applyBorder="1"/>
    <xf numFmtId="39" fontId="5" fillId="50" borderId="36" xfId="2" applyFont="1" applyFill="1" applyBorder="1"/>
    <xf numFmtId="39" fontId="5" fillId="50" borderId="37" xfId="2" applyFont="1" applyFill="1" applyBorder="1"/>
    <xf numFmtId="39" fontId="5" fillId="50" borderId="56" xfId="2" applyFont="1" applyFill="1" applyBorder="1"/>
    <xf numFmtId="39" fontId="5" fillId="50" borderId="57" xfId="2" applyNumberFormat="1" applyFont="1" applyFill="1" applyBorder="1" applyAlignment="1" applyProtection="1">
      <alignment horizontal="right"/>
    </xf>
    <xf numFmtId="39" fontId="5" fillId="50" borderId="57" xfId="2" applyFont="1" applyFill="1" applyBorder="1"/>
    <xf numFmtId="39" fontId="5" fillId="50" borderId="39" xfId="2" applyFont="1" applyFill="1" applyBorder="1"/>
    <xf numFmtId="39" fontId="5" fillId="50" borderId="33" xfId="2" applyNumberFormat="1" applyFont="1" applyFill="1" applyBorder="1" applyAlignment="1" applyProtection="1">
      <alignment horizontal="right"/>
    </xf>
    <xf numFmtId="39" fontId="5" fillId="50" borderId="33" xfId="2" applyFont="1" applyFill="1" applyBorder="1"/>
    <xf numFmtId="39" fontId="5" fillId="50" borderId="41" xfId="2" applyFont="1" applyFill="1" applyBorder="1"/>
    <xf numFmtId="39" fontId="5" fillId="50" borderId="42" xfId="2" applyNumberFormat="1" applyFont="1" applyFill="1" applyBorder="1" applyAlignment="1" applyProtection="1">
      <alignment horizontal="right"/>
    </xf>
    <xf numFmtId="39" fontId="5" fillId="50" borderId="42" xfId="2" applyFont="1" applyFill="1" applyBorder="1"/>
    <xf numFmtId="39" fontId="5" fillId="50" borderId="1" xfId="2" applyFont="1" applyFill="1" applyBorder="1"/>
    <xf numFmtId="39" fontId="5" fillId="50" borderId="2" xfId="2" applyNumberFormat="1" applyFont="1" applyFill="1" applyBorder="1" applyAlignment="1" applyProtection="1">
      <alignment horizontal="right"/>
    </xf>
    <xf numFmtId="39" fontId="5" fillId="50" borderId="2" xfId="2" applyFont="1" applyFill="1" applyBorder="1"/>
    <xf numFmtId="39" fontId="5" fillId="50" borderId="38" xfId="2" applyFont="1" applyFill="1" applyBorder="1"/>
    <xf numFmtId="39" fontId="5" fillId="50" borderId="31" xfId="2" applyNumberFormat="1" applyFont="1" applyFill="1" applyBorder="1" applyAlignment="1" applyProtection="1">
      <alignment horizontal="right"/>
    </xf>
    <xf numFmtId="39" fontId="5" fillId="50" borderId="31" xfId="2" applyFont="1" applyFill="1" applyBorder="1"/>
    <xf numFmtId="39" fontId="5" fillId="50" borderId="52" xfId="2" applyFont="1" applyFill="1" applyBorder="1"/>
    <xf numFmtId="39" fontId="5" fillId="50" borderId="35" xfId="2" applyNumberFormat="1" applyFont="1" applyFill="1" applyBorder="1" applyAlignment="1" applyProtection="1">
      <alignment horizontal="right"/>
    </xf>
    <xf numFmtId="39" fontId="5" fillId="50" borderId="35" xfId="2" applyFont="1" applyFill="1" applyBorder="1"/>
    <xf numFmtId="39" fontId="5" fillId="50" borderId="45" xfId="2" applyNumberFormat="1" applyFont="1" applyFill="1" applyBorder="1"/>
    <xf numFmtId="39" fontId="5" fillId="50" borderId="37" xfId="2" applyNumberFormat="1" applyFont="1" applyFill="1" applyBorder="1"/>
    <xf numFmtId="39" fontId="5" fillId="50" borderId="9" xfId="2" applyFont="1" applyFill="1" applyBorder="1" applyAlignment="1">
      <alignment horizontal="center"/>
    </xf>
    <xf numFmtId="39" fontId="5" fillId="50" borderId="18" xfId="2" applyFont="1" applyFill="1" applyBorder="1" applyAlignment="1">
      <alignment horizontal="center"/>
    </xf>
    <xf numFmtId="2" fontId="13" fillId="50" borderId="14" xfId="2" applyNumberFormat="1" applyFont="1" applyFill="1" applyBorder="1" applyAlignment="1" applyProtection="1">
      <alignment horizontal="center"/>
    </xf>
    <xf numFmtId="2" fontId="13" fillId="50" borderId="14" xfId="2" applyNumberFormat="1" applyFont="1" applyFill="1" applyBorder="1" applyAlignment="1">
      <alignment horizontal="center"/>
    </xf>
    <xf numFmtId="39" fontId="8" fillId="50" borderId="2" xfId="2" applyNumberFormat="1" applyFont="1" applyFill="1" applyBorder="1" applyAlignment="1" applyProtection="1">
      <alignment horizontal="right"/>
    </xf>
    <xf numFmtId="0" fontId="8" fillId="50" borderId="10" xfId="0" applyFont="1" applyFill="1" applyBorder="1"/>
    <xf numFmtId="187" fontId="8" fillId="50" borderId="2" xfId="2" applyNumberFormat="1" applyFont="1" applyFill="1" applyBorder="1" applyAlignment="1" applyProtection="1"/>
    <xf numFmtId="187" fontId="8" fillId="50" borderId="2" xfId="2" applyNumberFormat="1" applyFont="1" applyFill="1" applyBorder="1" applyAlignment="1"/>
    <xf numFmtId="39" fontId="8" fillId="50" borderId="2" xfId="2" applyFont="1" applyFill="1" applyBorder="1" applyAlignment="1">
      <alignment horizontal="right"/>
    </xf>
    <xf numFmtId="0" fontId="8" fillId="50" borderId="2" xfId="0" applyFont="1" applyFill="1" applyBorder="1" applyAlignment="1"/>
    <xf numFmtId="2" fontId="8" fillId="50" borderId="2" xfId="2" applyNumberFormat="1" applyFont="1" applyFill="1" applyBorder="1" applyAlignment="1"/>
    <xf numFmtId="0" fontId="8" fillId="50" borderId="2" xfId="0" applyFont="1" applyFill="1" applyBorder="1" applyAlignment="1">
      <alignment horizontal="center"/>
    </xf>
    <xf numFmtId="0" fontId="8" fillId="50" borderId="2" xfId="0" applyFont="1" applyFill="1" applyBorder="1"/>
    <xf numFmtId="2" fontId="8" fillId="50" borderId="2" xfId="0" applyNumberFormat="1" applyFont="1" applyFill="1" applyBorder="1"/>
    <xf numFmtId="0" fontId="8" fillId="50" borderId="2" xfId="0" applyFont="1" applyFill="1" applyBorder="1" applyAlignment="1">
      <alignment horizontal="right"/>
    </xf>
    <xf numFmtId="0" fontId="8" fillId="50" borderId="15" xfId="0" applyFont="1" applyFill="1" applyBorder="1"/>
    <xf numFmtId="200" fontId="47" fillId="0" borderId="0" xfId="1" applyNumberFormat="1" applyFont="1" applyFill="1" applyProtection="1"/>
    <xf numFmtId="0" fontId="10" fillId="0" borderId="0" xfId="0" applyFont="1" applyProtection="1"/>
    <xf numFmtId="0" fontId="11" fillId="0" borderId="0" xfId="0" applyFont="1" applyProtection="1"/>
    <xf numFmtId="43" fontId="9" fillId="3" borderId="0" xfId="1" applyFont="1" applyFill="1" applyAlignment="1">
      <alignment horizontal="right"/>
    </xf>
    <xf numFmtId="2" fontId="10" fillId="0" borderId="0" xfId="0" applyNumberFormat="1" applyFont="1" applyAlignment="1" applyProtection="1">
      <alignment horizontal="left"/>
    </xf>
    <xf numFmtId="1" fontId="13" fillId="0" borderId="53" xfId="2" quotePrefix="1" applyNumberFormat="1" applyFont="1" applyFill="1" applyBorder="1" applyAlignment="1"/>
    <xf numFmtId="39" fontId="8" fillId="0" borderId="55" xfId="2" applyFont="1" applyFill="1" applyBorder="1" applyAlignment="1"/>
    <xf numFmtId="39" fontId="8" fillId="0" borderId="5" xfId="2" applyFont="1" applyFill="1" applyBorder="1" applyAlignment="1"/>
    <xf numFmtId="39" fontId="21" fillId="0" borderId="53" xfId="2" applyFont="1" applyFill="1" applyBorder="1" applyAlignment="1"/>
    <xf numFmtId="0" fontId="8" fillId="0" borderId="5" xfId="0" applyFont="1" applyFill="1" applyBorder="1"/>
    <xf numFmtId="0" fontId="8" fillId="0" borderId="0" xfId="0" applyFont="1" applyFill="1"/>
    <xf numFmtId="39" fontId="22" fillId="0" borderId="0" xfId="2" applyNumberFormat="1" applyFont="1" applyFill="1" applyAlignment="1" applyProtection="1">
      <alignment horizontal="left"/>
    </xf>
    <xf numFmtId="39" fontId="8" fillId="0" borderId="0" xfId="2" applyFont="1" applyFill="1" applyAlignment="1">
      <alignment horizontal="left"/>
    </xf>
    <xf numFmtId="0" fontId="8" fillId="0" borderId="29" xfId="0" applyFont="1" applyFill="1" applyBorder="1" applyAlignment="1"/>
    <xf numFmtId="2" fontId="8" fillId="0" borderId="29" xfId="0" applyNumberFormat="1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0" fontId="8" fillId="0" borderId="0" xfId="0" applyFont="1" applyFill="1" applyBorder="1" applyAlignment="1"/>
    <xf numFmtId="39" fontId="14" fillId="0" borderId="0" xfId="2" applyFont="1" applyFill="1" applyBorder="1" applyAlignment="1">
      <alignment horizontal="centerContinuous"/>
    </xf>
    <xf numFmtId="39" fontId="7" fillId="0" borderId="0" xfId="2" applyFill="1" applyAlignment="1">
      <alignment horizontal="centerContinuous"/>
    </xf>
    <xf numFmtId="1" fontId="8" fillId="0" borderId="54" xfId="2" applyNumberFormat="1" applyFont="1" applyFill="1" applyBorder="1" applyAlignment="1">
      <alignment horizontal="left"/>
    </xf>
    <xf numFmtId="2" fontId="12" fillId="0" borderId="51" xfId="0" applyNumberFormat="1" applyFont="1" applyFill="1" applyBorder="1" applyAlignment="1">
      <alignment horizontal="center"/>
    </xf>
    <xf numFmtId="39" fontId="8" fillId="0" borderId="8" xfId="2" applyFont="1" applyFill="1" applyBorder="1" applyAlignment="1">
      <alignment horizontal="center"/>
    </xf>
    <xf numFmtId="2" fontId="12" fillId="0" borderId="54" xfId="0" applyNumberFormat="1" applyFont="1" applyFill="1" applyBorder="1" applyAlignment="1">
      <alignment horizontal="center"/>
    </xf>
    <xf numFmtId="39" fontId="8" fillId="0" borderId="0" xfId="2" applyFont="1" applyFill="1" applyBorder="1" applyAlignment="1">
      <alignment horizontal="center"/>
    </xf>
    <xf numFmtId="39" fontId="8" fillId="0" borderId="10" xfId="2" applyFont="1" applyFill="1" applyBorder="1" applyAlignment="1">
      <alignment horizontal="center"/>
    </xf>
    <xf numFmtId="39" fontId="8" fillId="0" borderId="11" xfId="2" applyFont="1" applyFill="1" applyBorder="1" applyAlignment="1">
      <alignment horizontal="center"/>
    </xf>
    <xf numFmtId="2" fontId="8" fillId="0" borderId="13" xfId="2" applyNumberFormat="1" applyFont="1" applyFill="1" applyBorder="1" applyAlignment="1">
      <alignment horizontal="centerContinuous"/>
    </xf>
    <xf numFmtId="2" fontId="8" fillId="0" borderId="12" xfId="2" applyNumberFormat="1" applyFont="1" applyFill="1" applyBorder="1" applyAlignment="1">
      <alignment horizontal="centerContinuous"/>
    </xf>
    <xf numFmtId="2" fontId="13" fillId="0" borderId="10" xfId="2" applyNumberFormat="1" applyFont="1" applyFill="1" applyBorder="1" applyAlignment="1" applyProtection="1">
      <alignment horizontal="center"/>
    </xf>
    <xf numFmtId="39" fontId="7" fillId="0" borderId="0" xfId="2" applyFill="1"/>
    <xf numFmtId="1" fontId="8" fillId="0" borderId="3" xfId="2" applyNumberFormat="1" applyFont="1" applyFill="1" applyBorder="1" applyAlignment="1">
      <alignment horizontal="center"/>
    </xf>
    <xf numFmtId="39" fontId="8" fillId="0" borderId="19" xfId="2" applyFont="1" applyFill="1" applyBorder="1" applyAlignment="1">
      <alignment horizontal="center"/>
    </xf>
    <xf numFmtId="0" fontId="8" fillId="0" borderId="15" xfId="0" applyFont="1" applyFill="1" applyBorder="1"/>
    <xf numFmtId="2" fontId="13" fillId="0" borderId="15" xfId="2" applyNumberFormat="1" applyFont="1" applyFill="1" applyBorder="1" applyAlignment="1" applyProtection="1">
      <alignment horizontal="center"/>
    </xf>
    <xf numFmtId="1" fontId="8" fillId="0" borderId="6" xfId="2" applyNumberFormat="1" applyFont="1" applyFill="1" applyBorder="1" applyAlignment="1">
      <alignment horizontal="center"/>
    </xf>
    <xf numFmtId="39" fontId="8" fillId="0" borderId="23" xfId="2" quotePrefix="1" applyFont="1" applyFill="1" applyBorder="1" applyAlignment="1">
      <alignment horizontal="center"/>
    </xf>
    <xf numFmtId="39" fontId="8" fillId="0" borderId="0" xfId="2" quotePrefix="1" applyFont="1" applyFill="1" applyBorder="1" applyAlignment="1">
      <alignment horizontal="center"/>
    </xf>
    <xf numFmtId="39" fontId="13" fillId="0" borderId="2" xfId="2" applyNumberFormat="1" applyFont="1" applyFill="1" applyBorder="1" applyProtection="1"/>
    <xf numFmtId="39" fontId="8" fillId="0" borderId="2" xfId="2" applyNumberFormat="1" applyFont="1" applyFill="1" applyBorder="1" applyProtection="1"/>
    <xf numFmtId="39" fontId="8" fillId="0" borderId="2" xfId="2" applyNumberFormat="1" applyFont="1" applyFill="1" applyBorder="1" applyAlignment="1" applyProtection="1">
      <alignment horizontal="right"/>
    </xf>
    <xf numFmtId="1" fontId="6" fillId="0" borderId="70" xfId="2" applyNumberFormat="1" applyFont="1" applyFill="1" applyBorder="1" applyAlignment="1">
      <alignment horizontal="center"/>
    </xf>
    <xf numFmtId="194" fontId="8" fillId="0" borderId="20" xfId="0" applyNumberFormat="1" applyFont="1" applyFill="1" applyBorder="1" applyAlignment="1">
      <alignment horizontal="center"/>
    </xf>
    <xf numFmtId="194" fontId="8" fillId="0" borderId="5" xfId="0" applyNumberFormat="1" applyFont="1" applyFill="1" applyBorder="1" applyAlignment="1">
      <alignment horizontal="center"/>
    </xf>
    <xf numFmtId="194" fontId="8" fillId="0" borderId="19" xfId="0" applyNumberFormat="1" applyFont="1" applyFill="1" applyBorder="1" applyAlignment="1">
      <alignment horizontal="center"/>
    </xf>
    <xf numFmtId="39" fontId="9" fillId="0" borderId="2" xfId="2" applyNumberFormat="1" applyFont="1" applyFill="1" applyBorder="1" applyAlignment="1" applyProtection="1">
      <alignment horizontal="center"/>
    </xf>
    <xf numFmtId="187" fontId="8" fillId="0" borderId="2" xfId="2" applyNumberFormat="1" applyFont="1" applyFill="1" applyBorder="1" applyAlignment="1" applyProtection="1"/>
    <xf numFmtId="187" fontId="8" fillId="0" borderId="2" xfId="2" applyNumberFormat="1" applyFont="1" applyFill="1" applyBorder="1" applyAlignment="1"/>
    <xf numFmtId="187" fontId="25" fillId="0" borderId="2" xfId="2" applyNumberFormat="1" applyFont="1" applyFill="1" applyBorder="1" applyAlignment="1"/>
    <xf numFmtId="2" fontId="6" fillId="0" borderId="2" xfId="2" applyNumberFormat="1" applyFont="1" applyFill="1" applyBorder="1" applyAlignment="1" applyProtection="1">
      <alignment horizontal="center"/>
    </xf>
    <xf numFmtId="2" fontId="13" fillId="0" borderId="2" xfId="2" applyNumberFormat="1" applyFont="1" applyFill="1" applyBorder="1" applyAlignment="1" applyProtection="1">
      <alignment horizontal="center"/>
    </xf>
    <xf numFmtId="194" fontId="8" fillId="0" borderId="21" xfId="0" applyNumberFormat="1" applyFont="1" applyFill="1" applyBorder="1" applyAlignment="1">
      <alignment horizontal="center"/>
    </xf>
    <xf numFmtId="194" fontId="8" fillId="0" borderId="0" xfId="0" applyNumberFormat="1" applyFont="1" applyFill="1" applyBorder="1" applyAlignment="1">
      <alignment horizontal="center"/>
    </xf>
    <xf numFmtId="194" fontId="8" fillId="0" borderId="62" xfId="0" applyNumberFormat="1" applyFont="1" applyFill="1" applyBorder="1" applyAlignment="1">
      <alignment horizontal="center"/>
    </xf>
    <xf numFmtId="39" fontId="8" fillId="0" borderId="2" xfId="2" applyFont="1" applyFill="1" applyBorder="1"/>
    <xf numFmtId="0" fontId="15" fillId="0" borderId="0" xfId="0" applyFont="1" applyFill="1"/>
    <xf numFmtId="0" fontId="0" fillId="0" borderId="0" xfId="0" applyFill="1"/>
    <xf numFmtId="39" fontId="13" fillId="0" borderId="2" xfId="2" applyFont="1" applyFill="1" applyBorder="1"/>
    <xf numFmtId="39" fontId="9" fillId="0" borderId="2" xfId="2" applyFont="1" applyFill="1" applyBorder="1"/>
    <xf numFmtId="39" fontId="8" fillId="0" borderId="2" xfId="2" applyFont="1" applyFill="1" applyBorder="1" applyAlignment="1">
      <alignment horizontal="right"/>
    </xf>
    <xf numFmtId="0" fontId="8" fillId="0" borderId="2" xfId="0" applyFont="1" applyFill="1" applyBorder="1" applyAlignment="1"/>
    <xf numFmtId="0" fontId="25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39" fontId="8" fillId="0" borderId="3" xfId="2" applyFont="1" applyFill="1" applyBorder="1" applyAlignment="1">
      <alignment horizontal="center"/>
    </xf>
    <xf numFmtId="39" fontId="8" fillId="0" borderId="9" xfId="2" applyFont="1" applyFill="1" applyBorder="1" applyAlignment="1">
      <alignment horizontal="center"/>
    </xf>
    <xf numFmtId="39" fontId="8" fillId="0" borderId="4" xfId="2" applyFont="1" applyFill="1" applyBorder="1" applyAlignment="1">
      <alignment horizontal="center"/>
    </xf>
    <xf numFmtId="39" fontId="8" fillId="0" borderId="5" xfId="2" applyFont="1" applyFill="1" applyBorder="1" applyAlignment="1">
      <alignment horizontal="center"/>
    </xf>
    <xf numFmtId="39" fontId="8" fillId="0" borderId="6" xfId="2" applyFont="1" applyFill="1" applyBorder="1" applyAlignment="1">
      <alignment horizontal="center"/>
    </xf>
    <xf numFmtId="37" fontId="8" fillId="0" borderId="18" xfId="2" applyNumberFormat="1" applyFont="1" applyFill="1" applyBorder="1" applyAlignment="1">
      <alignment horizontal="center"/>
    </xf>
    <xf numFmtId="37" fontId="8" fillId="0" borderId="23" xfId="2" applyNumberFormat="1" applyFont="1" applyFill="1" applyBorder="1" applyAlignment="1">
      <alignment horizontal="center"/>
    </xf>
    <xf numFmtId="39" fontId="8" fillId="0" borderId="18" xfId="2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194" fontId="8" fillId="0" borderId="24" xfId="0" applyNumberFormat="1" applyFont="1" applyFill="1" applyBorder="1" applyAlignment="1">
      <alignment horizontal="center"/>
    </xf>
    <xf numFmtId="39" fontId="8" fillId="0" borderId="1" xfId="2" applyFont="1" applyFill="1" applyBorder="1" applyAlignment="1">
      <alignment horizontal="center"/>
    </xf>
    <xf numFmtId="39" fontId="8" fillId="0" borderId="2" xfId="2" applyFont="1" applyFill="1" applyBorder="1" applyAlignment="1">
      <alignment horizontal="center"/>
    </xf>
    <xf numFmtId="39" fontId="8" fillId="0" borderId="24" xfId="2" applyFont="1" applyFill="1" applyBorder="1" applyAlignment="1">
      <alignment horizontal="center"/>
    </xf>
    <xf numFmtId="39" fontId="8" fillId="0" borderId="17" xfId="2" applyFont="1" applyFill="1" applyBorder="1" applyAlignment="1">
      <alignment horizontal="center"/>
    </xf>
    <xf numFmtId="39" fontId="8" fillId="0" borderId="17" xfId="2" applyNumberFormat="1" applyFont="1" applyFill="1" applyBorder="1" applyAlignment="1">
      <alignment horizontal="center"/>
    </xf>
    <xf numFmtId="195" fontId="8" fillId="0" borderId="2" xfId="2" applyNumberFormat="1" applyFont="1" applyFill="1" applyBorder="1" applyAlignment="1">
      <alignment horizontal="center"/>
    </xf>
    <xf numFmtId="188" fontId="8" fillId="0" borderId="0" xfId="0" applyNumberFormat="1" applyFont="1" applyFill="1"/>
    <xf numFmtId="187" fontId="13" fillId="0" borderId="2" xfId="2" applyNumberFormat="1" applyFont="1" applyFill="1" applyBorder="1" applyAlignment="1" applyProtection="1">
      <alignment horizontal="center"/>
    </xf>
    <xf numFmtId="199" fontId="8" fillId="0" borderId="1" xfId="2" applyNumberFormat="1" applyFont="1" applyFill="1" applyBorder="1" applyAlignment="1">
      <alignment horizontal="center"/>
    </xf>
    <xf numFmtId="188" fontId="8" fillId="0" borderId="17" xfId="2" applyNumberFormat="1" applyFont="1" applyFill="1" applyBorder="1" applyAlignment="1">
      <alignment horizontal="center"/>
    </xf>
    <xf numFmtId="39" fontId="9" fillId="0" borderId="2" xfId="2" applyFont="1" applyFill="1" applyBorder="1" applyAlignment="1">
      <alignment horizontal="center"/>
    </xf>
    <xf numFmtId="195" fontId="8" fillId="0" borderId="1" xfId="2" applyNumberFormat="1" applyFont="1" applyFill="1" applyBorder="1" applyAlignment="1">
      <alignment horizontal="center"/>
    </xf>
    <xf numFmtId="1" fontId="6" fillId="0" borderId="1" xfId="2" applyNumberFormat="1" applyFont="1" applyFill="1" applyBorder="1" applyAlignment="1">
      <alignment horizontal="center"/>
    </xf>
    <xf numFmtId="195" fontId="8" fillId="0" borderId="24" xfId="2" applyNumberFormat="1" applyFont="1" applyFill="1" applyBorder="1" applyAlignment="1">
      <alignment horizontal="center"/>
    </xf>
    <xf numFmtId="2" fontId="8" fillId="0" borderId="2" xfId="2" applyNumberFormat="1" applyFont="1" applyFill="1" applyBorder="1" applyAlignment="1"/>
    <xf numFmtId="2" fontId="25" fillId="0" borderId="2" xfId="2" applyNumberFormat="1" applyFont="1" applyFill="1" applyBorder="1" applyAlignment="1"/>
    <xf numFmtId="39" fontId="8" fillId="0" borderId="2" xfId="2" applyFont="1" applyFill="1" applyBorder="1" applyAlignment="1"/>
    <xf numFmtId="39" fontId="8" fillId="0" borderId="1" xfId="2" applyFont="1" applyFill="1" applyBorder="1"/>
    <xf numFmtId="39" fontId="8" fillId="0" borderId="24" xfId="2" applyFont="1" applyFill="1" applyBorder="1"/>
    <xf numFmtId="39" fontId="8" fillId="0" borderId="6" xfId="2" applyFont="1" applyFill="1" applyBorder="1"/>
    <xf numFmtId="39" fontId="8" fillId="0" borderId="18" xfId="2" applyFont="1" applyFill="1" applyBorder="1"/>
    <xf numFmtId="39" fontId="8" fillId="0" borderId="23" xfId="2" applyFont="1" applyFill="1" applyBorder="1"/>
    <xf numFmtId="188" fontId="8" fillId="0" borderId="7" xfId="2" applyNumberFormat="1" applyFont="1" applyFill="1" applyBorder="1" applyAlignment="1">
      <alignment horizontal="center"/>
    </xf>
    <xf numFmtId="195" fontId="8" fillId="0" borderId="18" xfId="2" applyNumberFormat="1" applyFont="1" applyFill="1" applyBorder="1" applyAlignment="1">
      <alignment horizontal="center"/>
    </xf>
    <xf numFmtId="39" fontId="8" fillId="0" borderId="18" xfId="2" applyNumberFormat="1" applyFont="1" applyFill="1" applyBorder="1" applyAlignment="1">
      <alignment horizontal="center"/>
    </xf>
    <xf numFmtId="39" fontId="8" fillId="0" borderId="16" xfId="2" applyFont="1" applyFill="1" applyBorder="1" applyAlignment="1">
      <alignment horizontal="centerContinuous"/>
    </xf>
    <xf numFmtId="39" fontId="8" fillId="0" borderId="16" xfId="2" applyFont="1" applyFill="1" applyBorder="1" applyAlignment="1">
      <alignment horizontal="center"/>
    </xf>
    <xf numFmtId="39" fontId="8" fillId="0" borderId="12" xfId="2" applyFont="1" applyFill="1" applyBorder="1" applyAlignment="1">
      <alignment horizontal="center"/>
    </xf>
    <xf numFmtId="201" fontId="8" fillId="0" borderId="0" xfId="0" applyNumberFormat="1" applyFont="1" applyFill="1"/>
    <xf numFmtId="39" fontId="8" fillId="0" borderId="2" xfId="2" applyFont="1" applyFill="1" applyBorder="1" applyAlignment="1" applyProtection="1">
      <alignment horizontal="center"/>
    </xf>
    <xf numFmtId="2" fontId="8" fillId="0" borderId="17" xfId="2" applyNumberFormat="1" applyFont="1" applyFill="1" applyBorder="1" applyAlignment="1">
      <alignment horizontal="center"/>
    </xf>
    <xf numFmtId="2" fontId="8" fillId="0" borderId="0" xfId="2" applyNumberFormat="1" applyFont="1" applyFill="1" applyAlignment="1">
      <alignment horizontal="centerContinuous"/>
    </xf>
    <xf numFmtId="39" fontId="26" fillId="0" borderId="2" xfId="2" applyFont="1" applyFill="1" applyBorder="1"/>
    <xf numFmtId="0" fontId="25" fillId="0" borderId="2" xfId="0" applyFont="1" applyFill="1" applyBorder="1" applyAlignment="1">
      <alignment horizontal="center"/>
    </xf>
    <xf numFmtId="0" fontId="28" fillId="0" borderId="2" xfId="0" applyFont="1" applyFill="1" applyBorder="1" applyAlignment="1">
      <alignment horizontal="center"/>
    </xf>
    <xf numFmtId="39" fontId="8" fillId="0" borderId="15" xfId="2" applyFont="1" applyFill="1" applyBorder="1"/>
    <xf numFmtId="39" fontId="8" fillId="0" borderId="15" xfId="2" applyFont="1" applyFill="1" applyBorder="1" applyAlignment="1">
      <alignment horizontal="center"/>
    </xf>
    <xf numFmtId="2" fontId="8" fillId="0" borderId="14" xfId="2" applyNumberFormat="1" applyFont="1" applyFill="1" applyBorder="1" applyAlignment="1">
      <alignment horizontal="center"/>
    </xf>
    <xf numFmtId="0" fontId="8" fillId="0" borderId="2" xfId="0" applyFont="1" applyFill="1" applyBorder="1"/>
    <xf numFmtId="2" fontId="8" fillId="0" borderId="2" xfId="0" applyNumberFormat="1" applyFont="1" applyFill="1" applyBorder="1"/>
    <xf numFmtId="0" fontId="25" fillId="0" borderId="2" xfId="0" applyFont="1" applyFill="1" applyBorder="1"/>
    <xf numFmtId="2" fontId="25" fillId="0" borderId="2" xfId="0" applyNumberFormat="1" applyFont="1" applyFill="1" applyBorder="1"/>
    <xf numFmtId="0" fontId="28" fillId="0" borderId="2" xfId="0" applyFont="1" applyFill="1" applyBorder="1"/>
    <xf numFmtId="0" fontId="26" fillId="0" borderId="2" xfId="0" applyFont="1" applyFill="1" applyBorder="1"/>
    <xf numFmtId="0" fontId="8" fillId="0" borderId="2" xfId="0" applyFont="1" applyFill="1" applyBorder="1" applyAlignment="1">
      <alignment horizontal="right"/>
    </xf>
    <xf numFmtId="0" fontId="17" fillId="0" borderId="67" xfId="0" applyFont="1" applyFill="1" applyBorder="1" applyAlignment="1" applyProtection="1">
      <alignment horizontal="center"/>
    </xf>
    <xf numFmtId="190" fontId="12" fillId="0" borderId="65" xfId="2" applyNumberFormat="1" applyFont="1" applyFill="1" applyBorder="1" applyAlignment="1" applyProtection="1">
      <alignment horizontal="center"/>
    </xf>
    <xf numFmtId="0" fontId="9" fillId="0" borderId="2" xfId="0" applyFont="1" applyFill="1" applyBorder="1"/>
    <xf numFmtId="2" fontId="8" fillId="0" borderId="2" xfId="0" applyNumberFormat="1" applyFont="1" applyFill="1" applyBorder="1" applyAlignment="1">
      <alignment horizontal="right"/>
    </xf>
    <xf numFmtId="2" fontId="28" fillId="0" borderId="2" xfId="0" applyNumberFormat="1" applyFont="1" applyFill="1" applyBorder="1"/>
    <xf numFmtId="1" fontId="6" fillId="0" borderId="43" xfId="2" applyNumberFormat="1" applyFont="1" applyFill="1" applyBorder="1" applyAlignment="1">
      <alignment horizontal="center"/>
    </xf>
    <xf numFmtId="194" fontId="8" fillId="0" borderId="44" xfId="0" applyNumberFormat="1" applyFont="1" applyFill="1" applyBorder="1" applyAlignment="1">
      <alignment horizontal="center"/>
    </xf>
    <xf numFmtId="1" fontId="6" fillId="0" borderId="6" xfId="2" applyNumberFormat="1" applyFont="1" applyFill="1" applyBorder="1"/>
    <xf numFmtId="194" fontId="8" fillId="0" borderId="72" xfId="0" applyNumberFormat="1" applyFont="1" applyFill="1" applyBorder="1" applyAlignment="1">
      <alignment horizontal="center"/>
    </xf>
    <xf numFmtId="194" fontId="8" fillId="0" borderId="71" xfId="0" applyNumberFormat="1" applyFont="1" applyFill="1" applyBorder="1" applyAlignment="1">
      <alignment horizontal="center"/>
    </xf>
    <xf numFmtId="194" fontId="8" fillId="0" borderId="23" xfId="0" applyNumberFormat="1" applyFont="1" applyFill="1" applyBorder="1" applyAlignment="1">
      <alignment horizontal="center"/>
    </xf>
    <xf numFmtId="0" fontId="8" fillId="0" borderId="0" xfId="0" applyFont="1" applyFill="1" applyBorder="1"/>
    <xf numFmtId="2" fontId="8" fillId="0" borderId="0" xfId="0" applyNumberFormat="1" applyFont="1" applyFill="1" applyBorder="1" applyAlignment="1">
      <alignment horizontal="center"/>
    </xf>
    <xf numFmtId="1" fontId="18" fillId="0" borderId="51" xfId="2" quotePrefix="1" applyNumberFormat="1" applyFont="1" applyFill="1" applyBorder="1" applyAlignment="1"/>
    <xf numFmtId="39" fontId="5" fillId="0" borderId="3" xfId="2" applyFont="1" applyFill="1" applyBorder="1" applyAlignment="1">
      <alignment horizontal="center"/>
    </xf>
    <xf numFmtId="39" fontId="5" fillId="0" borderId="4" xfId="2" applyFont="1" applyFill="1" applyBorder="1" applyAlignment="1">
      <alignment horizontal="center"/>
    </xf>
    <xf numFmtId="39" fontId="5" fillId="0" borderId="20" xfId="2" applyFont="1" applyFill="1" applyBorder="1" applyAlignment="1">
      <alignment horizontal="center"/>
    </xf>
    <xf numFmtId="39" fontId="5" fillId="0" borderId="6" xfId="2" applyFont="1" applyFill="1" applyBorder="1" applyAlignment="1">
      <alignment horizontal="center"/>
    </xf>
    <xf numFmtId="39" fontId="5" fillId="0" borderId="7" xfId="2" applyFont="1" applyFill="1" applyBorder="1" applyAlignment="1">
      <alignment horizontal="center"/>
    </xf>
    <xf numFmtId="39" fontId="5" fillId="0" borderId="21" xfId="2" applyFont="1" applyFill="1" applyBorder="1" applyAlignment="1">
      <alignment horizontal="center"/>
    </xf>
    <xf numFmtId="39" fontId="5" fillId="0" borderId="45" xfId="2" applyFont="1" applyFill="1" applyBorder="1"/>
    <xf numFmtId="39" fontId="5" fillId="0" borderId="36" xfId="2" applyFont="1" applyFill="1" applyBorder="1"/>
    <xf numFmtId="39" fontId="5" fillId="0" borderId="37" xfId="2" applyFont="1" applyFill="1" applyBorder="1"/>
    <xf numFmtId="39" fontId="5" fillId="0" borderId="48" xfId="2" applyFont="1" applyFill="1" applyBorder="1"/>
    <xf numFmtId="39" fontId="5" fillId="0" borderId="32" xfId="2" applyFont="1" applyFill="1" applyBorder="1"/>
    <xf numFmtId="39" fontId="5" fillId="0" borderId="38" xfId="2" applyFont="1" applyFill="1" applyBorder="1"/>
    <xf numFmtId="39" fontId="5" fillId="0" borderId="31" xfId="2" applyNumberFormat="1" applyFont="1" applyFill="1" applyBorder="1" applyAlignment="1" applyProtection="1">
      <alignment horizontal="right"/>
    </xf>
    <xf numFmtId="39" fontId="5" fillId="0" borderId="46" xfId="2" applyNumberFormat="1" applyFont="1" applyFill="1" applyBorder="1" applyAlignment="1" applyProtection="1">
      <alignment horizontal="right"/>
    </xf>
    <xf numFmtId="39" fontId="5" fillId="0" borderId="59" xfId="2" applyNumberFormat="1" applyFont="1" applyFill="1" applyBorder="1" applyAlignment="1" applyProtection="1">
      <alignment horizontal="right"/>
    </xf>
    <xf numFmtId="1" fontId="4" fillId="0" borderId="34" xfId="2" applyNumberFormat="1" applyFont="1" applyFill="1" applyBorder="1" applyAlignment="1">
      <alignment horizontal="center"/>
    </xf>
    <xf numFmtId="39" fontId="5" fillId="0" borderId="56" xfId="2" applyFont="1" applyFill="1" applyBorder="1"/>
    <xf numFmtId="39" fontId="5" fillId="0" borderId="57" xfId="2" applyNumberFormat="1" applyFont="1" applyFill="1" applyBorder="1" applyAlignment="1" applyProtection="1">
      <alignment horizontal="right"/>
    </xf>
    <xf numFmtId="2" fontId="5" fillId="0" borderId="55" xfId="0" applyNumberFormat="1" applyFont="1" applyFill="1" applyBorder="1"/>
    <xf numFmtId="39" fontId="5" fillId="0" borderId="58" xfId="2" applyNumberFormat="1" applyFont="1" applyFill="1" applyBorder="1" applyAlignment="1" applyProtection="1">
      <alignment horizontal="right"/>
    </xf>
    <xf numFmtId="39" fontId="5" fillId="0" borderId="39" xfId="2" applyFont="1" applyFill="1" applyBorder="1"/>
    <xf numFmtId="39" fontId="5" fillId="0" borderId="33" xfId="2" applyNumberFormat="1" applyFont="1" applyFill="1" applyBorder="1" applyAlignment="1" applyProtection="1">
      <alignment horizontal="right"/>
    </xf>
    <xf numFmtId="39" fontId="5" fillId="0" borderId="47" xfId="2" applyNumberFormat="1" applyFont="1" applyFill="1" applyBorder="1" applyAlignment="1" applyProtection="1">
      <alignment horizontal="right"/>
    </xf>
    <xf numFmtId="39" fontId="5" fillId="0" borderId="60" xfId="2" applyNumberFormat="1" applyFont="1" applyFill="1" applyBorder="1" applyAlignment="1" applyProtection="1">
      <alignment horizontal="right"/>
    </xf>
    <xf numFmtId="2" fontId="5" fillId="0" borderId="0" xfId="0" applyNumberFormat="1" applyFont="1" applyFill="1" applyBorder="1"/>
    <xf numFmtId="39" fontId="5" fillId="0" borderId="61" xfId="2" applyNumberFormat="1" applyFont="1" applyFill="1" applyBorder="1" applyAlignment="1" applyProtection="1">
      <alignment horizontal="right"/>
    </xf>
    <xf numFmtId="1" fontId="4" fillId="0" borderId="40" xfId="2" applyNumberFormat="1" applyFont="1" applyFill="1" applyBorder="1" applyAlignment="1">
      <alignment horizontal="center"/>
    </xf>
    <xf numFmtId="1" fontId="4" fillId="0" borderId="21" xfId="2" applyNumberFormat="1" applyFont="1" applyFill="1" applyBorder="1" applyAlignment="1">
      <alignment horizontal="center"/>
    </xf>
    <xf numFmtId="39" fontId="5" fillId="0" borderId="41" xfId="2" applyFont="1" applyFill="1" applyBorder="1"/>
    <xf numFmtId="39" fontId="5" fillId="0" borderId="42" xfId="2" applyNumberFormat="1" applyFont="1" applyFill="1" applyBorder="1" applyAlignment="1" applyProtection="1">
      <alignment horizontal="right"/>
    </xf>
    <xf numFmtId="39" fontId="5" fillId="0" borderId="49" xfId="2" applyNumberFormat="1" applyFont="1" applyFill="1" applyBorder="1" applyAlignment="1" applyProtection="1">
      <alignment horizontal="right"/>
    </xf>
    <xf numFmtId="39" fontId="5" fillId="0" borderId="1" xfId="2" applyFont="1" applyFill="1" applyBorder="1"/>
    <xf numFmtId="39" fontId="5" fillId="0" borderId="2" xfId="2" applyNumberFormat="1" applyFont="1" applyFill="1" applyBorder="1" applyAlignment="1" applyProtection="1">
      <alignment horizontal="right"/>
    </xf>
    <xf numFmtId="39" fontId="5" fillId="0" borderId="24" xfId="2" applyNumberFormat="1" applyFont="1" applyFill="1" applyBorder="1" applyAlignment="1" applyProtection="1">
      <alignment horizontal="right"/>
    </xf>
    <xf numFmtId="39" fontId="111" fillId="0" borderId="62" xfId="2" applyNumberFormat="1" applyFont="1" applyFill="1" applyBorder="1" applyAlignment="1" applyProtection="1">
      <alignment horizontal="right"/>
    </xf>
    <xf numFmtId="39" fontId="5" fillId="0" borderId="52" xfId="2" applyFont="1" applyFill="1" applyBorder="1"/>
    <xf numFmtId="39" fontId="5" fillId="0" borderId="35" xfId="2" applyNumberFormat="1" applyFont="1" applyFill="1" applyBorder="1" applyAlignment="1" applyProtection="1">
      <alignment horizontal="right"/>
    </xf>
    <xf numFmtId="39" fontId="5" fillId="0" borderId="50" xfId="2" applyNumberFormat="1" applyFont="1" applyFill="1" applyBorder="1" applyAlignment="1" applyProtection="1">
      <alignment horizontal="right"/>
    </xf>
    <xf numFmtId="39" fontId="5" fillId="0" borderId="8" xfId="2" applyNumberFormat="1" applyFont="1" applyFill="1" applyBorder="1" applyAlignment="1" applyProtection="1">
      <alignment horizontal="right"/>
    </xf>
    <xf numFmtId="1" fontId="4" fillId="0" borderId="22" xfId="2" applyNumberFormat="1" applyFont="1" applyFill="1" applyBorder="1" applyAlignment="1">
      <alignment horizontal="center"/>
    </xf>
    <xf numFmtId="2" fontId="5" fillId="0" borderId="18" xfId="0" applyNumberFormat="1" applyFont="1" applyFill="1" applyBorder="1"/>
    <xf numFmtId="39" fontId="5" fillId="0" borderId="45" xfId="2" applyNumberFormat="1" applyFont="1" applyFill="1" applyBorder="1"/>
    <xf numFmtId="39" fontId="5" fillId="0" borderId="37" xfId="2" applyNumberFormat="1" applyFont="1" applyFill="1" applyBorder="1" applyAlignment="1" applyProtection="1">
      <alignment horizontal="right"/>
    </xf>
    <xf numFmtId="39" fontId="5" fillId="0" borderId="63" xfId="2" applyNumberFormat="1" applyFont="1" applyFill="1" applyBorder="1" applyAlignment="1" applyProtection="1">
      <alignment horizontal="right"/>
    </xf>
    <xf numFmtId="39" fontId="5" fillId="0" borderId="48" xfId="2" applyNumberFormat="1" applyFont="1" applyFill="1" applyBorder="1" applyAlignment="1" applyProtection="1">
      <alignment horizontal="right"/>
    </xf>
    <xf numFmtId="39" fontId="5" fillId="0" borderId="64" xfId="2" applyNumberFormat="1" applyFont="1" applyFill="1" applyBorder="1" applyAlignment="1" applyProtection="1">
      <alignment horizontal="right"/>
    </xf>
    <xf numFmtId="0" fontId="5" fillId="0" borderId="48" xfId="0" applyFont="1" applyFill="1" applyBorder="1"/>
    <xf numFmtId="0" fontId="5" fillId="0" borderId="37" xfId="0" applyFont="1" applyFill="1" applyBorder="1"/>
    <xf numFmtId="39" fontId="5" fillId="0" borderId="65" xfId="2" applyNumberFormat="1" applyFont="1" applyFill="1" applyBorder="1" applyAlignment="1" applyProtection="1">
      <alignment horizontal="right"/>
    </xf>
    <xf numFmtId="39" fontId="5" fillId="50" borderId="4" xfId="2" applyFont="1" applyFill="1" applyBorder="1" applyAlignment="1">
      <alignment horizontal="center"/>
    </xf>
    <xf numFmtId="39" fontId="5" fillId="50" borderId="7" xfId="2" applyFont="1" applyFill="1" applyBorder="1" applyAlignment="1">
      <alignment horizontal="center"/>
    </xf>
    <xf numFmtId="39" fontId="5" fillId="50" borderId="37" xfId="2" applyNumberFormat="1" applyFont="1" applyFill="1" applyBorder="1" applyAlignment="1" applyProtection="1">
      <alignment horizontal="right"/>
    </xf>
    <xf numFmtId="4" fontId="17" fillId="0" borderId="0" xfId="3" applyFont="1" applyAlignment="1" applyProtection="1">
      <protection locked="0"/>
    </xf>
    <xf numFmtId="0" fontId="10" fillId="0" borderId="0" xfId="0" applyFont="1" applyProtection="1"/>
    <xf numFmtId="202" fontId="3" fillId="11" borderId="27" xfId="0" applyNumberFormat="1" applyFont="1" applyFill="1" applyBorder="1" applyAlignment="1">
      <alignment horizontal="center"/>
    </xf>
    <xf numFmtId="202" fontId="3" fillId="11" borderId="0" xfId="0" applyNumberFormat="1" applyFont="1" applyFill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0" fontId="114" fillId="0" borderId="0" xfId="0" applyFont="1"/>
    <xf numFmtId="0" fontId="115" fillId="0" borderId="0" xfId="0" applyFont="1" applyAlignment="1">
      <alignment vertical="center"/>
    </xf>
    <xf numFmtId="0" fontId="116" fillId="0" borderId="0" xfId="0" applyFont="1" applyAlignment="1">
      <alignment vertical="center"/>
    </xf>
    <xf numFmtId="0" fontId="117" fillId="0" borderId="29" xfId="331" applyFont="1" applyBorder="1" applyAlignment="1">
      <alignment horizontal="left" indent="1"/>
    </xf>
    <xf numFmtId="0" fontId="117" fillId="0" borderId="29" xfId="331" applyFont="1" applyBorder="1" applyAlignment="1"/>
    <xf numFmtId="0" fontId="118" fillId="0" borderId="29" xfId="331" applyFont="1" applyBorder="1" applyAlignment="1">
      <alignment horizontal="center"/>
    </xf>
    <xf numFmtId="0" fontId="117" fillId="0" borderId="29" xfId="331" applyFont="1" applyBorder="1" applyAlignment="1">
      <alignment horizontal="left"/>
    </xf>
    <xf numFmtId="0" fontId="118" fillId="11" borderId="29" xfId="331" applyFont="1" applyFill="1" applyBorder="1" applyAlignment="1">
      <alignment horizontal="center"/>
    </xf>
    <xf numFmtId="0" fontId="117" fillId="0" borderId="29" xfId="331" applyFont="1" applyBorder="1" applyAlignment="1">
      <alignment horizontal="center"/>
    </xf>
    <xf numFmtId="0" fontId="117" fillId="0" borderId="10" xfId="0" applyFont="1" applyBorder="1"/>
    <xf numFmtId="0" fontId="117" fillId="0" borderId="10" xfId="0" applyFont="1" applyBorder="1" applyAlignment="1">
      <alignment horizontal="center"/>
    </xf>
    <xf numFmtId="0" fontId="117" fillId="0" borderId="16" xfId="0" applyFont="1" applyBorder="1" applyAlignment="1">
      <alignment horizontal="center"/>
    </xf>
    <xf numFmtId="0" fontId="117" fillId="0" borderId="15" xfId="0" applyFont="1" applyBorder="1" applyAlignment="1">
      <alignment horizontal="center"/>
    </xf>
    <xf numFmtId="0" fontId="117" fillId="0" borderId="14" xfId="0" applyFont="1" applyBorder="1" applyAlignment="1">
      <alignment horizontal="center"/>
    </xf>
    <xf numFmtId="0" fontId="115" fillId="0" borderId="88" xfId="0" applyFont="1" applyBorder="1" applyAlignment="1">
      <alignment horizontal="center" vertical="center"/>
    </xf>
    <xf numFmtId="0" fontId="115" fillId="0" borderId="88" xfId="0" applyFont="1" applyBorder="1" applyAlignment="1">
      <alignment vertical="center"/>
    </xf>
    <xf numFmtId="0" fontId="115" fillId="0" borderId="88" xfId="0" applyFont="1" applyBorder="1"/>
    <xf numFmtId="200" fontId="115" fillId="8" borderId="88" xfId="7" applyNumberFormat="1" applyFont="1" applyFill="1" applyBorder="1" applyAlignment="1">
      <alignment horizontal="center" vertical="center"/>
    </xf>
    <xf numFmtId="0" fontId="115" fillId="8" borderId="88" xfId="0" applyFont="1" applyFill="1" applyBorder="1" applyAlignment="1">
      <alignment horizontal="center" vertical="center"/>
    </xf>
    <xf numFmtId="43" fontId="115" fillId="8" borderId="88" xfId="332" applyNumberFormat="1" applyFont="1" applyFill="1" applyBorder="1" applyAlignment="1">
      <alignment horizontal="center" vertical="center"/>
    </xf>
    <xf numFmtId="43" fontId="115" fillId="0" borderId="88" xfId="332" applyNumberFormat="1" applyFont="1" applyBorder="1" applyAlignment="1">
      <alignment horizontal="center" vertical="center"/>
    </xf>
    <xf numFmtId="43" fontId="115" fillId="0" borderId="88" xfId="0" applyNumberFormat="1" applyFont="1" applyBorder="1"/>
    <xf numFmtId="43" fontId="119" fillId="8" borderId="88" xfId="332" applyNumberFormat="1" applyFont="1" applyFill="1" applyBorder="1" applyAlignment="1">
      <alignment horizontal="center" vertical="center"/>
    </xf>
    <xf numFmtId="0" fontId="115" fillId="8" borderId="88" xfId="0" applyFont="1" applyFill="1" applyBorder="1" applyAlignment="1">
      <alignment vertical="center"/>
    </xf>
    <xf numFmtId="43" fontId="115" fillId="8" borderId="88" xfId="332" applyNumberFormat="1" applyFont="1" applyFill="1" applyBorder="1" applyAlignment="1">
      <alignment vertical="center"/>
    </xf>
    <xf numFmtId="43" fontId="115" fillId="0" borderId="88" xfId="332" applyNumberFormat="1" applyFont="1" applyBorder="1" applyAlignment="1">
      <alignment vertical="center"/>
    </xf>
    <xf numFmtId="200" fontId="115" fillId="0" borderId="88" xfId="7" applyNumberFormat="1" applyFont="1" applyBorder="1" applyAlignment="1">
      <alignment horizontal="center" vertical="center"/>
    </xf>
    <xf numFmtId="43" fontId="119" fillId="0" borderId="88" xfId="332" applyNumberFormat="1" applyFont="1" applyBorder="1" applyAlignment="1">
      <alignment vertical="center"/>
    </xf>
    <xf numFmtId="0" fontId="117" fillId="0" borderId="88" xfId="331" applyFont="1" applyFill="1" applyBorder="1" applyAlignment="1">
      <alignment horizontal="center" vertical="center"/>
    </xf>
    <xf numFmtId="0" fontId="117" fillId="0" borderId="88" xfId="331" applyFont="1" applyBorder="1" applyAlignment="1">
      <alignment vertical="center"/>
    </xf>
    <xf numFmtId="200" fontId="118" fillId="0" borderId="88" xfId="7" applyNumberFormat="1" applyFont="1" applyBorder="1" applyAlignment="1">
      <alignment horizontal="center" vertical="center"/>
    </xf>
    <xf numFmtId="0" fontId="118" fillId="0" borderId="88" xfId="331" applyFont="1" applyBorder="1" applyAlignment="1">
      <alignment horizontal="center"/>
    </xf>
    <xf numFmtId="187" fontId="118" fillId="0" borderId="88" xfId="7" applyNumberFormat="1" applyFont="1" applyFill="1" applyBorder="1" applyAlignment="1">
      <alignment horizontal="center" vertical="center"/>
    </xf>
    <xf numFmtId="187" fontId="118" fillId="0" borderId="88" xfId="7" applyNumberFormat="1" applyFont="1" applyBorder="1" applyAlignment="1">
      <alignment horizontal="center" vertical="center"/>
    </xf>
    <xf numFmtId="0" fontId="118" fillId="0" borderId="88" xfId="331" applyFont="1" applyFill="1" applyBorder="1" applyAlignment="1">
      <alignment horizontal="center" vertical="center"/>
    </xf>
    <xf numFmtId="0" fontId="117" fillId="0" borderId="88" xfId="331" applyFont="1" applyBorder="1" applyAlignment="1">
      <alignment horizontal="left"/>
    </xf>
    <xf numFmtId="200" fontId="117" fillId="0" borderId="88" xfId="7" applyNumberFormat="1" applyFont="1" applyFill="1" applyBorder="1" applyAlignment="1">
      <alignment horizontal="center"/>
    </xf>
    <xf numFmtId="0" fontId="117" fillId="0" borderId="88" xfId="331" applyFont="1" applyBorder="1" applyAlignment="1">
      <alignment horizontal="center"/>
    </xf>
    <xf numFmtId="187" fontId="117" fillId="0" borderId="88" xfId="7" applyNumberFormat="1" applyFont="1" applyBorder="1" applyAlignment="1">
      <alignment horizontal="center"/>
    </xf>
    <xf numFmtId="0" fontId="117" fillId="0" borderId="88" xfId="331" applyFont="1" applyBorder="1" applyAlignment="1"/>
    <xf numFmtId="0" fontId="118" fillId="0" borderId="93" xfId="331" applyFont="1" applyFill="1" applyBorder="1" applyAlignment="1">
      <alignment horizontal="center" vertical="center"/>
    </xf>
    <xf numFmtId="0" fontId="117" fillId="0" borderId="93" xfId="331" applyFont="1" applyBorder="1" applyAlignment="1"/>
    <xf numFmtId="200" fontId="117" fillId="0" borderId="93" xfId="7" applyNumberFormat="1" applyFont="1" applyFill="1" applyBorder="1" applyAlignment="1">
      <alignment horizontal="center"/>
    </xf>
    <xf numFmtId="0" fontId="117" fillId="0" borderId="93" xfId="331" applyFont="1" applyBorder="1" applyAlignment="1">
      <alignment horizontal="center"/>
    </xf>
    <xf numFmtId="187" fontId="117" fillId="0" borderId="93" xfId="7" applyNumberFormat="1" applyFont="1" applyBorder="1" applyAlignment="1">
      <alignment horizontal="center"/>
    </xf>
    <xf numFmtId="0" fontId="115" fillId="0" borderId="93" xfId="0" applyFont="1" applyBorder="1"/>
    <xf numFmtId="43" fontId="115" fillId="0" borderId="93" xfId="0" applyNumberFormat="1" applyFont="1" applyBorder="1"/>
    <xf numFmtId="0" fontId="118" fillId="0" borderId="16" xfId="331" applyFont="1" applyFill="1" applyBorder="1" applyAlignment="1">
      <alignment horizontal="center" vertical="center"/>
    </xf>
    <xf numFmtId="0" fontId="118" fillId="0" borderId="28" xfId="331" applyFont="1" applyBorder="1" applyAlignment="1">
      <alignment horizontal="center"/>
    </xf>
    <xf numFmtId="200" fontId="118" fillId="0" borderId="13" xfId="7" applyNumberFormat="1" applyFont="1" applyFill="1" applyBorder="1" applyAlignment="1">
      <alignment horizontal="center"/>
    </xf>
    <xf numFmtId="0" fontId="118" fillId="0" borderId="13" xfId="331" applyFont="1" applyBorder="1" applyAlignment="1">
      <alignment horizontal="center"/>
    </xf>
    <xf numFmtId="187" fontId="118" fillId="0" borderId="13" xfId="7" applyNumberFormat="1" applyFont="1" applyBorder="1" applyAlignment="1">
      <alignment horizontal="center"/>
    </xf>
    <xf numFmtId="187" fontId="118" fillId="0" borderId="16" xfId="7" applyNumberFormat="1" applyFont="1" applyBorder="1" applyAlignment="1">
      <alignment horizontal="center"/>
    </xf>
    <xf numFmtId="0" fontId="115" fillId="0" borderId="16" xfId="0" applyFont="1" applyBorder="1"/>
    <xf numFmtId="0" fontId="122" fillId="0" borderId="16" xfId="0" applyFont="1" applyBorder="1"/>
    <xf numFmtId="43" fontId="122" fillId="0" borderId="16" xfId="0" applyNumberFormat="1" applyFont="1" applyBorder="1"/>
    <xf numFmtId="0" fontId="118" fillId="0" borderId="2" xfId="331" applyFont="1" applyFill="1" applyBorder="1" applyAlignment="1">
      <alignment horizontal="center" vertical="center"/>
    </xf>
    <xf numFmtId="200" fontId="118" fillId="0" borderId="29" xfId="7" applyNumberFormat="1" applyFont="1" applyFill="1" applyBorder="1" applyAlignment="1">
      <alignment horizontal="center"/>
    </xf>
    <xf numFmtId="0" fontId="118" fillId="0" borderId="29" xfId="331" applyFont="1" applyBorder="1" applyAlignment="1"/>
    <xf numFmtId="187" fontId="118" fillId="0" borderId="15" xfId="7" applyNumberFormat="1" applyFont="1" applyBorder="1" applyAlignment="1">
      <alignment horizontal="center"/>
    </xf>
    <xf numFmtId="0" fontId="117" fillId="0" borderId="87" xfId="331" applyFont="1" applyFill="1" applyBorder="1" applyAlignment="1">
      <alignment horizontal="center" vertical="center"/>
    </xf>
    <xf numFmtId="0" fontId="123" fillId="0" borderId="94" xfId="331" applyFont="1" applyFill="1" applyBorder="1" applyAlignment="1">
      <alignment horizontal="left" vertical="center"/>
    </xf>
    <xf numFmtId="200" fontId="118" fillId="0" borderId="87" xfId="7" applyNumberFormat="1" applyFont="1" applyFill="1" applyBorder="1" applyAlignment="1">
      <alignment horizontal="center" vertical="center"/>
    </xf>
    <xf numFmtId="0" fontId="118" fillId="0" borderId="87" xfId="331" applyFont="1" applyBorder="1" applyAlignment="1">
      <alignment vertical="center"/>
    </xf>
    <xf numFmtId="0" fontId="115" fillId="0" borderId="87" xfId="0" applyFont="1" applyBorder="1"/>
    <xf numFmtId="0" fontId="117" fillId="0" borderId="89" xfId="331" applyFont="1" applyFill="1" applyBorder="1" applyAlignment="1">
      <alignment horizontal="center"/>
    </xf>
    <xf numFmtId="0" fontId="117" fillId="0" borderId="89" xfId="331" applyFont="1" applyFill="1" applyBorder="1" applyAlignment="1">
      <alignment horizontal="left"/>
    </xf>
    <xf numFmtId="200" fontId="117" fillId="0" borderId="90" xfId="7" applyNumberFormat="1" applyFont="1" applyFill="1" applyBorder="1" applyAlignment="1">
      <alignment horizontal="center"/>
    </xf>
    <xf numFmtId="0" fontId="117" fillId="0" borderId="88" xfId="331" applyFont="1" applyBorder="1"/>
    <xf numFmtId="0" fontId="117" fillId="0" borderId="91" xfId="331" applyFont="1" applyFill="1" applyBorder="1" applyAlignment="1">
      <alignment horizontal="center"/>
    </xf>
    <xf numFmtId="0" fontId="117" fillId="0" borderId="88" xfId="331" applyFont="1" applyFill="1" applyBorder="1" applyAlignment="1">
      <alignment horizontal="center"/>
    </xf>
    <xf numFmtId="0" fontId="117" fillId="0" borderId="90" xfId="331" applyFont="1" applyFill="1" applyBorder="1" applyAlignment="1">
      <alignment horizontal="center"/>
    </xf>
    <xf numFmtId="187" fontId="117" fillId="0" borderId="88" xfId="7" applyNumberFormat="1" applyFont="1" applyFill="1" applyBorder="1" applyAlignment="1">
      <alignment horizontal="center"/>
    </xf>
    <xf numFmtId="188" fontId="117" fillId="0" borderId="88" xfId="331" applyNumberFormat="1" applyFont="1" applyBorder="1"/>
    <xf numFmtId="187" fontId="117" fillId="0" borderId="89" xfId="7" applyNumberFormat="1" applyFont="1" applyBorder="1" applyAlignment="1">
      <alignment horizontal="center"/>
    </xf>
    <xf numFmtId="188" fontId="117" fillId="0" borderId="90" xfId="331" applyNumberFormat="1" applyFont="1" applyBorder="1"/>
    <xf numFmtId="0" fontId="117" fillId="0" borderId="90" xfId="331" applyFont="1" applyBorder="1" applyAlignment="1">
      <alignment horizontal="center"/>
    </xf>
    <xf numFmtId="0" fontId="117" fillId="0" borderId="89" xfId="331" applyFont="1" applyBorder="1"/>
    <xf numFmtId="0" fontId="117" fillId="0" borderId="95" xfId="331" applyFont="1" applyBorder="1" applyAlignment="1">
      <alignment horizontal="center"/>
    </xf>
    <xf numFmtId="0" fontId="117" fillId="0" borderId="96" xfId="331" applyFont="1" applyBorder="1"/>
    <xf numFmtId="0" fontId="117" fillId="0" borderId="97" xfId="331" applyFont="1" applyBorder="1" applyAlignment="1">
      <alignment horizontal="center"/>
    </xf>
    <xf numFmtId="187" fontId="117" fillId="0" borderId="95" xfId="7" applyNumberFormat="1" applyFont="1" applyBorder="1" applyAlignment="1">
      <alignment horizontal="center"/>
    </xf>
    <xf numFmtId="187" fontId="117" fillId="0" borderId="95" xfId="7" applyNumberFormat="1" applyFont="1" applyFill="1" applyBorder="1" applyAlignment="1">
      <alignment horizontal="center"/>
    </xf>
    <xf numFmtId="188" fontId="117" fillId="0" borderId="93" xfId="331" applyNumberFormat="1" applyFont="1" applyBorder="1"/>
    <xf numFmtId="43" fontId="115" fillId="0" borderId="92" xfId="0" applyNumberFormat="1" applyFont="1" applyBorder="1"/>
    <xf numFmtId="0" fontId="118" fillId="0" borderId="16" xfId="331" applyFont="1" applyBorder="1" applyAlignment="1">
      <alignment horizontal="center" vertical="center"/>
    </xf>
    <xf numFmtId="0" fontId="118" fillId="0" borderId="13" xfId="331" applyFont="1" applyBorder="1" applyAlignment="1">
      <alignment horizontal="center" vertical="center"/>
    </xf>
    <xf numFmtId="0" fontId="118" fillId="0" borderId="28" xfId="331" applyFont="1" applyBorder="1" applyAlignment="1">
      <alignment vertical="center"/>
    </xf>
    <xf numFmtId="0" fontId="118" fillId="0" borderId="12" xfId="331" applyFont="1" applyBorder="1" applyAlignment="1">
      <alignment horizontal="center" vertical="center"/>
    </xf>
    <xf numFmtId="187" fontId="118" fillId="0" borderId="16" xfId="7" applyNumberFormat="1" applyFont="1" applyBorder="1" applyAlignment="1">
      <alignment horizontal="center" vertical="center"/>
    </xf>
    <xf numFmtId="188" fontId="118" fillId="0" borderId="14" xfId="331" applyNumberFormat="1" applyFont="1" applyBorder="1"/>
    <xf numFmtId="0" fontId="122" fillId="0" borderId="29" xfId="0" applyFont="1" applyBorder="1"/>
    <xf numFmtId="0" fontId="118" fillId="0" borderId="16" xfId="331" applyFont="1" applyBorder="1" applyAlignment="1">
      <alignment horizontal="center"/>
    </xf>
    <xf numFmtId="0" fontId="115" fillId="0" borderId="0" xfId="0" applyFont="1" applyBorder="1"/>
    <xf numFmtId="0" fontId="118" fillId="0" borderId="0" xfId="331" applyFont="1" applyBorder="1" applyAlignment="1">
      <alignment horizontal="center"/>
    </xf>
    <xf numFmtId="0" fontId="122" fillId="0" borderId="0" xfId="0" applyFont="1" applyBorder="1" applyAlignment="1">
      <alignment horizontal="center"/>
    </xf>
    <xf numFmtId="43" fontId="122" fillId="0" borderId="0" xfId="0" applyNumberFormat="1" applyFont="1" applyBorder="1"/>
    <xf numFmtId="0" fontId="117" fillId="0" borderId="0" xfId="273" applyFont="1" applyAlignment="1" applyProtection="1">
      <alignment vertical="center"/>
      <protection locked="0"/>
    </xf>
    <xf numFmtId="0" fontId="117" fillId="0" borderId="0" xfId="273" applyFont="1" applyAlignment="1" applyProtection="1">
      <alignment horizontal="center" vertical="center"/>
      <protection locked="0"/>
    </xf>
    <xf numFmtId="0" fontId="115" fillId="0" borderId="0" xfId="0" applyFont="1"/>
    <xf numFmtId="0" fontId="117" fillId="0" borderId="0" xfId="273" applyFont="1" applyAlignment="1" applyProtection="1">
      <alignment horizontal="left" vertical="center"/>
      <protection locked="0"/>
    </xf>
    <xf numFmtId="0" fontId="117" fillId="0" borderId="0" xfId="273" quotePrefix="1" applyFont="1" applyBorder="1" applyAlignment="1" applyProtection="1">
      <alignment horizontal="left" vertical="center"/>
      <protection locked="0"/>
    </xf>
    <xf numFmtId="0" fontId="117" fillId="0" borderId="0" xfId="0" applyFont="1" applyAlignment="1">
      <alignment horizontal="left"/>
    </xf>
    <xf numFmtId="0" fontId="117" fillId="0" borderId="0" xfId="273" quotePrefix="1" applyFont="1" applyAlignment="1" applyProtection="1">
      <alignment horizontal="left" vertical="center"/>
      <protection locked="0"/>
    </xf>
    <xf numFmtId="39" fontId="124" fillId="51" borderId="15" xfId="2" applyFont="1" applyFill="1" applyBorder="1"/>
    <xf numFmtId="2" fontId="125" fillId="51" borderId="87" xfId="0" applyNumberFormat="1" applyFont="1" applyFill="1" applyBorder="1"/>
    <xf numFmtId="2" fontId="125" fillId="51" borderId="88" xfId="0" applyNumberFormat="1" applyFont="1" applyFill="1" applyBorder="1"/>
    <xf numFmtId="2" fontId="125" fillId="51" borderId="93" xfId="0" applyNumberFormat="1" applyFont="1" applyFill="1" applyBorder="1"/>
    <xf numFmtId="39" fontId="124" fillId="51" borderId="16" xfId="2" applyFont="1" applyFill="1" applyBorder="1" applyProtection="1">
      <protection locked="0"/>
    </xf>
    <xf numFmtId="39" fontId="126" fillId="51" borderId="15" xfId="2" applyFont="1" applyFill="1" applyBorder="1"/>
    <xf numFmtId="2" fontId="126" fillId="51" borderId="86" xfId="2" applyNumberFormat="1" applyFont="1" applyFill="1" applyBorder="1" applyProtection="1">
      <protection locked="0"/>
    </xf>
    <xf numFmtId="2" fontId="126" fillId="51" borderId="88" xfId="2" applyNumberFormat="1" applyFont="1" applyFill="1" applyBorder="1" applyProtection="1">
      <protection locked="0"/>
    </xf>
    <xf numFmtId="2" fontId="126" fillId="51" borderId="95" xfId="2" applyNumberFormat="1" applyFont="1" applyFill="1" applyBorder="1" applyProtection="1">
      <protection locked="0"/>
    </xf>
    <xf numFmtId="39" fontId="126" fillId="51" borderId="16" xfId="2" applyFont="1" applyFill="1" applyBorder="1" applyProtection="1">
      <protection locked="0"/>
    </xf>
    <xf numFmtId="0" fontId="24" fillId="0" borderId="0" xfId="0" applyFont="1" applyFill="1" applyAlignment="1" applyProtection="1"/>
    <xf numFmtId="0" fontId="10" fillId="0" borderId="0" xfId="0" applyFont="1" applyProtection="1"/>
    <xf numFmtId="39" fontId="5" fillId="52" borderId="2" xfId="2" applyNumberFormat="1" applyFont="1" applyFill="1" applyBorder="1" applyAlignment="1" applyProtection="1">
      <alignment horizontal="right"/>
    </xf>
    <xf numFmtId="194" fontId="8" fillId="52" borderId="24" xfId="0" applyNumberFormat="1" applyFont="1" applyFill="1" applyBorder="1" applyAlignment="1">
      <alignment horizontal="center"/>
    </xf>
    <xf numFmtId="0" fontId="24" fillId="0" borderId="0" xfId="0" applyFont="1" applyAlignment="1" applyProtection="1"/>
    <xf numFmtId="189" fontId="47" fillId="0" borderId="0" xfId="0" applyNumberFormat="1" applyFont="1" applyFill="1" applyBorder="1" applyAlignment="1" applyProtection="1">
      <alignment horizontal="center"/>
    </xf>
    <xf numFmtId="0" fontId="10" fillId="0" borderId="0" xfId="0" applyFont="1"/>
    <xf numFmtId="4" fontId="40" fillId="0" borderId="0" xfId="0" quotePrefix="1" applyNumberFormat="1" applyFont="1" applyAlignment="1">
      <alignment horizontal="right"/>
    </xf>
    <xf numFmtId="0" fontId="47" fillId="0" borderId="27" xfId="0" applyFont="1" applyBorder="1" applyAlignment="1" applyProtection="1">
      <alignment horizontal="center"/>
    </xf>
    <xf numFmtId="43" fontId="47" fillId="0" borderId="2" xfId="0" applyNumberFormat="1" applyFont="1" applyBorder="1" applyAlignment="1"/>
    <xf numFmtId="0" fontId="5" fillId="53" borderId="0" xfId="0" applyFont="1" applyFill="1"/>
    <xf numFmtId="39" fontId="5" fillId="53" borderId="9" xfId="2" applyFont="1" applyFill="1" applyBorder="1" applyAlignment="1">
      <alignment horizontal="center"/>
    </xf>
    <xf numFmtId="39" fontId="5" fillId="53" borderId="18" xfId="2" applyFont="1" applyFill="1" applyBorder="1" applyAlignment="1">
      <alignment horizontal="center"/>
    </xf>
    <xf numFmtId="39" fontId="5" fillId="53" borderId="45" xfId="2" applyFont="1" applyFill="1" applyBorder="1"/>
    <xf numFmtId="39" fontId="5" fillId="53" borderId="59" xfId="2" applyNumberFormat="1" applyFont="1" applyFill="1" applyBorder="1" applyAlignment="1" applyProtection="1">
      <alignment horizontal="right"/>
    </xf>
    <xf numFmtId="39" fontId="5" fillId="53" borderId="60" xfId="2" applyNumberFormat="1" applyFont="1" applyFill="1" applyBorder="1" applyAlignment="1" applyProtection="1">
      <alignment horizontal="right"/>
    </xf>
    <xf numFmtId="39" fontId="5" fillId="53" borderId="61" xfId="2" applyNumberFormat="1" applyFont="1" applyFill="1" applyBorder="1" applyAlignment="1" applyProtection="1">
      <alignment horizontal="right"/>
    </xf>
    <xf numFmtId="39" fontId="5" fillId="53" borderId="62" xfId="2" applyNumberFormat="1" applyFont="1" applyFill="1" applyBorder="1" applyAlignment="1" applyProtection="1">
      <alignment horizontal="right"/>
    </xf>
    <xf numFmtId="39" fontId="5" fillId="53" borderId="8" xfId="2" applyNumberFormat="1" applyFont="1" applyFill="1" applyBorder="1" applyAlignment="1" applyProtection="1">
      <alignment horizontal="right"/>
    </xf>
    <xf numFmtId="2" fontId="5" fillId="53" borderId="37" xfId="0" applyNumberFormat="1" applyFont="1" applyFill="1" applyBorder="1"/>
    <xf numFmtId="0" fontId="8" fillId="53" borderId="0" xfId="0" applyFont="1" applyFill="1" applyBorder="1" applyAlignment="1"/>
    <xf numFmtId="2" fontId="13" fillId="53" borderId="14" xfId="2" applyNumberFormat="1" applyFont="1" applyFill="1" applyBorder="1" applyAlignment="1" applyProtection="1">
      <alignment horizontal="center"/>
    </xf>
    <xf numFmtId="2" fontId="13" fillId="53" borderId="14" xfId="2" applyNumberFormat="1" applyFont="1" applyFill="1" applyBorder="1" applyAlignment="1">
      <alignment horizontal="center"/>
    </xf>
    <xf numFmtId="0" fontId="8" fillId="53" borderId="10" xfId="0" applyFont="1" applyFill="1" applyBorder="1"/>
    <xf numFmtId="187" fontId="8" fillId="53" borderId="2" xfId="2" applyNumberFormat="1" applyFont="1" applyFill="1" applyBorder="1" applyAlignment="1"/>
    <xf numFmtId="0" fontId="8" fillId="53" borderId="2" xfId="0" applyFont="1" applyFill="1" applyBorder="1" applyAlignment="1"/>
    <xf numFmtId="2" fontId="8" fillId="53" borderId="2" xfId="2" applyNumberFormat="1" applyFont="1" applyFill="1" applyBorder="1" applyAlignment="1"/>
    <xf numFmtId="0" fontId="8" fillId="53" borderId="2" xfId="0" applyFont="1" applyFill="1" applyBorder="1" applyAlignment="1">
      <alignment horizontal="center"/>
    </xf>
    <xf numFmtId="2" fontId="8" fillId="53" borderId="2" xfId="0" applyNumberFormat="1" applyFont="1" applyFill="1" applyBorder="1"/>
    <xf numFmtId="0" fontId="8" fillId="53" borderId="2" xfId="0" applyFont="1" applyFill="1" applyBorder="1"/>
    <xf numFmtId="0" fontId="8" fillId="53" borderId="15" xfId="0" applyFont="1" applyFill="1" applyBorder="1"/>
    <xf numFmtId="0" fontId="8" fillId="53" borderId="0" xfId="0" applyFont="1" applyFill="1"/>
    <xf numFmtId="0" fontId="10" fillId="0" borderId="0" xfId="0" applyFont="1" applyProtection="1"/>
    <xf numFmtId="0" fontId="11" fillId="0" borderId="0" xfId="0" applyFont="1" applyProtection="1"/>
    <xf numFmtId="39" fontId="8" fillId="0" borderId="24" xfId="2" quotePrefix="1" applyFont="1" applyFill="1" applyBorder="1" applyAlignment="1">
      <alignment horizontal="center"/>
    </xf>
    <xf numFmtId="194" fontId="8" fillId="0" borderId="98" xfId="0" applyNumberFormat="1" applyFont="1" applyFill="1" applyBorder="1" applyAlignment="1">
      <alignment horizontal="center"/>
    </xf>
    <xf numFmtId="0" fontId="10" fillId="0" borderId="0" xfId="0" applyFont="1" applyProtection="1"/>
    <xf numFmtId="0" fontId="47" fillId="8" borderId="0" xfId="0" applyFont="1" applyFill="1" applyProtection="1"/>
    <xf numFmtId="43" fontId="47" fillId="8" borderId="0" xfId="1" applyFont="1" applyFill="1" applyProtection="1"/>
    <xf numFmtId="0" fontId="24" fillId="8" borderId="0" xfId="0" applyFont="1" applyFill="1" applyProtection="1"/>
    <xf numFmtId="0" fontId="24" fillId="8" borderId="0" xfId="0" applyFont="1" applyFill="1" applyBorder="1" applyProtection="1"/>
    <xf numFmtId="0" fontId="47" fillId="8" borderId="0" xfId="0" applyFont="1" applyFill="1" applyAlignment="1" applyProtection="1">
      <alignment horizontal="left"/>
    </xf>
    <xf numFmtId="2" fontId="47" fillId="8" borderId="0" xfId="0" applyNumberFormat="1" applyFont="1" applyFill="1" applyProtection="1"/>
    <xf numFmtId="0" fontId="47" fillId="8" borderId="0" xfId="0" applyFont="1" applyFill="1" applyAlignment="1" applyProtection="1">
      <alignment horizontal="center"/>
    </xf>
    <xf numFmtId="0" fontId="47" fillId="8" borderId="10" xfId="0" applyFont="1" applyFill="1" applyBorder="1" applyAlignment="1" applyProtection="1">
      <alignment horizontal="center"/>
    </xf>
    <xf numFmtId="0" fontId="47" fillId="8" borderId="25" xfId="0" applyFont="1" applyFill="1" applyBorder="1" applyAlignment="1" applyProtection="1">
      <alignment horizontal="center"/>
    </xf>
    <xf numFmtId="0" fontId="47" fillId="8" borderId="11" xfId="0" applyFont="1" applyFill="1" applyBorder="1" applyAlignment="1" applyProtection="1">
      <alignment horizontal="left"/>
    </xf>
    <xf numFmtId="0" fontId="47" fillId="8" borderId="15" xfId="0" applyFont="1" applyFill="1" applyBorder="1" applyAlignment="1" applyProtection="1">
      <alignment horizontal="center"/>
    </xf>
    <xf numFmtId="0" fontId="47" fillId="8" borderId="26" xfId="0" applyFont="1" applyFill="1" applyBorder="1" applyAlignment="1" applyProtection="1">
      <alignment horizontal="center"/>
    </xf>
    <xf numFmtId="0" fontId="47" fillId="8" borderId="14" xfId="0" applyFont="1" applyFill="1" applyBorder="1" applyAlignment="1" applyProtection="1">
      <alignment horizontal="center"/>
    </xf>
    <xf numFmtId="0" fontId="47" fillId="8" borderId="16" xfId="0" applyFont="1" applyFill="1" applyBorder="1" applyAlignment="1" applyProtection="1">
      <alignment horizontal="center"/>
    </xf>
    <xf numFmtId="0" fontId="47" fillId="8" borderId="16" xfId="0" applyFont="1" applyFill="1" applyBorder="1" applyAlignment="1" applyProtection="1">
      <alignment horizontal="center" vertical="center"/>
    </xf>
    <xf numFmtId="0" fontId="47" fillId="8" borderId="28" xfId="0" applyFont="1" applyFill="1" applyBorder="1" applyAlignment="1" applyProtection="1">
      <alignment horizontal="center"/>
    </xf>
    <xf numFmtId="0" fontId="47" fillId="8" borderId="29" xfId="0" applyFont="1" applyFill="1" applyBorder="1" applyAlignment="1" applyProtection="1">
      <alignment horizontal="center"/>
    </xf>
    <xf numFmtId="0" fontId="47" fillId="8" borderId="14" xfId="0" applyFont="1" applyFill="1" applyBorder="1" applyProtection="1"/>
    <xf numFmtId="0" fontId="24" fillId="8" borderId="10" xfId="0" applyFont="1" applyFill="1" applyBorder="1" applyAlignment="1" applyProtection="1">
      <alignment horizontal="center"/>
    </xf>
    <xf numFmtId="0" fontId="24" fillId="8" borderId="11" xfId="0" applyFont="1" applyFill="1" applyBorder="1" applyProtection="1"/>
    <xf numFmtId="0" fontId="47" fillId="8" borderId="30" xfId="0" applyFont="1" applyFill="1" applyBorder="1" applyProtection="1"/>
    <xf numFmtId="3" fontId="47" fillId="8" borderId="10" xfId="0" applyNumberFormat="1" applyFont="1" applyFill="1" applyBorder="1" applyProtection="1"/>
    <xf numFmtId="0" fontId="47" fillId="8" borderId="10" xfId="0" applyFont="1" applyFill="1" applyBorder="1" applyProtection="1"/>
    <xf numFmtId="0" fontId="47" fillId="8" borderId="25" xfId="0" applyFont="1" applyFill="1" applyBorder="1" applyProtection="1"/>
    <xf numFmtId="1" fontId="47" fillId="8" borderId="30" xfId="0" applyNumberFormat="1" applyFont="1" applyFill="1" applyBorder="1" applyAlignment="1" applyProtection="1">
      <alignment horizontal="center" vertical="center"/>
    </xf>
    <xf numFmtId="0" fontId="47" fillId="8" borderId="11" xfId="0" applyFont="1" applyFill="1" applyBorder="1" applyProtection="1"/>
    <xf numFmtId="0" fontId="24" fillId="8" borderId="2" xfId="0" applyFont="1" applyFill="1" applyBorder="1" applyAlignment="1" applyProtection="1">
      <alignment horizontal="center"/>
    </xf>
    <xf numFmtId="0" fontId="47" fillId="8" borderId="17" xfId="0" applyFont="1" applyFill="1" applyBorder="1" applyProtection="1"/>
    <xf numFmtId="0" fontId="47" fillId="8" borderId="0" xfId="0" applyFont="1" applyFill="1" applyBorder="1" applyProtection="1"/>
    <xf numFmtId="41" fontId="47" fillId="8" borderId="2" xfId="0" applyNumberFormat="1" applyFont="1" applyFill="1" applyBorder="1" applyProtection="1"/>
    <xf numFmtId="0" fontId="47" fillId="8" borderId="2" xfId="0" applyFont="1" applyFill="1" applyBorder="1" applyAlignment="1" applyProtection="1">
      <alignment horizontal="center"/>
    </xf>
    <xf numFmtId="187" fontId="47" fillId="8" borderId="2" xfId="0" applyNumberFormat="1" applyFont="1" applyFill="1" applyBorder="1" applyAlignment="1" applyProtection="1"/>
    <xf numFmtId="43" fontId="47" fillId="8" borderId="2" xfId="0" applyNumberFormat="1" applyFont="1" applyFill="1" applyBorder="1" applyProtection="1"/>
    <xf numFmtId="203" fontId="47" fillId="8" borderId="27" xfId="0" applyNumberFormat="1" applyFont="1" applyFill="1" applyBorder="1" applyProtection="1"/>
    <xf numFmtId="43" fontId="47" fillId="8" borderId="27" xfId="0" applyNumberFormat="1" applyFont="1" applyFill="1" applyBorder="1" applyProtection="1"/>
    <xf numFmtId="1" fontId="47" fillId="8" borderId="0" xfId="0" applyNumberFormat="1" applyFont="1" applyFill="1" applyBorder="1" applyAlignment="1" applyProtection="1">
      <alignment horizontal="center" vertical="center"/>
    </xf>
    <xf numFmtId="0" fontId="48" fillId="8" borderId="2" xfId="0" applyFont="1" applyFill="1" applyBorder="1" applyAlignment="1" applyProtection="1">
      <alignment horizontal="center"/>
    </xf>
    <xf numFmtId="1" fontId="49" fillId="8" borderId="0" xfId="0" applyNumberFormat="1" applyFont="1" applyFill="1" applyBorder="1" applyAlignment="1" applyProtection="1">
      <alignment horizontal="center" vertical="center"/>
    </xf>
    <xf numFmtId="0" fontId="49" fillId="8" borderId="17" xfId="0" applyFont="1" applyFill="1" applyBorder="1" applyProtection="1"/>
    <xf numFmtId="43" fontId="49" fillId="8" borderId="0" xfId="1" applyFont="1" applyFill="1" applyProtection="1"/>
    <xf numFmtId="0" fontId="48" fillId="8" borderId="0" xfId="0" applyFont="1" applyFill="1" applyProtection="1"/>
    <xf numFmtId="0" fontId="49" fillId="8" borderId="0" xfId="0" applyFont="1" applyFill="1" applyProtection="1"/>
    <xf numFmtId="0" fontId="47" fillId="8" borderId="2" xfId="0" applyFont="1" applyFill="1" applyBorder="1" applyProtection="1"/>
    <xf numFmtId="0" fontId="49" fillId="8" borderId="2" xfId="0" applyFont="1" applyFill="1" applyBorder="1" applyProtection="1"/>
    <xf numFmtId="0" fontId="47" fillId="8" borderId="27" xfId="0" applyFont="1" applyFill="1" applyBorder="1" applyProtection="1"/>
    <xf numFmtId="43" fontId="47" fillId="8" borderId="0" xfId="1" applyFont="1" applyFill="1" applyBorder="1" applyProtection="1"/>
    <xf numFmtId="43" fontId="10" fillId="8" borderId="27" xfId="0" applyNumberFormat="1" applyFont="1" applyFill="1" applyBorder="1" applyProtection="1"/>
    <xf numFmtId="0" fontId="10" fillId="8" borderId="17" xfId="0" applyFont="1" applyFill="1" applyBorder="1" applyProtection="1"/>
    <xf numFmtId="43" fontId="49" fillId="8" borderId="0" xfId="1" applyFont="1" applyFill="1" applyBorder="1" applyProtection="1"/>
    <xf numFmtId="0" fontId="112" fillId="8" borderId="0" xfId="0" applyFont="1" applyFill="1" applyBorder="1" applyProtection="1"/>
    <xf numFmtId="0" fontId="49" fillId="8" borderId="0" xfId="0" applyFont="1" applyFill="1" applyBorder="1" applyProtection="1"/>
    <xf numFmtId="200" fontId="24" fillId="8" borderId="0" xfId="1" applyNumberFormat="1" applyFont="1" applyFill="1" applyProtection="1"/>
    <xf numFmtId="0" fontId="24" fillId="8" borderId="0" xfId="0" applyFont="1" applyFill="1" applyAlignment="1" applyProtection="1">
      <alignment horizontal="center"/>
    </xf>
    <xf numFmtId="1" fontId="10" fillId="8" borderId="0" xfId="0" applyNumberFormat="1" applyFont="1" applyFill="1" applyBorder="1" applyAlignment="1" applyProtection="1">
      <alignment horizontal="center" vertical="center"/>
    </xf>
    <xf numFmtId="219" fontId="24" fillId="8" borderId="0" xfId="0" applyNumberFormat="1" applyFont="1" applyFill="1" applyProtection="1"/>
    <xf numFmtId="49" fontId="24" fillId="8" borderId="27" xfId="0" applyNumberFormat="1" applyFont="1" applyFill="1" applyBorder="1" applyProtection="1"/>
    <xf numFmtId="49" fontId="47" fillId="8" borderId="27" xfId="0" applyNumberFormat="1" applyFont="1" applyFill="1" applyBorder="1" applyProtection="1"/>
    <xf numFmtId="0" fontId="24" fillId="8" borderId="27" xfId="0" applyFont="1" applyFill="1" applyBorder="1" applyProtection="1"/>
    <xf numFmtId="187" fontId="47" fillId="8" borderId="17" xfId="0" applyNumberFormat="1" applyFont="1" applyFill="1" applyBorder="1" applyAlignment="1" applyProtection="1"/>
    <xf numFmtId="39" fontId="47" fillId="8" borderId="27" xfId="0" applyNumberFormat="1" applyFont="1" applyFill="1" applyBorder="1" applyAlignment="1" applyProtection="1">
      <alignment horizontal="left"/>
    </xf>
    <xf numFmtId="220" fontId="47" fillId="8" borderId="2" xfId="0" applyNumberFormat="1" applyFont="1" applyFill="1" applyBorder="1" applyProtection="1"/>
    <xf numFmtId="39" fontId="47" fillId="8" borderId="2" xfId="0" applyNumberFormat="1" applyFont="1" applyFill="1" applyBorder="1" applyAlignment="1" applyProtection="1">
      <alignment horizontal="center"/>
    </xf>
    <xf numFmtId="0" fontId="47" fillId="8" borderId="26" xfId="0" applyFont="1" applyFill="1" applyBorder="1" applyProtection="1"/>
    <xf numFmtId="0" fontId="47" fillId="8" borderId="15" xfId="0" applyFont="1" applyFill="1" applyBorder="1" applyProtection="1"/>
    <xf numFmtId="0" fontId="47" fillId="8" borderId="28" xfId="0" applyFont="1" applyFill="1" applyBorder="1" applyProtection="1"/>
    <xf numFmtId="0" fontId="24" fillId="8" borderId="12" xfId="0" applyFont="1" applyFill="1" applyBorder="1" applyAlignment="1" applyProtection="1">
      <alignment horizontal="left"/>
    </xf>
    <xf numFmtId="0" fontId="47" fillId="8" borderId="16" xfId="0" applyFont="1" applyFill="1" applyBorder="1" applyProtection="1"/>
    <xf numFmtId="4" fontId="24" fillId="8" borderId="16" xfId="0" applyNumberFormat="1" applyFont="1" applyFill="1" applyBorder="1" applyProtection="1"/>
    <xf numFmtId="4" fontId="24" fillId="8" borderId="28" xfId="0" applyNumberFormat="1" applyFont="1" applyFill="1" applyBorder="1" applyProtection="1"/>
    <xf numFmtId="0" fontId="47" fillId="8" borderId="13" xfId="0" applyFont="1" applyFill="1" applyBorder="1" applyProtection="1"/>
    <xf numFmtId="0" fontId="47" fillId="8" borderId="12" xfId="0" applyFont="1" applyFill="1" applyBorder="1" applyProtection="1"/>
    <xf numFmtId="0" fontId="24" fillId="8" borderId="0" xfId="0" applyFont="1" applyFill="1" applyBorder="1" applyAlignment="1" applyProtection="1">
      <alignment horizontal="left"/>
    </xf>
    <xf numFmtId="4" fontId="24" fillId="8" borderId="0" xfId="0" applyNumberFormat="1" applyFont="1" applyFill="1" applyBorder="1" applyProtection="1"/>
    <xf numFmtId="0" fontId="24" fillId="8" borderId="29" xfId="0" applyFont="1" applyFill="1" applyBorder="1" applyAlignment="1" applyProtection="1"/>
    <xf numFmtId="0" fontId="47" fillId="8" borderId="27" xfId="0" applyFont="1" applyFill="1" applyBorder="1" applyAlignment="1" applyProtection="1">
      <alignment horizontal="center"/>
    </xf>
    <xf numFmtId="0" fontId="24" fillId="8" borderId="11" xfId="0" applyFont="1" applyFill="1" applyBorder="1" applyAlignment="1" applyProtection="1">
      <alignment horizontal="left"/>
    </xf>
    <xf numFmtId="4" fontId="24" fillId="8" borderId="2" xfId="0" applyNumberFormat="1" applyFont="1" applyFill="1" applyBorder="1" applyAlignment="1" applyProtection="1">
      <alignment horizontal="right"/>
    </xf>
    <xf numFmtId="4" fontId="24" fillId="8" borderId="27" xfId="0" applyNumberFormat="1" applyFont="1" applyFill="1" applyBorder="1" applyAlignment="1" applyProtection="1">
      <alignment horizontal="right"/>
    </xf>
    <xf numFmtId="39" fontId="47" fillId="8" borderId="0" xfId="0" applyNumberFormat="1" applyFont="1" applyFill="1" applyBorder="1" applyAlignment="1" applyProtection="1">
      <alignment horizontal="left"/>
    </xf>
    <xf numFmtId="39" fontId="47" fillId="8" borderId="0" xfId="0" applyNumberFormat="1" applyFont="1" applyFill="1" applyBorder="1" applyAlignment="1" applyProtection="1">
      <alignment horizontal="center"/>
    </xf>
    <xf numFmtId="39" fontId="24" fillId="8" borderId="0" xfId="0" applyNumberFormat="1" applyFont="1" applyFill="1" applyBorder="1" applyAlignment="1" applyProtection="1">
      <alignment horizontal="left"/>
    </xf>
    <xf numFmtId="41" fontId="47" fillId="8" borderId="2" xfId="0" applyNumberFormat="1" applyFont="1" applyFill="1" applyBorder="1" applyAlignment="1" applyProtection="1">
      <alignment horizontal="right"/>
    </xf>
    <xf numFmtId="0" fontId="49" fillId="8" borderId="0" xfId="0" applyFont="1" applyFill="1" applyBorder="1" applyAlignment="1" applyProtection="1">
      <alignment horizontal="center"/>
    </xf>
    <xf numFmtId="0" fontId="49" fillId="8" borderId="17" xfId="0" applyFont="1" applyFill="1" applyBorder="1" applyAlignment="1" applyProtection="1">
      <alignment horizontal="center"/>
    </xf>
    <xf numFmtId="41" fontId="128" fillId="8" borderId="2" xfId="0" applyNumberFormat="1" applyFont="1" applyFill="1" applyBorder="1" applyProtection="1"/>
    <xf numFmtId="41" fontId="127" fillId="8" borderId="2" xfId="0" applyNumberFormat="1" applyFont="1" applyFill="1" applyBorder="1" applyProtection="1"/>
    <xf numFmtId="0" fontId="47" fillId="8" borderId="0" xfId="0" applyFont="1" applyFill="1" applyBorder="1" applyAlignment="1" applyProtection="1">
      <alignment horizontal="center"/>
    </xf>
    <xf numFmtId="4" fontId="24" fillId="8" borderId="25" xfId="0" applyNumberFormat="1" applyFont="1" applyFill="1" applyBorder="1" applyAlignment="1" applyProtection="1">
      <alignment horizontal="right"/>
    </xf>
    <xf numFmtId="0" fontId="47" fillId="8" borderId="30" xfId="0" applyFont="1" applyFill="1" applyBorder="1" applyAlignment="1" applyProtection="1">
      <alignment horizontal="center"/>
    </xf>
    <xf numFmtId="221" fontId="47" fillId="8" borderId="2" xfId="0" applyNumberFormat="1" applyFont="1" applyFill="1" applyBorder="1" applyProtection="1"/>
    <xf numFmtId="0" fontId="24" fillId="8" borderId="2" xfId="0" applyFont="1" applyFill="1" applyBorder="1" applyProtection="1"/>
    <xf numFmtId="43" fontId="24" fillId="8" borderId="0" xfId="0" applyNumberFormat="1" applyFont="1" applyFill="1" applyProtection="1"/>
    <xf numFmtId="39" fontId="47" fillId="8" borderId="0" xfId="0" quotePrefix="1" applyNumberFormat="1" applyFont="1" applyFill="1" applyBorder="1" applyAlignment="1" applyProtection="1">
      <alignment horizontal="left"/>
    </xf>
    <xf numFmtId="0" fontId="24" fillId="8" borderId="12" xfId="0" applyFont="1" applyFill="1" applyBorder="1" applyAlignment="1" applyProtection="1">
      <alignment horizontal="center"/>
    </xf>
    <xf numFmtId="188" fontId="24" fillId="8" borderId="16" xfId="0" applyNumberFormat="1" applyFont="1" applyFill="1" applyBorder="1" applyAlignment="1"/>
    <xf numFmtId="0" fontId="24" fillId="8" borderId="0" xfId="0" applyFont="1" applyFill="1" applyBorder="1" applyAlignment="1" applyProtection="1">
      <alignment horizontal="center"/>
    </xf>
    <xf numFmtId="4" fontId="50" fillId="8" borderId="0" xfId="0" applyNumberFormat="1" applyFont="1" applyFill="1" applyBorder="1" applyProtection="1"/>
    <xf numFmtId="4" fontId="50" fillId="8" borderId="16" xfId="0" applyNumberFormat="1" applyFont="1" applyFill="1" applyBorder="1" applyProtection="1"/>
    <xf numFmtId="41" fontId="47" fillId="8" borderId="16" xfId="0" applyNumberFormat="1" applyFont="1" applyFill="1" applyBorder="1" applyProtection="1"/>
    <xf numFmtId="39" fontId="47" fillId="8" borderId="16" xfId="0" applyNumberFormat="1" applyFont="1" applyFill="1" applyBorder="1" applyAlignment="1" applyProtection="1">
      <alignment horizontal="center"/>
    </xf>
    <xf numFmtId="187" fontId="47" fillId="8" borderId="16" xfId="0" applyNumberFormat="1" applyFont="1" applyFill="1" applyBorder="1" applyAlignment="1" applyProtection="1">
      <alignment horizontal="right"/>
    </xf>
    <xf numFmtId="187" fontId="47" fillId="8" borderId="16" xfId="0" applyNumberFormat="1" applyFont="1" applyFill="1" applyBorder="1" applyAlignment="1" applyProtection="1"/>
    <xf numFmtId="43" fontId="47" fillId="8" borderId="16" xfId="0" applyNumberFormat="1" applyFont="1" applyFill="1" applyBorder="1" applyProtection="1"/>
    <xf numFmtId="203" fontId="47" fillId="8" borderId="16" xfId="0" applyNumberFormat="1" applyFont="1" applyFill="1" applyBorder="1" applyProtection="1"/>
    <xf numFmtId="39" fontId="47" fillId="8" borderId="13" xfId="0" applyNumberFormat="1" applyFont="1" applyFill="1" applyBorder="1" applyAlignment="1" applyProtection="1">
      <alignment horizontal="left"/>
    </xf>
    <xf numFmtId="39" fontId="47" fillId="8" borderId="12" xfId="0" applyNumberFormat="1" applyFont="1" applyFill="1" applyBorder="1" applyAlignment="1" applyProtection="1">
      <alignment horizontal="left"/>
    </xf>
    <xf numFmtId="43" fontId="47" fillId="8" borderId="27" xfId="0" applyNumberFormat="1" applyFont="1" applyFill="1" applyBorder="1" applyAlignment="1" applyProtection="1">
      <alignment horizontal="center"/>
    </xf>
    <xf numFmtId="43" fontId="47" fillId="8" borderId="0" xfId="0" applyNumberFormat="1" applyFont="1" applyFill="1" applyBorder="1" applyAlignment="1" applyProtection="1">
      <alignment horizontal="center"/>
    </xf>
    <xf numFmtId="43" fontId="47" fillId="8" borderId="17" xfId="0" applyNumberFormat="1" applyFont="1" applyFill="1" applyBorder="1" applyAlignment="1" applyProtection="1">
      <alignment horizontal="center"/>
    </xf>
    <xf numFmtId="43" fontId="24" fillId="8" borderId="16" xfId="0" applyNumberFormat="1" applyFont="1" applyFill="1" applyBorder="1" applyProtection="1"/>
    <xf numFmtId="43" fontId="47" fillId="8" borderId="28" xfId="0" applyNumberFormat="1" applyFont="1" applyFill="1" applyBorder="1" applyAlignment="1" applyProtection="1">
      <alignment horizontal="center"/>
    </xf>
    <xf numFmtId="43" fontId="47" fillId="8" borderId="13" xfId="0" applyNumberFormat="1" applyFont="1" applyFill="1" applyBorder="1" applyAlignment="1" applyProtection="1">
      <alignment horizontal="center"/>
    </xf>
    <xf numFmtId="43" fontId="47" fillId="8" borderId="12" xfId="0" applyNumberFormat="1" applyFont="1" applyFill="1" applyBorder="1" applyAlignment="1" applyProtection="1">
      <alignment horizontal="center"/>
    </xf>
    <xf numFmtId="39" fontId="47" fillId="8" borderId="28" xfId="0" applyNumberFormat="1" applyFont="1" applyFill="1" applyBorder="1" applyAlignment="1" applyProtection="1"/>
    <xf numFmtId="39" fontId="47" fillId="8" borderId="13" xfId="0" applyNumberFormat="1" applyFont="1" applyFill="1" applyBorder="1" applyAlignment="1" applyProtection="1"/>
    <xf numFmtId="39" fontId="24" fillId="8" borderId="13" xfId="0" applyNumberFormat="1" applyFont="1" applyFill="1" applyBorder="1" applyAlignment="1" applyProtection="1"/>
    <xf numFmtId="39" fontId="47" fillId="8" borderId="12" xfId="0" applyNumberFormat="1" applyFont="1" applyFill="1" applyBorder="1" applyAlignment="1" applyProtection="1"/>
    <xf numFmtId="41" fontId="47" fillId="8" borderId="0" xfId="0" applyNumberFormat="1" applyFont="1" applyFill="1" applyBorder="1" applyProtection="1"/>
    <xf numFmtId="187" fontId="47" fillId="8" borderId="0" xfId="0" applyNumberFormat="1" applyFont="1" applyFill="1" applyBorder="1" applyAlignment="1" applyProtection="1"/>
    <xf numFmtId="43" fontId="47" fillId="8" borderId="0" xfId="0" applyNumberFormat="1" applyFont="1" applyFill="1" applyBorder="1" applyProtection="1"/>
    <xf numFmtId="203" fontId="47" fillId="8" borderId="0" xfId="0" applyNumberFormat="1" applyFont="1" applyFill="1" applyBorder="1" applyProtection="1"/>
    <xf numFmtId="4" fontId="47" fillId="8" borderId="0" xfId="3" applyFont="1" applyFill="1" applyProtection="1"/>
    <xf numFmtId="0" fontId="17" fillId="8" borderId="0" xfId="0" applyFont="1" applyFill="1" applyAlignment="1" applyProtection="1"/>
    <xf numFmtId="4" fontId="47" fillId="8" borderId="0" xfId="3" applyFont="1" applyFill="1" applyAlignment="1" applyProtection="1"/>
    <xf numFmtId="0" fontId="17" fillId="8" borderId="0" xfId="0" applyFont="1" applyFill="1" applyProtection="1"/>
    <xf numFmtId="4" fontId="17" fillId="8" borderId="0" xfId="3" applyFont="1" applyFill="1" applyProtection="1"/>
    <xf numFmtId="4" fontId="47" fillId="8" borderId="0" xfId="3" applyFont="1" applyFill="1" applyAlignment="1" applyProtection="1">
      <alignment horizontal="center"/>
    </xf>
    <xf numFmtId="0" fontId="47" fillId="8" borderId="0" xfId="0" applyFont="1" applyFill="1" applyAlignment="1" applyProtection="1"/>
    <xf numFmtId="4" fontId="17" fillId="8" borderId="0" xfId="3" applyFont="1" applyFill="1" applyAlignment="1" applyProtection="1">
      <protection locked="0"/>
    </xf>
    <xf numFmtId="4" fontId="47" fillId="8" borderId="0" xfId="3" applyFont="1" applyFill="1" applyProtection="1">
      <protection locked="0"/>
    </xf>
    <xf numFmtId="0" fontId="47" fillId="8" borderId="0" xfId="0" applyFont="1" applyFill="1" applyAlignment="1" applyProtection="1">
      <protection locked="0"/>
    </xf>
    <xf numFmtId="4" fontId="24" fillId="8" borderId="0" xfId="0" applyNumberFormat="1" applyFont="1" applyFill="1" applyProtection="1"/>
    <xf numFmtId="0" fontId="10" fillId="0" borderId="0" xfId="0" applyFont="1" applyAlignment="1" applyProtection="1">
      <alignment horizontal="center" shrinkToFit="1"/>
    </xf>
    <xf numFmtId="0" fontId="24" fillId="0" borderId="0" xfId="0" applyFont="1" applyFill="1" applyAlignment="1" applyProtection="1">
      <alignment horizontal="center"/>
    </xf>
    <xf numFmtId="0" fontId="24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/>
    <xf numFmtId="0" fontId="11" fillId="0" borderId="0" xfId="0" applyFont="1" applyProtection="1"/>
    <xf numFmtId="0" fontId="17" fillId="0" borderId="66" xfId="0" applyFont="1" applyFill="1" applyBorder="1" applyAlignment="1" applyProtection="1">
      <alignment horizontal="center"/>
    </xf>
    <xf numFmtId="0" fontId="17" fillId="0" borderId="67" xfId="0" applyFont="1" applyFill="1" applyBorder="1" applyAlignment="1" applyProtection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50" borderId="28" xfId="0" applyFont="1" applyFill="1" applyBorder="1" applyAlignment="1">
      <alignment horizontal="center"/>
    </xf>
    <xf numFmtId="0" fontId="8" fillId="50" borderId="12" xfId="0" applyFont="1" applyFill="1" applyBorder="1" applyAlignment="1">
      <alignment horizontal="center"/>
    </xf>
    <xf numFmtId="2" fontId="8" fillId="0" borderId="28" xfId="0" applyNumberFormat="1" applyFont="1" applyFill="1" applyBorder="1" applyAlignment="1">
      <alignment horizontal="center"/>
    </xf>
    <xf numFmtId="2" fontId="8" fillId="0" borderId="12" xfId="0" applyNumberFormat="1" applyFont="1" applyFill="1" applyBorder="1" applyAlignment="1">
      <alignment horizontal="center"/>
    </xf>
    <xf numFmtId="0" fontId="8" fillId="53" borderId="28" xfId="0" applyFont="1" applyFill="1" applyBorder="1" applyAlignment="1">
      <alignment horizontal="center"/>
    </xf>
    <xf numFmtId="0" fontId="8" fillId="53" borderId="12" xfId="0" applyFont="1" applyFill="1" applyBorder="1" applyAlignment="1">
      <alignment horizontal="center"/>
    </xf>
    <xf numFmtId="0" fontId="47" fillId="8" borderId="28" xfId="0" applyFont="1" applyFill="1" applyBorder="1" applyAlignment="1" applyProtection="1">
      <alignment horizontal="center"/>
    </xf>
    <xf numFmtId="0" fontId="47" fillId="8" borderId="13" xfId="0" applyFont="1" applyFill="1" applyBorder="1" applyAlignment="1" applyProtection="1">
      <alignment horizontal="center"/>
    </xf>
    <xf numFmtId="0" fontId="47" fillId="8" borderId="12" xfId="0" applyFont="1" applyFill="1" applyBorder="1" applyAlignment="1" applyProtection="1">
      <alignment horizontal="center"/>
    </xf>
    <xf numFmtId="43" fontId="10" fillId="8" borderId="27" xfId="0" applyNumberFormat="1" applyFont="1" applyFill="1" applyBorder="1" applyAlignment="1" applyProtection="1">
      <alignment horizontal="center"/>
    </xf>
    <xf numFmtId="43" fontId="10" fillId="8" borderId="0" xfId="0" applyNumberFormat="1" applyFont="1" applyFill="1" applyBorder="1" applyAlignment="1" applyProtection="1">
      <alignment horizontal="center"/>
    </xf>
    <xf numFmtId="43" fontId="10" fillId="8" borderId="17" xfId="0" applyNumberFormat="1" applyFont="1" applyFill="1" applyBorder="1" applyAlignment="1" applyProtection="1">
      <alignment horizontal="center"/>
    </xf>
    <xf numFmtId="39" fontId="47" fillId="8" borderId="27" xfId="0" applyNumberFormat="1" applyFont="1" applyFill="1" applyBorder="1" applyAlignment="1" applyProtection="1">
      <alignment horizontal="left"/>
    </xf>
    <xf numFmtId="39" fontId="47" fillId="8" borderId="17" xfId="0" applyNumberFormat="1" applyFont="1" applyFill="1" applyBorder="1" applyAlignment="1" applyProtection="1">
      <alignment horizontal="left"/>
    </xf>
    <xf numFmtId="0" fontId="36" fillId="8" borderId="0" xfId="0" applyFont="1" applyFill="1" applyAlignment="1" applyProtection="1">
      <alignment horizontal="center"/>
    </xf>
    <xf numFmtId="0" fontId="47" fillId="8" borderId="27" xfId="0" applyFont="1" applyFill="1" applyBorder="1" applyAlignment="1" applyProtection="1">
      <alignment horizontal="center"/>
    </xf>
    <xf numFmtId="0" fontId="47" fillId="8" borderId="0" xfId="0" applyFont="1" applyFill="1" applyBorder="1" applyAlignment="1" applyProtection="1">
      <alignment horizontal="center"/>
    </xf>
    <xf numFmtId="0" fontId="47" fillId="8" borderId="17" xfId="0" applyFont="1" applyFill="1" applyBorder="1" applyAlignment="1" applyProtection="1">
      <alignment horizontal="center"/>
    </xf>
    <xf numFmtId="0" fontId="49" fillId="8" borderId="0" xfId="0" applyFont="1" applyFill="1" applyBorder="1" applyAlignment="1" applyProtection="1">
      <alignment horizontal="center"/>
    </xf>
    <xf numFmtId="0" fontId="49" fillId="8" borderId="17" xfId="0" applyFont="1" applyFill="1" applyBorder="1" applyAlignment="1" applyProtection="1">
      <alignment horizontal="center"/>
    </xf>
    <xf numFmtId="0" fontId="47" fillId="8" borderId="25" xfId="0" applyFont="1" applyFill="1" applyBorder="1" applyAlignment="1" applyProtection="1">
      <alignment horizontal="center"/>
    </xf>
    <xf numFmtId="0" fontId="47" fillId="8" borderId="30" xfId="0" applyFont="1" applyFill="1" applyBorder="1" applyAlignment="1" applyProtection="1">
      <alignment horizontal="center"/>
    </xf>
    <xf numFmtId="0" fontId="47" fillId="8" borderId="11" xfId="0" applyFont="1" applyFill="1" applyBorder="1" applyAlignment="1" applyProtection="1">
      <alignment horizontal="center"/>
    </xf>
    <xf numFmtId="0" fontId="24" fillId="8" borderId="27" xfId="0" applyFont="1" applyFill="1" applyBorder="1" applyProtection="1"/>
    <xf numFmtId="0" fontId="24" fillId="8" borderId="17" xfId="0" applyFont="1" applyFill="1" applyBorder="1" applyProtection="1"/>
    <xf numFmtId="0" fontId="47" fillId="8" borderId="27" xfId="0" applyFont="1" applyFill="1" applyBorder="1" applyProtection="1"/>
    <xf numFmtId="0" fontId="47" fillId="8" borderId="17" xfId="0" applyFont="1" applyFill="1" applyBorder="1" applyProtection="1"/>
    <xf numFmtId="39" fontId="24" fillId="8" borderId="13" xfId="0" applyNumberFormat="1" applyFont="1" applyFill="1" applyBorder="1" applyAlignment="1" applyProtection="1">
      <alignment horizontal="center"/>
    </xf>
    <xf numFmtId="0" fontId="10" fillId="8" borderId="27" xfId="0" applyFont="1" applyFill="1" applyBorder="1" applyAlignment="1" applyProtection="1">
      <alignment horizontal="center"/>
    </xf>
    <xf numFmtId="0" fontId="10" fillId="8" borderId="0" xfId="0" applyFont="1" applyFill="1" applyBorder="1" applyAlignment="1" applyProtection="1">
      <alignment horizontal="center"/>
    </xf>
    <xf numFmtId="0" fontId="10" fillId="8" borderId="17" xfId="0" applyFont="1" applyFill="1" applyBorder="1" applyAlignment="1" applyProtection="1">
      <alignment horizontal="center"/>
    </xf>
    <xf numFmtId="0" fontId="47" fillId="8" borderId="16" xfId="0" applyFont="1" applyFill="1" applyBorder="1" applyAlignment="1" applyProtection="1">
      <alignment horizontal="center" vertical="center"/>
    </xf>
    <xf numFmtId="0" fontId="24" fillId="8" borderId="10" xfId="0" applyFont="1" applyFill="1" applyBorder="1" applyAlignment="1" applyProtection="1">
      <alignment horizontal="center"/>
    </xf>
    <xf numFmtId="0" fontId="24" fillId="8" borderId="16" xfId="0" applyFont="1" applyFill="1" applyBorder="1" applyAlignment="1" applyProtection="1">
      <alignment horizontal="center"/>
    </xf>
    <xf numFmtId="0" fontId="24" fillId="8" borderId="13" xfId="0" applyFont="1" applyFill="1" applyBorder="1" applyAlignment="1" applyProtection="1">
      <alignment horizontal="left"/>
    </xf>
    <xf numFmtId="0" fontId="24" fillId="8" borderId="12" xfId="0" applyFont="1" applyFill="1" applyBorder="1" applyAlignment="1" applyProtection="1">
      <alignment horizontal="left"/>
    </xf>
    <xf numFmtId="39" fontId="47" fillId="8" borderId="27" xfId="0" quotePrefix="1" applyNumberFormat="1" applyFont="1" applyFill="1" applyBorder="1" applyAlignment="1" applyProtection="1">
      <alignment horizontal="left"/>
    </xf>
    <xf numFmtId="39" fontId="47" fillId="8" borderId="17" xfId="0" quotePrefix="1" applyNumberFormat="1" applyFont="1" applyFill="1" applyBorder="1" applyAlignment="1" applyProtection="1">
      <alignment horizontal="left"/>
    </xf>
    <xf numFmtId="0" fontId="24" fillId="8" borderId="0" xfId="0" applyFont="1" applyFill="1" applyAlignment="1" applyProtection="1">
      <alignment horizontal="left"/>
    </xf>
    <xf numFmtId="0" fontId="17" fillId="8" borderId="0" xfId="0" applyFont="1" applyFill="1" applyAlignment="1" applyProtection="1">
      <alignment horizontal="center"/>
    </xf>
    <xf numFmtId="4" fontId="17" fillId="8" borderId="0" xfId="3" applyFont="1" applyFill="1" applyAlignment="1" applyProtection="1">
      <protection locked="0"/>
    </xf>
    <xf numFmtId="4" fontId="17" fillId="8" borderId="0" xfId="3" applyFont="1" applyFill="1" applyAlignment="1" applyProtection="1">
      <alignment horizontal="left"/>
      <protection locked="0"/>
    </xf>
    <xf numFmtId="39" fontId="24" fillId="8" borderId="12" xfId="0" applyNumberFormat="1" applyFont="1" applyFill="1" applyBorder="1" applyAlignment="1" applyProtection="1">
      <alignment horizontal="center"/>
    </xf>
    <xf numFmtId="43" fontId="47" fillId="8" borderId="2" xfId="0" applyNumberFormat="1" applyFont="1" applyFill="1" applyBorder="1" applyAlignment="1" applyProtection="1">
      <alignment horizontal="center"/>
    </xf>
    <xf numFmtId="39" fontId="47" fillId="8" borderId="12" xfId="0" applyNumberFormat="1" applyFont="1" applyFill="1" applyBorder="1" applyAlignment="1" applyProtection="1">
      <alignment horizontal="left"/>
    </xf>
    <xf numFmtId="39" fontId="47" fillId="8" borderId="16" xfId="0" applyNumberFormat="1" applyFont="1" applyFill="1" applyBorder="1" applyAlignment="1" applyProtection="1">
      <alignment horizontal="left"/>
    </xf>
    <xf numFmtId="43" fontId="47" fillId="8" borderId="16" xfId="0" applyNumberFormat="1" applyFont="1" applyFill="1" applyBorder="1" applyAlignment="1" applyProtection="1">
      <alignment horizontal="center"/>
    </xf>
    <xf numFmtId="39" fontId="24" fillId="8" borderId="28" xfId="0" applyNumberFormat="1" applyFont="1" applyFill="1" applyBorder="1" applyAlignment="1" applyProtection="1">
      <alignment horizontal="left"/>
    </xf>
    <xf numFmtId="39" fontId="24" fillId="8" borderId="13" xfId="0" applyNumberFormat="1" applyFont="1" applyFill="1" applyBorder="1" applyAlignment="1" applyProtection="1">
      <alignment horizontal="left"/>
    </xf>
    <xf numFmtId="39" fontId="24" fillId="8" borderId="12" xfId="0" applyNumberFormat="1" applyFont="1" applyFill="1" applyBorder="1" applyAlignment="1" applyProtection="1">
      <alignment horizontal="left"/>
    </xf>
    <xf numFmtId="0" fontId="24" fillId="0" borderId="0" xfId="0" applyFont="1" applyAlignment="1" applyProtection="1">
      <alignment horizontal="center"/>
    </xf>
    <xf numFmtId="3" fontId="17" fillId="0" borderId="0" xfId="0" applyNumberFormat="1" applyFont="1" applyAlignment="1" applyProtection="1">
      <alignment horizontal="center"/>
    </xf>
    <xf numFmtId="43" fontId="47" fillId="0" borderId="27" xfId="1" applyFont="1" applyBorder="1" applyAlignment="1" applyProtection="1">
      <alignment horizontal="center"/>
    </xf>
    <xf numFmtId="43" fontId="47" fillId="0" borderId="17" xfId="1" applyFont="1" applyBorder="1" applyAlignment="1" applyProtection="1">
      <alignment horizontal="center"/>
    </xf>
    <xf numFmtId="43" fontId="47" fillId="0" borderId="0" xfId="1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/>
    </xf>
    <xf numFmtId="3" fontId="47" fillId="0" borderId="28" xfId="0" applyNumberFormat="1" applyFont="1" applyBorder="1" applyAlignment="1" applyProtection="1">
      <alignment horizontal="center"/>
    </xf>
    <xf numFmtId="3" fontId="47" fillId="0" borderId="13" xfId="0" applyNumberFormat="1" applyFont="1" applyBorder="1" applyAlignment="1" applyProtection="1">
      <alignment horizontal="center"/>
    </xf>
    <xf numFmtId="3" fontId="47" fillId="0" borderId="12" xfId="0" applyNumberFormat="1" applyFont="1" applyBorder="1" applyAlignment="1" applyProtection="1">
      <alignment horizontal="center"/>
    </xf>
    <xf numFmtId="3" fontId="47" fillId="0" borderId="25" xfId="0" applyNumberFormat="1" applyFont="1" applyBorder="1" applyAlignment="1" applyProtection="1">
      <alignment horizontal="center"/>
    </xf>
    <xf numFmtId="3" fontId="47" fillId="0" borderId="11" xfId="0" applyNumberFormat="1" applyFont="1" applyBorder="1" applyAlignment="1" applyProtection="1">
      <alignment horizontal="center"/>
    </xf>
    <xf numFmtId="4" fontId="47" fillId="0" borderId="0" xfId="3" applyFont="1" applyAlignment="1" applyProtection="1">
      <alignment horizontal="center"/>
      <protection locked="0"/>
    </xf>
    <xf numFmtId="3" fontId="17" fillId="0" borderId="0" xfId="0" applyNumberFormat="1" applyFont="1" applyBorder="1" applyAlignment="1" applyProtection="1">
      <alignment horizontal="center"/>
    </xf>
    <xf numFmtId="43" fontId="17" fillId="0" borderId="0" xfId="1" applyFont="1" applyBorder="1" applyAlignment="1" applyProtection="1">
      <alignment horizontal="right"/>
    </xf>
    <xf numFmtId="4" fontId="17" fillId="0" borderId="0" xfId="0" applyNumberFormat="1" applyFont="1" applyBorder="1" applyAlignment="1" applyProtection="1">
      <alignment horizontal="center"/>
    </xf>
    <xf numFmtId="0" fontId="47" fillId="0" borderId="28" xfId="0" applyFont="1" applyBorder="1" applyAlignment="1" applyProtection="1">
      <alignment horizontal="center"/>
    </xf>
    <xf numFmtId="0" fontId="47" fillId="0" borderId="13" xfId="0" applyFont="1" applyBorder="1" applyAlignment="1" applyProtection="1">
      <alignment horizontal="center"/>
    </xf>
    <xf numFmtId="0" fontId="47" fillId="0" borderId="12" xfId="0" applyFont="1" applyBorder="1" applyAlignment="1" applyProtection="1">
      <alignment horizontal="center"/>
    </xf>
    <xf numFmtId="43" fontId="47" fillId="0" borderId="30" xfId="1" applyFont="1" applyBorder="1" applyAlignment="1" applyProtection="1">
      <alignment horizontal="center"/>
    </xf>
    <xf numFmtId="43" fontId="47" fillId="0" borderId="11" xfId="1" applyFont="1" applyBorder="1" applyAlignment="1" applyProtection="1">
      <alignment horizontal="center"/>
    </xf>
    <xf numFmtId="4" fontId="47" fillId="0" borderId="0" xfId="0" applyNumberFormat="1" applyFont="1" applyAlignment="1" applyProtection="1">
      <alignment horizontal="center"/>
    </xf>
    <xf numFmtId="43" fontId="47" fillId="0" borderId="29" xfId="1" applyFont="1" applyBorder="1" applyAlignment="1" applyProtection="1">
      <alignment horizontal="center"/>
    </xf>
    <xf numFmtId="43" fontId="47" fillId="0" borderId="14" xfId="1" applyFont="1" applyBorder="1" applyAlignment="1" applyProtection="1">
      <alignment horizontal="center"/>
    </xf>
    <xf numFmtId="43" fontId="47" fillId="0" borderId="28" xfId="1" applyFont="1" applyBorder="1" applyAlignment="1" applyProtection="1">
      <alignment horizontal="center"/>
    </xf>
    <xf numFmtId="43" fontId="47" fillId="0" borderId="12" xfId="1" applyFont="1" applyBorder="1" applyAlignment="1" applyProtection="1">
      <alignment horizontal="center"/>
    </xf>
    <xf numFmtId="43" fontId="47" fillId="0" borderId="68" xfId="1" applyFont="1" applyBorder="1" applyAlignment="1" applyProtection="1">
      <alignment horizontal="center"/>
    </xf>
    <xf numFmtId="43" fontId="47" fillId="0" borderId="69" xfId="1" applyFont="1" applyBorder="1" applyAlignment="1" applyProtection="1">
      <alignment horizontal="center"/>
    </xf>
    <xf numFmtId="191" fontId="47" fillId="0" borderId="30" xfId="0" applyNumberFormat="1" applyFont="1" applyBorder="1" applyAlignment="1" applyProtection="1">
      <alignment horizontal="center"/>
    </xf>
    <xf numFmtId="0" fontId="17" fillId="0" borderId="0" xfId="0" applyFont="1" applyAlignment="1" applyProtection="1">
      <alignment horizontal="center"/>
    </xf>
    <xf numFmtId="4" fontId="17" fillId="0" borderId="0" xfId="3" applyFont="1" applyAlignment="1" applyProtection="1">
      <alignment horizontal="left"/>
      <protection locked="0"/>
    </xf>
    <xf numFmtId="4" fontId="17" fillId="0" borderId="0" xfId="3" applyFont="1" applyAlignment="1" applyProtection="1">
      <protection locked="0"/>
    </xf>
    <xf numFmtId="0" fontId="47" fillId="0" borderId="0" xfId="0" applyFont="1" applyAlignment="1" applyProtection="1">
      <alignment horizontal="center"/>
    </xf>
    <xf numFmtId="0" fontId="47" fillId="0" borderId="0" xfId="0" applyFont="1" applyAlignment="1" applyProtection="1">
      <alignment horizontal="center"/>
      <protection locked="0"/>
    </xf>
    <xf numFmtId="187" fontId="12" fillId="0" borderId="28" xfId="0" applyNumberFormat="1" applyFont="1" applyBorder="1" applyAlignment="1" applyProtection="1">
      <alignment horizontal="left" vertical="center"/>
    </xf>
    <xf numFmtId="0" fontId="3" fillId="0" borderId="12" xfId="0" applyFont="1" applyBorder="1"/>
    <xf numFmtId="0" fontId="3" fillId="0" borderId="30" xfId="0" applyFont="1" applyBorder="1" applyAlignment="1">
      <alignment horizontal="center"/>
    </xf>
    <xf numFmtId="189" fontId="3" fillId="11" borderId="0" xfId="0" applyNumberFormat="1" applyFont="1" applyFill="1" applyBorder="1" applyAlignment="1">
      <alignment horizontal="center"/>
    </xf>
    <xf numFmtId="0" fontId="32" fillId="0" borderId="25" xfId="0" applyFont="1" applyBorder="1" applyAlignment="1">
      <alignment horizontal="center"/>
    </xf>
    <xf numFmtId="0" fontId="32" fillId="0" borderId="30" xfId="0" applyFont="1" applyBorder="1" applyAlignment="1">
      <alignment horizontal="center"/>
    </xf>
    <xf numFmtId="0" fontId="32" fillId="8" borderId="25" xfId="0" applyFont="1" applyFill="1" applyBorder="1" applyAlignment="1">
      <alignment horizontal="center"/>
    </xf>
    <xf numFmtId="0" fontId="32" fillId="8" borderId="30" xfId="0" applyFont="1" applyFill="1" applyBorder="1" applyAlignment="1">
      <alignment horizontal="center"/>
    </xf>
    <xf numFmtId="0" fontId="117" fillId="0" borderId="10" xfId="0" applyFont="1" applyBorder="1" applyAlignment="1">
      <alignment horizontal="center" vertical="center"/>
    </xf>
    <xf numFmtId="0" fontId="117" fillId="0" borderId="26" xfId="0" applyFont="1" applyBorder="1" applyAlignment="1">
      <alignment horizontal="center" vertical="center"/>
    </xf>
    <xf numFmtId="0" fontId="122" fillId="0" borderId="16" xfId="0" applyFont="1" applyBorder="1" applyAlignment="1">
      <alignment horizontal="center"/>
    </xf>
    <xf numFmtId="0" fontId="117" fillId="0" borderId="0" xfId="273" applyFont="1" applyAlignment="1" applyProtection="1">
      <alignment horizontal="center" vertical="center"/>
      <protection locked="0"/>
    </xf>
    <xf numFmtId="0" fontId="113" fillId="0" borderId="0" xfId="0" applyFont="1" applyAlignment="1">
      <alignment horizontal="center" vertical="center"/>
    </xf>
    <xf numFmtId="0" fontId="117" fillId="0" borderId="15" xfId="0" applyFont="1" applyBorder="1" applyAlignment="1">
      <alignment horizontal="center" vertical="center"/>
    </xf>
    <xf numFmtId="0" fontId="117" fillId="0" borderId="28" xfId="0" applyFont="1" applyBorder="1" applyAlignment="1">
      <alignment horizontal="center"/>
    </xf>
    <xf numFmtId="0" fontId="117" fillId="0" borderId="12" xfId="0" applyFont="1" applyBorder="1" applyAlignment="1">
      <alignment horizontal="center"/>
    </xf>
  </cellXfs>
  <cellStyles count="333">
    <cellStyle name=",;F'KOIT[[WAAHK" xfId="8" xr:uid="{00000000-0005-0000-0000-000000000000}"/>
    <cellStyle name="?? [0.00]_????" xfId="9" xr:uid="{00000000-0005-0000-0000-000001000000}"/>
    <cellStyle name="?? [0]_PERSONAL" xfId="10" xr:uid="{00000000-0005-0000-0000-000002000000}"/>
    <cellStyle name="???? [0.00]_????" xfId="11" xr:uid="{00000000-0005-0000-0000-000003000000}"/>
    <cellStyle name="??????[0]_PERSONAL" xfId="12" xr:uid="{00000000-0005-0000-0000-000004000000}"/>
    <cellStyle name="??????PERSONAL" xfId="13" xr:uid="{00000000-0005-0000-0000-000005000000}"/>
    <cellStyle name="?????[0]_PERSONAL" xfId="14" xr:uid="{00000000-0005-0000-0000-000006000000}"/>
    <cellStyle name="?????PERSONAL" xfId="15" xr:uid="{00000000-0005-0000-0000-000007000000}"/>
    <cellStyle name="?????PERSONAL 2" xfId="16" xr:uid="{00000000-0005-0000-0000-000008000000}"/>
    <cellStyle name="?????PERSONAL 3" xfId="17" xr:uid="{00000000-0005-0000-0000-000009000000}"/>
    <cellStyle name="????_????" xfId="18" xr:uid="{00000000-0005-0000-0000-00000A000000}"/>
    <cellStyle name="???[0]_PERSONAL" xfId="19" xr:uid="{00000000-0005-0000-0000-00000B000000}"/>
    <cellStyle name="???_PERSONAL" xfId="20" xr:uid="{00000000-0005-0000-0000-00000C000000}"/>
    <cellStyle name="??_??" xfId="21" xr:uid="{00000000-0005-0000-0000-00000D000000}"/>
    <cellStyle name="?@??laroux" xfId="22" xr:uid="{00000000-0005-0000-0000-00000E000000}"/>
    <cellStyle name="=C:\WINDOWS\SYSTEM32\COMMAND.COM" xfId="23" xr:uid="{00000000-0005-0000-0000-00000F000000}"/>
    <cellStyle name="20% - Accent1" xfId="24" xr:uid="{00000000-0005-0000-0000-000010000000}"/>
    <cellStyle name="20% - Accent2" xfId="25" xr:uid="{00000000-0005-0000-0000-000011000000}"/>
    <cellStyle name="20% - Accent3" xfId="26" xr:uid="{00000000-0005-0000-0000-000012000000}"/>
    <cellStyle name="20% - Accent4" xfId="27" xr:uid="{00000000-0005-0000-0000-000013000000}"/>
    <cellStyle name="20% - Accent5" xfId="28" xr:uid="{00000000-0005-0000-0000-000014000000}"/>
    <cellStyle name="20% - Accent6" xfId="29" xr:uid="{00000000-0005-0000-0000-000015000000}"/>
    <cellStyle name="20% - ส่วนที่ถูกเน้น1 2" xfId="30" xr:uid="{00000000-0005-0000-0000-000016000000}"/>
    <cellStyle name="20% - ส่วนที่ถูกเน้น1 3" xfId="31" xr:uid="{00000000-0005-0000-0000-000017000000}"/>
    <cellStyle name="20% - ส่วนที่ถูกเน้น2 2" xfId="32" xr:uid="{00000000-0005-0000-0000-000018000000}"/>
    <cellStyle name="20% - ส่วนที่ถูกเน้น2 3" xfId="33" xr:uid="{00000000-0005-0000-0000-000019000000}"/>
    <cellStyle name="20% - ส่วนที่ถูกเน้น3 2" xfId="34" xr:uid="{00000000-0005-0000-0000-00001A000000}"/>
    <cellStyle name="20% - ส่วนที่ถูกเน้น3 3" xfId="35" xr:uid="{00000000-0005-0000-0000-00001B000000}"/>
    <cellStyle name="20% - ส่วนที่ถูกเน้น4 2" xfId="36" xr:uid="{00000000-0005-0000-0000-00001C000000}"/>
    <cellStyle name="20% - ส่วนที่ถูกเน้น4 3" xfId="37" xr:uid="{00000000-0005-0000-0000-00001D000000}"/>
    <cellStyle name="20% - ส่วนที่ถูกเน้น5 2" xfId="38" xr:uid="{00000000-0005-0000-0000-00001E000000}"/>
    <cellStyle name="20% - ส่วนที่ถูกเน้น5 3" xfId="39" xr:uid="{00000000-0005-0000-0000-00001F000000}"/>
    <cellStyle name="20% - ส่วนที่ถูกเน้น6 2" xfId="40" xr:uid="{00000000-0005-0000-0000-000020000000}"/>
    <cellStyle name="20% - ส่วนที่ถูกเน้น6 3" xfId="41" xr:uid="{00000000-0005-0000-0000-000021000000}"/>
    <cellStyle name="40% - Accent1" xfId="42" xr:uid="{00000000-0005-0000-0000-000022000000}"/>
    <cellStyle name="40% - Accent2" xfId="43" xr:uid="{00000000-0005-0000-0000-000023000000}"/>
    <cellStyle name="40% - Accent3" xfId="44" xr:uid="{00000000-0005-0000-0000-000024000000}"/>
    <cellStyle name="40% - Accent4" xfId="45" xr:uid="{00000000-0005-0000-0000-000025000000}"/>
    <cellStyle name="40% - Accent5" xfId="46" xr:uid="{00000000-0005-0000-0000-000026000000}"/>
    <cellStyle name="40% - Accent6" xfId="47" xr:uid="{00000000-0005-0000-0000-000027000000}"/>
    <cellStyle name="40% - ส่วนที่ถูกเน้น1 2" xfId="48" xr:uid="{00000000-0005-0000-0000-000028000000}"/>
    <cellStyle name="40% - ส่วนที่ถูกเน้น1 3" xfId="49" xr:uid="{00000000-0005-0000-0000-000029000000}"/>
    <cellStyle name="40% - ส่วนที่ถูกเน้น2 2" xfId="50" xr:uid="{00000000-0005-0000-0000-00002A000000}"/>
    <cellStyle name="40% - ส่วนที่ถูกเน้น2 3" xfId="51" xr:uid="{00000000-0005-0000-0000-00002B000000}"/>
    <cellStyle name="40% - ส่วนที่ถูกเน้น3 2" xfId="52" xr:uid="{00000000-0005-0000-0000-00002C000000}"/>
    <cellStyle name="40% - ส่วนที่ถูกเน้น3 3" xfId="53" xr:uid="{00000000-0005-0000-0000-00002D000000}"/>
    <cellStyle name="40% - ส่วนที่ถูกเน้น4 2" xfId="54" xr:uid="{00000000-0005-0000-0000-00002E000000}"/>
    <cellStyle name="40% - ส่วนที่ถูกเน้น4 3" xfId="55" xr:uid="{00000000-0005-0000-0000-00002F000000}"/>
    <cellStyle name="40% - ส่วนที่ถูกเน้น5 2" xfId="56" xr:uid="{00000000-0005-0000-0000-000030000000}"/>
    <cellStyle name="40% - ส่วนที่ถูกเน้น5 3" xfId="57" xr:uid="{00000000-0005-0000-0000-000031000000}"/>
    <cellStyle name="40% - ส่วนที่ถูกเน้น6 2" xfId="58" xr:uid="{00000000-0005-0000-0000-000032000000}"/>
    <cellStyle name="40% - ส่วนที่ถูกเน้น6 3" xfId="59" xr:uid="{00000000-0005-0000-0000-000033000000}"/>
    <cellStyle name="60% - Accent1" xfId="60" xr:uid="{00000000-0005-0000-0000-000034000000}"/>
    <cellStyle name="60% - Accent2" xfId="61" xr:uid="{00000000-0005-0000-0000-000035000000}"/>
    <cellStyle name="60% - Accent3" xfId="62" xr:uid="{00000000-0005-0000-0000-000036000000}"/>
    <cellStyle name="60% - Accent4" xfId="63" xr:uid="{00000000-0005-0000-0000-000037000000}"/>
    <cellStyle name="60% - Accent5" xfId="64" xr:uid="{00000000-0005-0000-0000-000038000000}"/>
    <cellStyle name="60% - Accent6" xfId="65" xr:uid="{00000000-0005-0000-0000-000039000000}"/>
    <cellStyle name="60% - ส่วนที่ถูกเน้น1 2" xfId="66" xr:uid="{00000000-0005-0000-0000-00003A000000}"/>
    <cellStyle name="60% - ส่วนที่ถูกเน้น1 3" xfId="67" xr:uid="{00000000-0005-0000-0000-00003B000000}"/>
    <cellStyle name="60% - ส่วนที่ถูกเน้น2 2" xfId="68" xr:uid="{00000000-0005-0000-0000-00003C000000}"/>
    <cellStyle name="60% - ส่วนที่ถูกเน้น2 3" xfId="69" xr:uid="{00000000-0005-0000-0000-00003D000000}"/>
    <cellStyle name="60% - ส่วนที่ถูกเน้น3 2" xfId="70" xr:uid="{00000000-0005-0000-0000-00003E000000}"/>
    <cellStyle name="60% - ส่วนที่ถูกเน้น3 3" xfId="71" xr:uid="{00000000-0005-0000-0000-00003F000000}"/>
    <cellStyle name="60% - ส่วนที่ถูกเน้น4 2" xfId="72" xr:uid="{00000000-0005-0000-0000-000040000000}"/>
    <cellStyle name="60% - ส่วนที่ถูกเน้น4 3" xfId="73" xr:uid="{00000000-0005-0000-0000-000041000000}"/>
    <cellStyle name="60% - ส่วนที่ถูกเน้น5 2" xfId="74" xr:uid="{00000000-0005-0000-0000-000042000000}"/>
    <cellStyle name="60% - ส่วนที่ถูกเน้น5 3" xfId="75" xr:uid="{00000000-0005-0000-0000-000043000000}"/>
    <cellStyle name="60% - ส่วนที่ถูกเน้น6 2" xfId="76" xr:uid="{00000000-0005-0000-0000-000044000000}"/>
    <cellStyle name="60% - ส่วนที่ถูกเน้น6 3" xfId="77" xr:uid="{00000000-0005-0000-0000-000045000000}"/>
    <cellStyle name="abc" xfId="78" xr:uid="{00000000-0005-0000-0000-000046000000}"/>
    <cellStyle name="Accent1" xfId="79" xr:uid="{00000000-0005-0000-0000-000047000000}"/>
    <cellStyle name="Accent1 - 20%" xfId="80" xr:uid="{00000000-0005-0000-0000-000048000000}"/>
    <cellStyle name="Accent1 - 40%" xfId="81" xr:uid="{00000000-0005-0000-0000-000049000000}"/>
    <cellStyle name="Accent1 - 60%" xfId="82" xr:uid="{00000000-0005-0000-0000-00004A000000}"/>
    <cellStyle name="Accent2" xfId="83" xr:uid="{00000000-0005-0000-0000-00004B000000}"/>
    <cellStyle name="Accent2 - 20%" xfId="84" xr:uid="{00000000-0005-0000-0000-00004C000000}"/>
    <cellStyle name="Accent2 - 40%" xfId="85" xr:uid="{00000000-0005-0000-0000-00004D000000}"/>
    <cellStyle name="Accent2 - 60%" xfId="86" xr:uid="{00000000-0005-0000-0000-00004E000000}"/>
    <cellStyle name="Accent3" xfId="87" xr:uid="{00000000-0005-0000-0000-00004F000000}"/>
    <cellStyle name="Accent3 - 20%" xfId="88" xr:uid="{00000000-0005-0000-0000-000050000000}"/>
    <cellStyle name="Accent3 - 40%" xfId="89" xr:uid="{00000000-0005-0000-0000-000051000000}"/>
    <cellStyle name="Accent3 - 60%" xfId="90" xr:uid="{00000000-0005-0000-0000-000052000000}"/>
    <cellStyle name="Accent4" xfId="91" xr:uid="{00000000-0005-0000-0000-000053000000}"/>
    <cellStyle name="Accent4 - 20%" xfId="92" xr:uid="{00000000-0005-0000-0000-000054000000}"/>
    <cellStyle name="Accent4 - 40%" xfId="93" xr:uid="{00000000-0005-0000-0000-000055000000}"/>
    <cellStyle name="Accent4 - 60%" xfId="94" xr:uid="{00000000-0005-0000-0000-000056000000}"/>
    <cellStyle name="Accent5" xfId="95" xr:uid="{00000000-0005-0000-0000-000057000000}"/>
    <cellStyle name="Accent5 - 20%" xfId="96" xr:uid="{00000000-0005-0000-0000-000058000000}"/>
    <cellStyle name="Accent5 - 40%" xfId="97" xr:uid="{00000000-0005-0000-0000-000059000000}"/>
    <cellStyle name="Accent5 - 60%" xfId="98" xr:uid="{00000000-0005-0000-0000-00005A000000}"/>
    <cellStyle name="Accent6" xfId="99" xr:uid="{00000000-0005-0000-0000-00005B000000}"/>
    <cellStyle name="Accent6 - 20%" xfId="100" xr:uid="{00000000-0005-0000-0000-00005C000000}"/>
    <cellStyle name="Accent6 - 40%" xfId="101" xr:uid="{00000000-0005-0000-0000-00005D000000}"/>
    <cellStyle name="Accent6 - 60%" xfId="102" xr:uid="{00000000-0005-0000-0000-00005E000000}"/>
    <cellStyle name="Bad" xfId="103" xr:uid="{00000000-0005-0000-0000-00005F000000}"/>
    <cellStyle name="Calc Currency (0)" xfId="104" xr:uid="{00000000-0005-0000-0000-000060000000}"/>
    <cellStyle name="Calc Currency (2)" xfId="105" xr:uid="{00000000-0005-0000-0000-000061000000}"/>
    <cellStyle name="Calc Percent (0)" xfId="106" xr:uid="{00000000-0005-0000-0000-000062000000}"/>
    <cellStyle name="Calc Percent (1)" xfId="107" xr:uid="{00000000-0005-0000-0000-000063000000}"/>
    <cellStyle name="Calc Percent (2)" xfId="108" xr:uid="{00000000-0005-0000-0000-000064000000}"/>
    <cellStyle name="Calc Units (0)" xfId="109" xr:uid="{00000000-0005-0000-0000-000065000000}"/>
    <cellStyle name="Calc Units (0) 2" xfId="110" xr:uid="{00000000-0005-0000-0000-000066000000}"/>
    <cellStyle name="Calc Units (0) 3" xfId="111" xr:uid="{00000000-0005-0000-0000-000067000000}"/>
    <cellStyle name="Calc Units (1)" xfId="112" xr:uid="{00000000-0005-0000-0000-000068000000}"/>
    <cellStyle name="Calc Units (1) 2" xfId="113" xr:uid="{00000000-0005-0000-0000-000069000000}"/>
    <cellStyle name="Calc Units (1) 3" xfId="114" xr:uid="{00000000-0005-0000-0000-00006A000000}"/>
    <cellStyle name="Calc Units (2)" xfId="115" xr:uid="{00000000-0005-0000-0000-00006B000000}"/>
    <cellStyle name="Calculation" xfId="116" xr:uid="{00000000-0005-0000-0000-00006C000000}"/>
    <cellStyle name="Check Cell" xfId="117" xr:uid="{00000000-0005-0000-0000-00006D000000}"/>
    <cellStyle name="Comma [00]" xfId="118" xr:uid="{00000000-0005-0000-0000-00006F000000}"/>
    <cellStyle name="Comma [00] 2" xfId="119" xr:uid="{00000000-0005-0000-0000-000070000000}"/>
    <cellStyle name="Comma [00] 3" xfId="120" xr:uid="{00000000-0005-0000-0000-000071000000}"/>
    <cellStyle name="Comma 2" xfId="121" xr:uid="{00000000-0005-0000-0000-000072000000}"/>
    <cellStyle name="comma zerodec" xfId="122" xr:uid="{00000000-0005-0000-0000-000073000000}"/>
    <cellStyle name="company_title" xfId="123" xr:uid="{00000000-0005-0000-0000-000074000000}"/>
    <cellStyle name="Currency [00]" xfId="124" xr:uid="{00000000-0005-0000-0000-000075000000}"/>
    <cellStyle name="Currency1" xfId="125" xr:uid="{00000000-0005-0000-0000-000076000000}"/>
    <cellStyle name="Date Short" xfId="126" xr:uid="{00000000-0005-0000-0000-000077000000}"/>
    <cellStyle name="date_format" xfId="127" xr:uid="{00000000-0005-0000-0000-000078000000}"/>
    <cellStyle name="Dollar (zero dec)" xfId="128" xr:uid="{00000000-0005-0000-0000-000079000000}"/>
    <cellStyle name="Emphasis 1" xfId="129" xr:uid="{00000000-0005-0000-0000-00007A000000}"/>
    <cellStyle name="Emphasis 2" xfId="130" xr:uid="{00000000-0005-0000-0000-00007B000000}"/>
    <cellStyle name="Emphasis 3" xfId="131" xr:uid="{00000000-0005-0000-0000-00007C000000}"/>
    <cellStyle name="Enter Currency (0)" xfId="132" xr:uid="{00000000-0005-0000-0000-00007D000000}"/>
    <cellStyle name="Enter Currency (0) 2" xfId="133" xr:uid="{00000000-0005-0000-0000-00007E000000}"/>
    <cellStyle name="Enter Currency (0) 3" xfId="134" xr:uid="{00000000-0005-0000-0000-00007F000000}"/>
    <cellStyle name="Enter Currency (2)" xfId="135" xr:uid="{00000000-0005-0000-0000-000080000000}"/>
    <cellStyle name="Enter Units (0)" xfId="136" xr:uid="{00000000-0005-0000-0000-000081000000}"/>
    <cellStyle name="Enter Units (0) 2" xfId="137" xr:uid="{00000000-0005-0000-0000-000082000000}"/>
    <cellStyle name="Enter Units (0) 3" xfId="138" xr:uid="{00000000-0005-0000-0000-000083000000}"/>
    <cellStyle name="Enter Units (1)" xfId="139" xr:uid="{00000000-0005-0000-0000-000084000000}"/>
    <cellStyle name="Enter Units (1) 2" xfId="140" xr:uid="{00000000-0005-0000-0000-000085000000}"/>
    <cellStyle name="Enter Units (1) 3" xfId="141" xr:uid="{00000000-0005-0000-0000-000086000000}"/>
    <cellStyle name="Enter Units (2)" xfId="142" xr:uid="{00000000-0005-0000-0000-000087000000}"/>
    <cellStyle name="Explanatory Text" xfId="143" xr:uid="{00000000-0005-0000-0000-000088000000}"/>
    <cellStyle name="Good" xfId="144" xr:uid="{00000000-0005-0000-0000-000089000000}"/>
    <cellStyle name="Grey" xfId="145" xr:uid="{00000000-0005-0000-0000-00008A000000}"/>
    <cellStyle name="Header1" xfId="146" xr:uid="{00000000-0005-0000-0000-00008B000000}"/>
    <cellStyle name="Header2" xfId="147" xr:uid="{00000000-0005-0000-0000-00008C000000}"/>
    <cellStyle name="Heading 1" xfId="148" xr:uid="{00000000-0005-0000-0000-00008D000000}"/>
    <cellStyle name="Heading 2" xfId="149" xr:uid="{00000000-0005-0000-0000-00008E000000}"/>
    <cellStyle name="Heading 3" xfId="150" xr:uid="{00000000-0005-0000-0000-00008F000000}"/>
    <cellStyle name="Heading 4" xfId="151" xr:uid="{00000000-0005-0000-0000-000090000000}"/>
    <cellStyle name="Hyperlink 2" xfId="152" xr:uid="{00000000-0005-0000-0000-000091000000}"/>
    <cellStyle name="Hyperlink 3" xfId="153" xr:uid="{00000000-0005-0000-0000-000092000000}"/>
    <cellStyle name="Input" xfId="154" xr:uid="{00000000-0005-0000-0000-000093000000}"/>
    <cellStyle name="Input [yellow]" xfId="155" xr:uid="{00000000-0005-0000-0000-000094000000}"/>
    <cellStyle name="Link Currency (0)" xfId="156" xr:uid="{00000000-0005-0000-0000-000095000000}"/>
    <cellStyle name="Link Currency (0) 2" xfId="157" xr:uid="{00000000-0005-0000-0000-000096000000}"/>
    <cellStyle name="Link Currency (0) 3" xfId="158" xr:uid="{00000000-0005-0000-0000-000097000000}"/>
    <cellStyle name="Link Currency (2)" xfId="159" xr:uid="{00000000-0005-0000-0000-000098000000}"/>
    <cellStyle name="Link Units (0)" xfId="160" xr:uid="{00000000-0005-0000-0000-000099000000}"/>
    <cellStyle name="Link Units (0) 2" xfId="161" xr:uid="{00000000-0005-0000-0000-00009A000000}"/>
    <cellStyle name="Link Units (0) 3" xfId="162" xr:uid="{00000000-0005-0000-0000-00009B000000}"/>
    <cellStyle name="Link Units (1)" xfId="163" xr:uid="{00000000-0005-0000-0000-00009C000000}"/>
    <cellStyle name="Link Units (1) 2" xfId="164" xr:uid="{00000000-0005-0000-0000-00009D000000}"/>
    <cellStyle name="Link Units (1) 3" xfId="165" xr:uid="{00000000-0005-0000-0000-00009E000000}"/>
    <cellStyle name="Link Units (2)" xfId="166" xr:uid="{00000000-0005-0000-0000-00009F000000}"/>
    <cellStyle name="Linked Cell" xfId="167" xr:uid="{00000000-0005-0000-0000-0000A0000000}"/>
    <cellStyle name="Neutral" xfId="168" xr:uid="{00000000-0005-0000-0000-0000A1000000}"/>
    <cellStyle name="no dec" xfId="169" xr:uid="{00000000-0005-0000-0000-0000A2000000}"/>
    <cellStyle name="Normal - Style1" xfId="170" xr:uid="{00000000-0005-0000-0000-0000A4000000}"/>
    <cellStyle name="Normal - Style1 2" xfId="171" xr:uid="{00000000-0005-0000-0000-0000A5000000}"/>
    <cellStyle name="Normal - Style1 3" xfId="172" xr:uid="{00000000-0005-0000-0000-0000A6000000}"/>
    <cellStyle name="Normal 2" xfId="173" xr:uid="{00000000-0005-0000-0000-0000A7000000}"/>
    <cellStyle name="Normal 4" xfId="174" xr:uid="{00000000-0005-0000-0000-0000A8000000}"/>
    <cellStyle name="Normal 4 2" xfId="175" xr:uid="{00000000-0005-0000-0000-0000A9000000}"/>
    <cellStyle name="Normal 4 3" xfId="176" xr:uid="{00000000-0005-0000-0000-0000AA000000}"/>
    <cellStyle name="Normal 4 4" xfId="177" xr:uid="{00000000-0005-0000-0000-0000AB000000}"/>
    <cellStyle name="Normal 4 5" xfId="178" xr:uid="{00000000-0005-0000-0000-0000AC000000}"/>
    <cellStyle name="Normal_47อบ.23017" xfId="2" xr:uid="{00000000-0005-0000-0000-0000AD000000}"/>
    <cellStyle name="Normal_สรุปผลการประเมินราคา" xfId="3" xr:uid="{00000000-0005-0000-0000-0000AE000000}"/>
    <cellStyle name="Normal_หา OT" xfId="4" xr:uid="{00000000-0005-0000-0000-0000AF000000}"/>
    <cellStyle name="Nor聭al_ภาคกลาง" xfId="179" xr:uid="{00000000-0005-0000-0000-0000B0000000}"/>
    <cellStyle name="Note" xfId="180" xr:uid="{00000000-0005-0000-0000-0000B1000000}"/>
    <cellStyle name="Note 2" xfId="181" xr:uid="{00000000-0005-0000-0000-0000B2000000}"/>
    <cellStyle name="Output" xfId="182" xr:uid="{00000000-0005-0000-0000-0000B3000000}"/>
    <cellStyle name="ParaBirimi [0]_RESULTS" xfId="183" xr:uid="{00000000-0005-0000-0000-0000B4000000}"/>
    <cellStyle name="ParaBirimi_RESULTS" xfId="184" xr:uid="{00000000-0005-0000-0000-0000B5000000}"/>
    <cellStyle name="Percent [0]" xfId="185" xr:uid="{00000000-0005-0000-0000-0000B6000000}"/>
    <cellStyle name="Percent [00]" xfId="186" xr:uid="{00000000-0005-0000-0000-0000B7000000}"/>
    <cellStyle name="Percent [2]" xfId="187" xr:uid="{00000000-0005-0000-0000-0000B8000000}"/>
    <cellStyle name="PrePop Currency (0)" xfId="188" xr:uid="{00000000-0005-0000-0000-0000B9000000}"/>
    <cellStyle name="PrePop Currency (0) 2" xfId="189" xr:uid="{00000000-0005-0000-0000-0000BA000000}"/>
    <cellStyle name="PrePop Currency (0) 3" xfId="190" xr:uid="{00000000-0005-0000-0000-0000BB000000}"/>
    <cellStyle name="PrePop Currency (2)" xfId="191" xr:uid="{00000000-0005-0000-0000-0000BC000000}"/>
    <cellStyle name="PrePop Units (0)" xfId="192" xr:uid="{00000000-0005-0000-0000-0000BD000000}"/>
    <cellStyle name="PrePop Units (0) 2" xfId="193" xr:uid="{00000000-0005-0000-0000-0000BE000000}"/>
    <cellStyle name="PrePop Units (0) 3" xfId="194" xr:uid="{00000000-0005-0000-0000-0000BF000000}"/>
    <cellStyle name="PrePop Units (1)" xfId="195" xr:uid="{00000000-0005-0000-0000-0000C0000000}"/>
    <cellStyle name="PrePop Units (1) 2" xfId="196" xr:uid="{00000000-0005-0000-0000-0000C1000000}"/>
    <cellStyle name="PrePop Units (1) 3" xfId="197" xr:uid="{00000000-0005-0000-0000-0000C2000000}"/>
    <cellStyle name="PrePop Units (2)" xfId="198" xr:uid="{00000000-0005-0000-0000-0000C3000000}"/>
    <cellStyle name="Quantity" xfId="199" xr:uid="{00000000-0005-0000-0000-0000C4000000}"/>
    <cellStyle name="report_title" xfId="200" xr:uid="{00000000-0005-0000-0000-0000C5000000}"/>
    <cellStyle name="Sheet Title" xfId="201" xr:uid="{00000000-0005-0000-0000-0000C6000000}"/>
    <cellStyle name="Text Indent A" xfId="202" xr:uid="{00000000-0005-0000-0000-0000C7000000}"/>
    <cellStyle name="Text Indent B" xfId="203" xr:uid="{00000000-0005-0000-0000-0000C8000000}"/>
    <cellStyle name="Text Indent C" xfId="204" xr:uid="{00000000-0005-0000-0000-0000C9000000}"/>
    <cellStyle name="Title" xfId="205" xr:uid="{00000000-0005-0000-0000-0000CA000000}"/>
    <cellStyle name="Total" xfId="206" xr:uid="{00000000-0005-0000-0000-0000CB000000}"/>
    <cellStyle name="Virg? [0]_RESULTS" xfId="207" xr:uid="{00000000-0005-0000-0000-0000CC000000}"/>
    <cellStyle name="Virg?_RESULTS" xfId="208" xr:uid="{00000000-0005-0000-0000-0000CD000000}"/>
    <cellStyle name="Warning Text" xfId="209" xr:uid="{00000000-0005-0000-0000-0000CE000000}"/>
    <cellStyle name="การคำนวณ 2" xfId="210" xr:uid="{00000000-0005-0000-0000-0000CF000000}"/>
    <cellStyle name="การคำนวณ 3" xfId="211" xr:uid="{00000000-0005-0000-0000-0000D0000000}"/>
    <cellStyle name="ข้อความเตือน 2" xfId="212" xr:uid="{00000000-0005-0000-0000-0000D1000000}"/>
    <cellStyle name="ข้อความเตือน 3" xfId="213" xr:uid="{00000000-0005-0000-0000-0000D2000000}"/>
    <cellStyle name="ข้อความอธิบาย 2" xfId="214" xr:uid="{00000000-0005-0000-0000-0000D3000000}"/>
    <cellStyle name="ข้อความอธิบาย 3" xfId="215" xr:uid="{00000000-0005-0000-0000-0000D4000000}"/>
    <cellStyle name="เครื่องหมายจุลภาค 10" xfId="216" xr:uid="{00000000-0005-0000-0000-0000D5000000}"/>
    <cellStyle name="เครื่องหมายจุลภาค 11" xfId="217" xr:uid="{00000000-0005-0000-0000-0000D6000000}"/>
    <cellStyle name="เครื่องหมายจุลภาค 11 2" xfId="218" xr:uid="{00000000-0005-0000-0000-0000D7000000}"/>
    <cellStyle name="เครื่องหมายจุลภาค 11 3" xfId="219" xr:uid="{00000000-0005-0000-0000-0000D8000000}"/>
    <cellStyle name="เครื่องหมายจุลภาค 12" xfId="220" xr:uid="{00000000-0005-0000-0000-0000D9000000}"/>
    <cellStyle name="เครื่องหมายจุลภาค 13" xfId="221" xr:uid="{00000000-0005-0000-0000-0000DA000000}"/>
    <cellStyle name="เครื่องหมายจุลภาค 14" xfId="222" xr:uid="{00000000-0005-0000-0000-0000DB000000}"/>
    <cellStyle name="เครื่องหมายจุลภาค 15" xfId="223" xr:uid="{00000000-0005-0000-0000-0000DC000000}"/>
    <cellStyle name="เครื่องหมายจุลภาค 15 2" xfId="224" xr:uid="{00000000-0005-0000-0000-0000DD000000}"/>
    <cellStyle name="เครื่องหมายจุลภาค 15 3" xfId="225" xr:uid="{00000000-0005-0000-0000-0000DE000000}"/>
    <cellStyle name="เครื่องหมายจุลภาค 16" xfId="226" xr:uid="{00000000-0005-0000-0000-0000DF000000}"/>
    <cellStyle name="เครื่องหมายจุลภาค 17" xfId="227" xr:uid="{00000000-0005-0000-0000-0000E0000000}"/>
    <cellStyle name="เครื่องหมายจุลภาค 18" xfId="228" xr:uid="{00000000-0005-0000-0000-0000E1000000}"/>
    <cellStyle name="เครื่องหมายจุลภาค 19" xfId="229" xr:uid="{00000000-0005-0000-0000-0000E2000000}"/>
    <cellStyle name="เครื่องหมายจุลภาค 2" xfId="7" xr:uid="{00000000-0005-0000-0000-0000E3000000}"/>
    <cellStyle name="เครื่องหมายจุลภาค 2 2" xfId="230" xr:uid="{00000000-0005-0000-0000-0000E4000000}"/>
    <cellStyle name="เครื่องหมายจุลภาค 2 3" xfId="231" xr:uid="{00000000-0005-0000-0000-0000E5000000}"/>
    <cellStyle name="เครื่องหมายจุลภาค 2 4" xfId="232" xr:uid="{00000000-0005-0000-0000-0000E6000000}"/>
    <cellStyle name="เครื่องหมายจุลภาค 2 5" xfId="233" xr:uid="{00000000-0005-0000-0000-0000E7000000}"/>
    <cellStyle name="เครื่องหมายจุลภาค 2 6" xfId="234" xr:uid="{00000000-0005-0000-0000-0000E8000000}"/>
    <cellStyle name="เครื่องหมายจุลภาค 2 7" xfId="235" xr:uid="{00000000-0005-0000-0000-0000E9000000}"/>
    <cellStyle name="เครื่องหมายจุลภาค 2 8" xfId="236" xr:uid="{00000000-0005-0000-0000-0000EA000000}"/>
    <cellStyle name="เครื่องหมายจุลภาค 20" xfId="237" xr:uid="{00000000-0005-0000-0000-0000EB000000}"/>
    <cellStyle name="เครื่องหมายจุลภาค 21" xfId="238" xr:uid="{00000000-0005-0000-0000-0000EC000000}"/>
    <cellStyle name="เครื่องหมายจุลภาค 22" xfId="239" xr:uid="{00000000-0005-0000-0000-0000ED000000}"/>
    <cellStyle name="เครื่องหมายจุลภาค 23" xfId="332" xr:uid="{00000000-0005-0000-0000-0000EE000000}"/>
    <cellStyle name="เครื่องหมายจุลภาค 3" xfId="240" xr:uid="{00000000-0005-0000-0000-0000EF000000}"/>
    <cellStyle name="เครื่องหมายจุลภาค 3 2" xfId="241" xr:uid="{00000000-0005-0000-0000-0000F0000000}"/>
    <cellStyle name="เครื่องหมายจุลภาค 3 3" xfId="242" xr:uid="{00000000-0005-0000-0000-0000F1000000}"/>
    <cellStyle name="เครื่องหมายจุลภาค 3 4" xfId="243" xr:uid="{00000000-0005-0000-0000-0000F2000000}"/>
    <cellStyle name="เครื่องหมายจุลภาค 3_ถนนคอนกรีตสะพานแก่งกอก" xfId="244" xr:uid="{00000000-0005-0000-0000-0000F3000000}"/>
    <cellStyle name="เครื่องหมายจุลภาค 4" xfId="245" xr:uid="{00000000-0005-0000-0000-0000F4000000}"/>
    <cellStyle name="เครื่องหมายจุลภาค 4 2" xfId="246" xr:uid="{00000000-0005-0000-0000-0000F5000000}"/>
    <cellStyle name="เครื่องหมายจุลภาค 4 3" xfId="247" xr:uid="{00000000-0005-0000-0000-0000F6000000}"/>
    <cellStyle name="เครื่องหมายจุลภาค 5" xfId="248" xr:uid="{00000000-0005-0000-0000-0000F7000000}"/>
    <cellStyle name="เครื่องหมายจุลภาค 5 2" xfId="249" xr:uid="{00000000-0005-0000-0000-0000F8000000}"/>
    <cellStyle name="เครื่องหมายจุลภาค 6" xfId="250" xr:uid="{00000000-0005-0000-0000-0000F9000000}"/>
    <cellStyle name="เครื่องหมายจุลภาค 6 2" xfId="251" xr:uid="{00000000-0005-0000-0000-0000FA000000}"/>
    <cellStyle name="เครื่องหมายจุลภาค 7" xfId="252" xr:uid="{00000000-0005-0000-0000-0000FB000000}"/>
    <cellStyle name="เครื่องหมายจุลภาค 7 2" xfId="253" xr:uid="{00000000-0005-0000-0000-0000FC000000}"/>
    <cellStyle name="เครื่องหมายจุลภาค 8" xfId="254" xr:uid="{00000000-0005-0000-0000-0000FD000000}"/>
    <cellStyle name="เครื่องหมายจุลภาค 8 2" xfId="255" xr:uid="{00000000-0005-0000-0000-0000FE000000}"/>
    <cellStyle name="เครื่องหมายจุลภาค 9" xfId="256" xr:uid="{00000000-0005-0000-0000-0000FF000000}"/>
    <cellStyle name="จุลภาค" xfId="1" builtinId="3"/>
    <cellStyle name="ชื่อเรื่อง 2" xfId="257" xr:uid="{00000000-0005-0000-0000-000000010000}"/>
    <cellStyle name="ชื่อเรื่อง 3" xfId="258" xr:uid="{00000000-0005-0000-0000-000001010000}"/>
    <cellStyle name="เซลล์ตรวจสอบ 2" xfId="259" xr:uid="{00000000-0005-0000-0000-000002010000}"/>
    <cellStyle name="เซลล์ตรวจสอบ 3" xfId="260" xr:uid="{00000000-0005-0000-0000-000003010000}"/>
    <cellStyle name="เซลล์ที่มีการเชื่อมโยง 2" xfId="261" xr:uid="{00000000-0005-0000-0000-000004010000}"/>
    <cellStyle name="เซลล์ที่มีการเชื่อมโยง 3" xfId="262" xr:uid="{00000000-0005-0000-0000-000005010000}"/>
    <cellStyle name="ดี 2" xfId="263" xr:uid="{00000000-0005-0000-0000-000006010000}"/>
    <cellStyle name="ดี 3" xfId="264" xr:uid="{00000000-0005-0000-0000-000007010000}"/>
    <cellStyle name="ปกติ" xfId="0" builtinId="0"/>
    <cellStyle name="ปกติ 10" xfId="265" xr:uid="{00000000-0005-0000-0000-000008010000}"/>
    <cellStyle name="ปกติ 10 2" xfId="266" xr:uid="{00000000-0005-0000-0000-000009010000}"/>
    <cellStyle name="ปกติ 10 3" xfId="267" xr:uid="{00000000-0005-0000-0000-00000A010000}"/>
    <cellStyle name="ปกติ 11" xfId="268" xr:uid="{00000000-0005-0000-0000-00000B010000}"/>
    <cellStyle name="ปกติ 2" xfId="5" xr:uid="{00000000-0005-0000-0000-00000C010000}"/>
    <cellStyle name="ปกติ 2 2" xfId="269" xr:uid="{00000000-0005-0000-0000-00000D010000}"/>
    <cellStyle name="ปกติ 2 3" xfId="270" xr:uid="{00000000-0005-0000-0000-00000E010000}"/>
    <cellStyle name="ปกติ 2 4" xfId="271" xr:uid="{00000000-0005-0000-0000-00000F010000}"/>
    <cellStyle name="ปกติ 2 5" xfId="330" xr:uid="{00000000-0005-0000-0000-000010010000}"/>
    <cellStyle name="ปกติ 2_ถนนคอนกรีตสะพานแก่งกอก" xfId="272" xr:uid="{00000000-0005-0000-0000-000011010000}"/>
    <cellStyle name="ปกติ 3" xfId="273" xr:uid="{00000000-0005-0000-0000-000012010000}"/>
    <cellStyle name="ปกติ 4" xfId="274" xr:uid="{00000000-0005-0000-0000-000013010000}"/>
    <cellStyle name="ปกติ 4 2" xfId="275" xr:uid="{00000000-0005-0000-0000-000014010000}"/>
    <cellStyle name="ปกติ 4 3" xfId="276" xr:uid="{00000000-0005-0000-0000-000015010000}"/>
    <cellStyle name="ปกติ 4 4" xfId="277" xr:uid="{00000000-0005-0000-0000-000016010000}"/>
    <cellStyle name="ปกติ 4_ห้วยแดง อ.สิรินธร" xfId="278" xr:uid="{00000000-0005-0000-0000-000017010000}"/>
    <cellStyle name="ปกติ 5" xfId="279" xr:uid="{00000000-0005-0000-0000-000018010000}"/>
    <cellStyle name="ปกติ 5 2" xfId="280" xr:uid="{00000000-0005-0000-0000-000019010000}"/>
    <cellStyle name="ปกติ 5 3" xfId="281" xr:uid="{00000000-0005-0000-0000-00001A010000}"/>
    <cellStyle name="ปกติ 6" xfId="282" xr:uid="{00000000-0005-0000-0000-00001B010000}"/>
    <cellStyle name="ปกติ 6 2" xfId="283" xr:uid="{00000000-0005-0000-0000-00001C010000}"/>
    <cellStyle name="ปกติ 7" xfId="284" xr:uid="{00000000-0005-0000-0000-00001D010000}"/>
    <cellStyle name="ปกติ 7 2" xfId="285" xr:uid="{00000000-0005-0000-0000-00001E010000}"/>
    <cellStyle name="ปกติ 8" xfId="286" xr:uid="{00000000-0005-0000-0000-00001F010000}"/>
    <cellStyle name="ปกติ 8 2" xfId="287" xr:uid="{00000000-0005-0000-0000-000020010000}"/>
    <cellStyle name="ปกติ 9" xfId="6" xr:uid="{00000000-0005-0000-0000-000021010000}"/>
    <cellStyle name="ปกติ_ประมาณราคาไฟฟ้าแสงสว่าง สบร" xfId="331" xr:uid="{00000000-0005-0000-0000-000022010000}"/>
    <cellStyle name="ป้อนค่า 2" xfId="288" xr:uid="{00000000-0005-0000-0000-000023010000}"/>
    <cellStyle name="ป้อนค่า 3" xfId="289" xr:uid="{00000000-0005-0000-0000-000024010000}"/>
    <cellStyle name="ปานกลาง 2" xfId="290" xr:uid="{00000000-0005-0000-0000-000025010000}"/>
    <cellStyle name="ปานกลาง 3" xfId="291" xr:uid="{00000000-0005-0000-0000-000026010000}"/>
    <cellStyle name="เปอร์เซ็นต์ 2" xfId="292" xr:uid="{00000000-0005-0000-0000-000027010000}"/>
    <cellStyle name="เปอร์เซ็นต์ 2 2" xfId="293" xr:uid="{00000000-0005-0000-0000-000028010000}"/>
    <cellStyle name="เปอร์เซ็นต์ 2 3" xfId="294" xr:uid="{00000000-0005-0000-0000-000029010000}"/>
    <cellStyle name="เปอร์เซ็นต์ 2 4" xfId="295" xr:uid="{00000000-0005-0000-0000-00002A010000}"/>
    <cellStyle name="เปอร์เซ็นต์ 2 5" xfId="296" xr:uid="{00000000-0005-0000-0000-00002B010000}"/>
    <cellStyle name="เปอร์เซ็นต์ 2 6" xfId="297" xr:uid="{00000000-0005-0000-0000-00002C010000}"/>
    <cellStyle name="เปอร์เซ็นต์ 3" xfId="298" xr:uid="{00000000-0005-0000-0000-00002D010000}"/>
    <cellStyle name="เปอร์เซ็นต์ 4" xfId="299" xr:uid="{00000000-0005-0000-0000-00002E010000}"/>
    <cellStyle name="เปอร์เซ็นต์ 5" xfId="300" xr:uid="{00000000-0005-0000-0000-00002F010000}"/>
    <cellStyle name="เปอร์เซ็นต์ 6" xfId="301" xr:uid="{00000000-0005-0000-0000-000030010000}"/>
    <cellStyle name="ผลรวม 2" xfId="302" xr:uid="{00000000-0005-0000-0000-000031010000}"/>
    <cellStyle name="ผลรวม 3" xfId="303" xr:uid="{00000000-0005-0000-0000-000032010000}"/>
    <cellStyle name="แย่ 2" xfId="304" xr:uid="{00000000-0005-0000-0000-000033010000}"/>
    <cellStyle name="แย่ 3" xfId="305" xr:uid="{00000000-0005-0000-0000-000034010000}"/>
    <cellStyle name="ส่วนที่ถูกเน้น1 2" xfId="306" xr:uid="{00000000-0005-0000-0000-000035010000}"/>
    <cellStyle name="ส่วนที่ถูกเน้น1 3" xfId="307" xr:uid="{00000000-0005-0000-0000-000036010000}"/>
    <cellStyle name="ส่วนที่ถูกเน้น2 2" xfId="308" xr:uid="{00000000-0005-0000-0000-000037010000}"/>
    <cellStyle name="ส่วนที่ถูกเน้น2 3" xfId="309" xr:uid="{00000000-0005-0000-0000-000038010000}"/>
    <cellStyle name="ส่วนที่ถูกเน้น3 2" xfId="310" xr:uid="{00000000-0005-0000-0000-000039010000}"/>
    <cellStyle name="ส่วนที่ถูกเน้น3 3" xfId="311" xr:uid="{00000000-0005-0000-0000-00003A010000}"/>
    <cellStyle name="ส่วนที่ถูกเน้น4 2" xfId="312" xr:uid="{00000000-0005-0000-0000-00003B010000}"/>
    <cellStyle name="ส่วนที่ถูกเน้น4 3" xfId="313" xr:uid="{00000000-0005-0000-0000-00003C010000}"/>
    <cellStyle name="ส่วนที่ถูกเน้น5 2" xfId="314" xr:uid="{00000000-0005-0000-0000-00003D010000}"/>
    <cellStyle name="ส่วนที่ถูกเน้น5 3" xfId="315" xr:uid="{00000000-0005-0000-0000-00003E010000}"/>
    <cellStyle name="ส่วนที่ถูกเน้น6 2" xfId="316" xr:uid="{00000000-0005-0000-0000-00003F010000}"/>
    <cellStyle name="ส่วนที่ถูกเน้น6 3" xfId="317" xr:uid="{00000000-0005-0000-0000-000040010000}"/>
    <cellStyle name="แสดงผล 2" xfId="318" xr:uid="{00000000-0005-0000-0000-000041010000}"/>
    <cellStyle name="แสดงผล 3" xfId="319" xr:uid="{00000000-0005-0000-0000-000042010000}"/>
    <cellStyle name="หมายเหตุ 2" xfId="320" xr:uid="{00000000-0005-0000-0000-000043010000}"/>
    <cellStyle name="หมายเหตุ 3" xfId="321" xr:uid="{00000000-0005-0000-0000-000044010000}"/>
    <cellStyle name="หัวเรื่อง 1 2" xfId="322" xr:uid="{00000000-0005-0000-0000-000045010000}"/>
    <cellStyle name="หัวเรื่อง 1 3" xfId="323" xr:uid="{00000000-0005-0000-0000-000046010000}"/>
    <cellStyle name="หัวเรื่อง 2 2" xfId="324" xr:uid="{00000000-0005-0000-0000-000047010000}"/>
    <cellStyle name="หัวเรื่อง 2 3" xfId="325" xr:uid="{00000000-0005-0000-0000-000048010000}"/>
    <cellStyle name="หัวเรื่อง 3 2" xfId="326" xr:uid="{00000000-0005-0000-0000-000049010000}"/>
    <cellStyle name="หัวเรื่อง 3 3" xfId="327" xr:uid="{00000000-0005-0000-0000-00004A010000}"/>
    <cellStyle name="หัวเรื่อง 4 2" xfId="328" xr:uid="{00000000-0005-0000-0000-00004B010000}"/>
    <cellStyle name="หัวเรื่อง 4 3" xfId="329" xr:uid="{00000000-0005-0000-0000-00004C010000}"/>
  </cellStyles>
  <dxfs count="8"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lor rgb="FFFF0000"/>
      </font>
    </dxf>
    <dxf>
      <font>
        <condense val="0"/>
        <extend val="0"/>
        <color rgb="FF9C0006"/>
      </font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E4F2A0"/>
      <color rgb="FFE7D9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42</xdr:row>
      <xdr:rowOff>114300</xdr:rowOff>
    </xdr:from>
    <xdr:to>
      <xdr:col>12</xdr:col>
      <xdr:colOff>190500</xdr:colOff>
      <xdr:row>52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38100" y="11163300"/>
          <a:ext cx="7534275" cy="28194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303087</xdr:colOff>
      <xdr:row>31</xdr:row>
      <xdr:rowOff>8454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714287" cy="85714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607;&#3634;&#3591;&#3627;&#3621;&#3623;&#3591;&#3594;&#3609;&#3610;&#3607;&#3605;&#3619;&#3634;&#3604;/Program_&#3611;&#3619;&#3632;&#3617;&#3634;&#3603;&#3585;&#3634;&#3619;/My%20Apainukool/&#3649;&#3615;&#3657;&#3617;&#3591;&#3634;&#3609;&#3629;&#3640;&#3650;&#3617;&#3591;&#3588;&#3660;&#3607;&#3634;&#3591;&#3621;&#3629;&#3604;(&#3623;&#3591;&#3648;&#3623;&#3637;&#3618;&#3609;&#3619;&#3634;&#3594;&#3614;&#3620;&#3585;&#3625;&#3660;-%20&#3609;&#3588;&#3619;&#3629;&#3636;&#3609;&#3607;&#3619;&#3660;)/rachaphruek_tunnel(BACKUP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611;&#3619;&#3632;&#3617;&#3634;&#3603;&#3619;&#3634;&#3588;&#3634;&#3626;&#3632;&#3614;&#3634;&#3609;&#3588;&#3621;&#3629;&#3591;&#3649;&#3629;&#3656;&#3591;&#3611;&#3640;&#3585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591;&#3634;&#3609;&#3585;&#3619;&#3617;&#3631;/&#3619;&#3634;&#3618;&#3585;&#3634;&#3619;&#3611;&#3619;&#3632;&#3617;&#3634;&#3603;&#3619;&#3634;&#3588;&#3634;%2048/&#3591;&#3634;&#3609;&#3612;&#3633;&#3591;&#3648;&#3617;&#3639;&#3629;&#3591;/&#3648;&#3621;&#3637;&#3656;&#3618;&#3591;&#3648;&#3617;&#3639;&#3629;&#3591;&#3648;&#3610;&#3605;&#3591;/05-06-20%20BOQ_Update-&#3649;&#3585;&#3657;&#3652;&#3586;/09%20-%20BOQ/BOQ-UPDATE&#3648;&#3610;&#3605;&#3591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607;&#3634;&#3591;&#3627;&#3621;&#3623;&#3591;&#3594;&#3609;&#3610;&#3607;&#3605;&#3619;&#3634;&#3604;/&#3619;&#3634;&#3588;&#3634;&#3585;&#3621;&#3634;&#3591;&#3591;&#3634;&#3609;&#3585;&#3656;&#3629;&#3626;&#3619;&#3657;&#3634;&#3591;/&#3619;&#3634;&#3588;&#3634;&#3585;&#3621;&#3634;&#3591;&#3611;&#3637;%202558/&#3591;&#3610;&#3585;&#3619;&#3617;/&#3591;&#3610;&#3585;&#3619;&#3617;_&#3585;&#3619;&#3632;&#3605;&#3640;&#3657;&#3609;/&#3619;&#3634;&#3588;&#3634;&#3585;&#3621;&#3634;&#3591;&#3623;&#3633;&#3591;&#3605;&#3632;&#3648;&#3588;&#3637;&#3618;&#360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Documents%20and%20Settings/JHON/Desktop/o&#3585;&#3649;&#3585;&#3627;&#3629;&#3585;&#3627;ng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arat\D\&#3591;&#3634;&#3609;&#3607;&#3634;&#3591;&#3627;&#3621;&#3623;&#3591;&#3594;&#3609;&#3610;&#3607;&#3609;&#3588;&#3619;&#3619;&#3634;&#3594;&#3626;&#3637;&#3617;&#3634;\&#3611;&#3619;&#3632;&#3617;&#3634;&#3603;&#3619;&#3634;&#3588;&#3634;%20&#3611;&#3637;%202548\&#3595;&#3656;&#3629;&#3617;&#3610;&#3635;&#3619;&#3640;&#3591;\&#3619;&#3634;&#3591;&#3619;&#3632;&#3610;&#3634;&#3618;&#3609;&#3657;&#3635;%20&#3609;&#3617;.5019%20&#3610;&#3657;&#3634;&#3609;&#3650;&#3609;&#3609;&#3652;&#3607;&#361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611;&#3619;&#3632;&#3623;&#3633;&#3605;&#3636;%20&#3608;&#3636;&#3648;&#3604;&#3594;\&#3614;&#3637;&#3656;&#3611;&#3619;&#3632;&#3623;&#3633;&#3605;&#3636;\&#3611;&#3619;&#3636;&#3617;&#3634;&#3603;&#3623;&#3633;&#3626;&#3604;&#3640;&#3626;&#3632;&#3614;&#3634;&#360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612;&#3641;&#3657;&#3651;&#3594;&#3657;&#3607;&#3656;&#3634;&#3609;&#3629;&#3639;&#3656;&#3609;/Banjob/BanjobBk3/P0475&#3585;&#3619;&#3632;&#3607;&#3640;&#3656;&#3617;&#3649;&#3610;&#3609;/Cost/Overpass/Cost_&#3585;&#3619;&#3632;&#3607;&#3640;&#3656;&#3617;&#3649;&#3610;&#3609;_Overpass_R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649;&#3612;&#3609;&#3611;&#3637;%2051/&#3607;&#3640;&#3656;&#3591;&#3614;&#3621;&#3623;&#3591;5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arat\D\&#3591;&#3634;&#3609;&#3611;&#3637;%202550\&#3614;&#3637;&#3656;&#3626;&#3627;&#3633;&#3626;\&#3615;&#3629;&#3619;&#3660;&#3617;&#3626;&#3632;&#3614;&#3634;&#360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Documents%20and%20Settings/compaq/Desktop/&#3611;&#3619;&#3633;&#3610;&#3611;&#3619;&#3640;&#3591;&#3611;&#3619;&#3632;&#3617;&#3634;&#3603;&#3619;&#3634;&#3588;&#3634;(&#3608;&#3609;&#3634;&#3618;&#3640;&#3607;&#3608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611;&#3619;&#3632;&#3617;&#3634;&#3603;&#3619;&#3634;&#3588;&#3634;&#3621;&#3634;&#3604;&#3618;&#3634;&#3591;(&#3605;&#3657;&#3609;&#3649;&#3610;&#3610;)/0_1%20&#3585;&#3617;(&#3617;&#3637;box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9;&#3634;&#3588;&#3634;&#3585;&#3621;&#3634;&#3591;%2060/&#3619;&#3634;&#3588;&#3634;&#3585;&#3621;&#3634;&#3591;&#3607;&#3640;&#3656;&#3591;&#3585;&#3619;&#3634;&#3604;&#3592;&#3633;&#3591;&#3627;&#3623;&#3633;&#3604;9+050-14+5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626;&#3632;&#3614;&#3634;&#3609;%20&#3588;&#3626;&#3621;.&#3586;&#3657;&#3634;&#3617;&#3588;&#3621;&#3629;&#3591;&#3627;&#3621;&#3623;&#359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607;&#3634;&#3591;&#3627;&#3621;&#3623;&#3591;&#3594;&#3609;&#3610;&#3607;&#3605;&#3619;&#3634;&#3604;/&#3649;&#3610;&#3610;&#3585;&#3656;&#3629;&#3626;&#3619;&#3657;&#3634;&#3591;&#3606;&#3609;&#3609;&#3649;&#3621;&#3632;&#3611;&#3619;&#3632;&#3617;&#3634;&#3603;&#3585;&#3634;&#3619;/&#3611;&#3619;&#3632;&#3617;&#3634;&#3603;&#3619;&#3634;&#3588;&#3634;/&#3611;&#3619;&#3632;&#3617;&#3634;&#3603;&#3585;&#3634;&#3619;%202555/&#3611;&#3619;&#3632;&#3617;&#3634;&#3603;&#3619;&#3634;&#3588;&#3634;&#3621;&#3634;&#3604;&#3618;&#3634;&#3591;(&#3605;&#3657;&#3609;&#3649;&#3610;&#3610;)/0_1%20&#3585;&#3617;(&#3617;&#3637;box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611;&#3619;&#3632;&#3623;&#3633;&#3605;&#3636;%20&#3608;&#3636;&#3648;&#3604;&#3594;\&#3614;&#3637;&#3656;&#3611;&#3619;&#3632;&#3623;&#3633;&#3605;&#3636;\&#3611;&#3619;&#3632;&#3617;&#3634;&#3603;&#3619;&#3634;&#3588;&#3634;&#3605;&#3634;&#3617;&#3617;&#3605;&#3636;%20&#3588;&#3619;&#3617;.&#3611;&#3637;51\&#3611;&#3619;&#3632;&#3617;&#3634;&#3603;&#3619;&#3634;&#3588;&#3634;&#3591;&#3634;&#3609;&#3585;&#3656;&#3629;&#3626;&#3619;&#3657;&#3634;&#3591;&#3606;&#3609;&#3609;&#3617;&#3605;&#3636;50\&#3611;&#3619;&#3632;&#3617;&#3634;&#3603;&#3619;&#3634;&#3588;&#3634;&#3621;&#3634;&#3604;&#3618;&#3634;&#3591;(&#3605;&#3657;&#3609;&#3649;&#3610;&#3610;)\0_1%20&#3585;&#3617;(&#3617;&#3637;box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607;&#3634;&#3591;&#3627;&#3621;&#3623;&#3591;&#3594;&#3609;&#3610;&#3607;&#3605;&#3619;&#3634;&#3604;/Program_&#3611;&#3619;&#3632;&#3617;&#3634;&#3603;&#3585;&#3634;&#3619;/work/54%20&#3611;&#3619;.(&#3619;&#3607;&#3594;.&#3629;&#3634;&#3607;&#3619;)/&#3615;&#3629;&#3619;&#3660;&#3617;&#3591;&#3634;&#3609;&#3626;&#3632;&#3614;&#3634;&#3609;%20&#3606;&#3638;&#3591;&#3614;&#3637;&#3656;&#3629;&#3604;&#3636;&#3648;&#3607;&#3614;/form_&#3626;&#3619;&#3640;&#3611;&#3588;&#3656;&#3634;&#3591;&#3634;&#3609;&#3626;&#3632;&#3614;&#3634;&#3609;&amp;&#3607;&#3634;&#3591;(&#3611;&#3619;.&#3669;,&#3611;&#3619;.&#3668;,&#3610;&#3633;&#3597;&#3594;&#3637;&#3631;)'&#3669;&#3668;,&#3611;&#3619;&#3633;&#3610;&#3611;&#3619;&#3640;&#3591;'&#3665;&#3669;&#3585;&#3618;&#3669;&#366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R_ROAD2%20(Betong)\09DOR_ROAD2_Cost%20&amp;%20BOQ\Final_BOQ&#3648;&#3610;&#3605;&#3591;-&#3649;&#3585;&#3657;&#3652;&#3586;(&#3609;&#3635;&#3617;&#3633;&#3609;%2019.50%20&#3610;&#3634;&#3607;&#3605;&#3656;&#3629;&#3621;&#3636;&#3605;&#3619;-&#3651;&#3627;&#3617;&#3656;)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591;&#3634;&#3609;&#3585;&#3619;&#3617;&#3631;/&#3619;&#3634;&#3618;&#3585;&#3634;&#3619;&#3611;&#3619;&#3632;&#3617;&#3634;&#3603;&#3619;&#3634;&#3588;&#3634;%2048/&#3591;&#3634;&#3609;&#3612;&#3633;&#3591;&#3648;&#3617;&#3639;&#3629;&#3591;/&#3648;&#3621;&#3637;&#3656;&#3618;&#3591;&#3648;&#3617;&#3639;&#3629;&#3591;&#3648;&#3610;&#3605;&#3591;/05-06-20%20BOQ_Update-&#3649;&#3585;&#3657;&#3652;&#3586;/06%20-%20&#3591;&#3634;&#3609;&#3611;&#3657;&#3629;&#3591;&#3585;&#3633;&#3609;&#3648;&#3594;&#3636;&#3591;&#3621;&#3634;&#3604;&#3649;&#3621;&#3632;&#3619;&#3632;&#3610;&#3610;&#3619;&#3632;&#3610;&#3634;&#3618;&#3609;&#3657;&#3635;/Retaing%20wall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27;&#3609;&#3638;&#3656;&#3591;/NEW%20LIFE/&#3591;&#3610;&#3610;&#3635;&#3619;&#3640;&#3591;&#3614;&#3636;&#3648;&#3624;&#3625;&#3648;&#3614;&#3636;&#3656;&#3617;&#3648;&#3605;&#3636;&#3617;&#3614;&#3634;&#3619;&#3634;%20AC%20&#3611;&#3637;61/&#3607;&#3634;&#3591;&#3627;&#3621;&#3623;&#3591;&#3594;&#3609;&#3610;&#3607;&#3605;&#3619;&#3634;&#3604;/Program_&#3611;&#3619;&#3632;&#3617;&#3634;&#3603;&#3585;&#3634;&#3619;/&#3611;&#3619;&#3632;&#3617;&#3634;&#3603;&#3619;&#3634;&#3588;&#3634;&#3591;&#3634;&#3609;&#3606;&#3609;&#3609;&#3621;&#3634;&#3604;&#3618;&#3634;&#3591;_&#3651;&#3627;&#3617;&#365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รายการแก้ไข"/>
      <sheetName val="INPUT"/>
      <sheetName val="สารบัญ"/>
      <sheetName val="กั้นหน้า"/>
      <sheetName val="ปร5"/>
      <sheetName val="ปร4"/>
      <sheetName val="ปร4.1"/>
      <sheetName val="หา FACTORF"/>
      <sheetName val="งานทั่วไป1"/>
      <sheetName val="ราคาต่อหน่วย2-9"/>
      <sheetName val="ราคาต่อหน่วย10"/>
      <sheetName val="ราคาต่อหน่วย11"/>
      <sheetName val="กราฟทำงาน"/>
      <sheetName val="Worktime"/>
      <sheetName val="ราคาวัสดุ"/>
      <sheetName val="OHCทาง"/>
      <sheetName val="OHCโครงสร้าง"/>
      <sheetName val="อัตราทำงาน"/>
      <sheetName val="ค่าขนส่ง(กรอก)"/>
      <sheetName val="ตารางขนส่ง(1)"/>
      <sheetName val="ตารางขนส่ง (2)"/>
      <sheetName val="ตารางFACTOR Fทาง"/>
      <sheetName val="ตารางFACTOR Fสะพาน"/>
      <sheetName val="เริ่มต้น"/>
      <sheetName val="บทที่1"/>
      <sheetName val="บทที่3"/>
      <sheetName val="บทที่3(2)"/>
      <sheetName val="จัดเครื่องจักรทาง"/>
      <sheetName val="อ้างอิง"/>
      <sheetName val="Bid_1"/>
      <sheetName val="Bid_2"/>
      <sheetName val="เปรียบเทียบราคาไฟฟ้า"/>
      <sheetName val="เอกสารสัมพันธ์"/>
      <sheetName val="ขั้นตอ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>
        <row r="4">
          <cell r="J4">
            <v>1.07</v>
          </cell>
        </row>
        <row r="12">
          <cell r="J12">
            <v>1.1327</v>
          </cell>
        </row>
        <row r="20">
          <cell r="J20">
            <v>1.1378999999999999</v>
          </cell>
        </row>
      </sheetData>
      <sheetData sheetId="9" refreshError="1"/>
      <sheetData sheetId="10">
        <row r="869">
          <cell r="Q869">
            <v>2376</v>
          </cell>
        </row>
        <row r="880">
          <cell r="Q880">
            <v>2311</v>
          </cell>
        </row>
        <row r="928">
          <cell r="Q928">
            <v>2047</v>
          </cell>
        </row>
        <row r="940">
          <cell r="Q940">
            <v>2050</v>
          </cell>
        </row>
        <row r="966">
          <cell r="Q966">
            <v>260</v>
          </cell>
        </row>
        <row r="980">
          <cell r="Q980">
            <v>234</v>
          </cell>
        </row>
        <row r="997">
          <cell r="Q997">
            <v>396</v>
          </cell>
        </row>
        <row r="1011">
          <cell r="Q1011">
            <v>975</v>
          </cell>
        </row>
        <row r="1025">
          <cell r="Q1025">
            <v>975</v>
          </cell>
        </row>
        <row r="1228">
          <cell r="Q1228">
            <v>24655</v>
          </cell>
        </row>
        <row r="1239">
          <cell r="Q1239">
            <v>25875</v>
          </cell>
        </row>
        <row r="2252">
          <cell r="Q2252">
            <v>9720</v>
          </cell>
        </row>
        <row r="2271">
          <cell r="Q2271">
            <v>11780</v>
          </cell>
        </row>
        <row r="2289">
          <cell r="Q2289">
            <v>12050</v>
          </cell>
        </row>
        <row r="2335">
          <cell r="Q2335">
            <v>404.6</v>
          </cell>
        </row>
        <row r="2341">
          <cell r="Q2341">
            <v>157.02505420000003</v>
          </cell>
        </row>
        <row r="2358">
          <cell r="Q2358">
            <v>21451</v>
          </cell>
        </row>
        <row r="2375">
          <cell r="Q2375">
            <v>63713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8">
          <cell r="D8" t="str">
            <v>ขนาดเบา</v>
          </cell>
          <cell r="F8" t="str">
            <v>ตร.ม.</v>
          </cell>
          <cell r="G8">
            <v>1.1100000000000001</v>
          </cell>
          <cell r="H8">
            <v>0.16</v>
          </cell>
          <cell r="I8">
            <v>0.2</v>
          </cell>
          <cell r="J8">
            <v>1.27</v>
          </cell>
        </row>
        <row r="9">
          <cell r="D9" t="str">
            <v>ขนาดกลาง</v>
          </cell>
          <cell r="F9" t="str">
            <v>ตร.ม.</v>
          </cell>
          <cell r="G9">
            <v>2.57</v>
          </cell>
          <cell r="H9">
            <v>0.46</v>
          </cell>
          <cell r="I9">
            <v>0.57999999999999996</v>
          </cell>
          <cell r="J9">
            <v>3.03</v>
          </cell>
        </row>
        <row r="10">
          <cell r="D10" t="str">
            <v>ขนาดหนัก</v>
          </cell>
          <cell r="F10" t="str">
            <v>ตร.ม.</v>
          </cell>
          <cell r="G10">
            <v>3.92</v>
          </cell>
          <cell r="H10">
            <v>0.66</v>
          </cell>
          <cell r="I10">
            <v>0.83</v>
          </cell>
          <cell r="J10">
            <v>4.58</v>
          </cell>
        </row>
      </sheetData>
      <sheetData sheetId="17" refreshError="1"/>
      <sheetData sheetId="18" refreshError="1"/>
      <sheetData sheetId="19">
        <row r="5">
          <cell r="C5">
            <v>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ก"/>
      <sheetName val="ข้อมูลโครงการ"/>
      <sheetName val="ค่าขนส่ง6ล้อ"/>
      <sheetName val="ค่าขนส่ง10ล้อ"/>
      <sheetName val="ปร.5"/>
      <sheetName val="ปร4งานทาง"/>
      <sheetName val="ปร4งานสะพาน"/>
      <sheetName val="ปร4B"/>
      <sheetName val="ค่าขนส่งพ่วง"/>
      <sheetName val="ราคาป้ายจราจร"/>
      <sheetName val="สรุปข้อมูลประมาณราคา"/>
      <sheetName val="หมวดงานทาง"/>
      <sheetName val="หมวดโครงสร้าง"/>
      <sheetName val="หมวดเบ็ดเตล็ด"/>
      <sheetName val="Sum_Data"/>
      <sheetName val="Pipe_Data"/>
      <sheetName val="Earth_Data"/>
      <sheetName val="Wid_Data"/>
      <sheetName val="Access_Data"/>
      <sheetName val="Sign_Data"/>
      <sheetName val="ข้อมูลประมาณราคา"/>
      <sheetName val="ค่าเสื่อมราคา"/>
      <sheetName val="Module3"/>
      <sheetName val="FactorF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>
        <row r="133">
          <cell r="G133">
            <v>2</v>
          </cell>
        </row>
      </sheetData>
      <sheetData sheetId="7"/>
      <sheetData sheetId="8"/>
      <sheetData sheetId="9"/>
      <sheetData sheetId="10"/>
      <sheetData sheetId="11"/>
      <sheetData sheetId="12">
        <row r="17">
          <cell r="P17">
            <v>1441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1">
          <cell r="C31">
            <v>1.2145999999999999</v>
          </cell>
        </row>
      </sheetData>
      <sheetData sheetId="2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่าดำเนินการ+เสื่อมราคา"/>
      <sheetName val="ราคาคอนกรีตต่อหน่วย"/>
      <sheetName val="Sheet1"/>
      <sheetName val="ต้นทุนงานทาง"/>
      <sheetName val="งานถมดินใหม่"/>
      <sheetName val="ราคาวัสดุ"/>
      <sheetName val="ต้นทุนต่อหน่วย-ปร.1"/>
      <sheetName val="BOQ"/>
      <sheetName val="รายการสรุปผล"/>
      <sheetName val="สรุปผล"/>
      <sheetName val="F-งานสะพาน"/>
      <sheetName val="F-งานทาง"/>
      <sheetName val="F ฝนตกชุก"/>
    </sheetNames>
    <sheetDataSet>
      <sheetData sheetId="0"/>
      <sheetData sheetId="1" refreshError="1"/>
      <sheetData sheetId="2"/>
      <sheetData sheetId="3" refreshError="1">
        <row r="311">
          <cell r="J311">
            <v>9.0190000000000001</v>
          </cell>
        </row>
        <row r="319">
          <cell r="J319">
            <v>14.779</v>
          </cell>
        </row>
        <row r="542">
          <cell r="J542">
            <v>1330</v>
          </cell>
        </row>
        <row r="543">
          <cell r="J543">
            <v>410</v>
          </cell>
        </row>
        <row r="544">
          <cell r="J544">
            <v>375</v>
          </cell>
        </row>
        <row r="545">
          <cell r="J545">
            <v>1630</v>
          </cell>
        </row>
      </sheetData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ผลประมาณราคา ปร.5"/>
      <sheetName val="FACTOR F ทาง"/>
      <sheetName val="แบบประเมิน ปร.4 ทาง"/>
      <sheetName val="งวดงาน"/>
      <sheetName val="ปริมาณงวดงาน"/>
      <sheetName val="FACTOR F สะพาน"/>
      <sheetName val="ข้อมูลโครงการ"/>
      <sheetName val="ข้อมูลแหล่งราคาวัสดุ"/>
      <sheetName val="ราคาป้าย"/>
      <sheetName val="Oil"/>
      <sheetName val="ค่าเสื่อมราคา"/>
      <sheetName val="งานดิน"/>
      <sheetName val="งานทางเชื่อม"/>
      <sheetName val="Widening"/>
      <sheetName val="ป้ายจราจร"/>
      <sheetName val="Pipe"/>
      <sheetName val="ราคาต้นทุนงานทาง"/>
      <sheetName val="ราคาต้นทุนคอนกรีต - เหล็ก - ไม้"/>
      <sheetName val="ตารางถอดแบบกำแพงปากท่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>
        <row r="5">
          <cell r="B5">
            <v>1</v>
          </cell>
          <cell r="C5" t="str">
            <v>6.23</v>
          </cell>
          <cell r="D5">
            <v>8.7200000000000006</v>
          </cell>
          <cell r="F5" t="str">
            <v>3.04</v>
          </cell>
          <cell r="G5">
            <v>4.26</v>
          </cell>
        </row>
        <row r="6">
          <cell r="B6">
            <v>2</v>
          </cell>
          <cell r="C6" t="str">
            <v>7.73</v>
          </cell>
          <cell r="D6">
            <v>10.82</v>
          </cell>
          <cell r="F6" t="str">
            <v>4.13</v>
          </cell>
          <cell r="G6">
            <v>5.78</v>
          </cell>
        </row>
        <row r="7">
          <cell r="B7">
            <v>3</v>
          </cell>
          <cell r="C7" t="str">
            <v>9.24</v>
          </cell>
          <cell r="D7">
            <v>12.94</v>
          </cell>
          <cell r="F7" t="str">
            <v>5.23</v>
          </cell>
          <cell r="G7">
            <v>7.32</v>
          </cell>
        </row>
        <row r="8">
          <cell r="B8">
            <v>4</v>
          </cell>
          <cell r="C8" t="str">
            <v>10.74</v>
          </cell>
          <cell r="D8">
            <v>15.04</v>
          </cell>
          <cell r="F8" t="str">
            <v>6.32</v>
          </cell>
          <cell r="G8">
            <v>8.85</v>
          </cell>
        </row>
        <row r="9">
          <cell r="B9">
            <v>5</v>
          </cell>
          <cell r="C9" t="str">
            <v>12.24</v>
          </cell>
          <cell r="D9">
            <v>17.14</v>
          </cell>
          <cell r="F9" t="str">
            <v>7.41</v>
          </cell>
          <cell r="G9">
            <v>10.37</v>
          </cell>
        </row>
        <row r="10">
          <cell r="B10">
            <v>6</v>
          </cell>
          <cell r="C10" t="str">
            <v>13.74</v>
          </cell>
          <cell r="D10">
            <v>19.239999999999998</v>
          </cell>
          <cell r="F10" t="str">
            <v>8.51</v>
          </cell>
          <cell r="G10">
            <v>11.91</v>
          </cell>
        </row>
        <row r="11">
          <cell r="B11">
            <v>7</v>
          </cell>
          <cell r="C11" t="str">
            <v>15.24</v>
          </cell>
          <cell r="D11">
            <v>21.34</v>
          </cell>
          <cell r="F11" t="str">
            <v>9.6</v>
          </cell>
          <cell r="G11">
            <v>13.44</v>
          </cell>
        </row>
        <row r="12">
          <cell r="B12">
            <v>8</v>
          </cell>
          <cell r="C12" t="str">
            <v>16.92</v>
          </cell>
          <cell r="D12">
            <v>23.69</v>
          </cell>
          <cell r="F12" t="str">
            <v>10.69</v>
          </cell>
          <cell r="G12">
            <v>14.97</v>
          </cell>
        </row>
        <row r="13">
          <cell r="B13">
            <v>9</v>
          </cell>
          <cell r="C13" t="str">
            <v>18.92</v>
          </cell>
          <cell r="D13">
            <v>26.49</v>
          </cell>
          <cell r="F13" t="str">
            <v>11.79</v>
          </cell>
          <cell r="G13">
            <v>16.510000000000002</v>
          </cell>
        </row>
        <row r="14">
          <cell r="B14">
            <v>10</v>
          </cell>
          <cell r="C14" t="str">
            <v>20.92</v>
          </cell>
          <cell r="D14">
            <v>29.29</v>
          </cell>
          <cell r="F14" t="str">
            <v>12.88</v>
          </cell>
          <cell r="G14">
            <v>18.03</v>
          </cell>
        </row>
        <row r="15">
          <cell r="B15">
            <v>11</v>
          </cell>
          <cell r="C15" t="str">
            <v>22.91</v>
          </cell>
          <cell r="D15">
            <v>32.07</v>
          </cell>
          <cell r="F15" t="str">
            <v>13.98</v>
          </cell>
          <cell r="G15">
            <v>19.57</v>
          </cell>
        </row>
        <row r="16">
          <cell r="B16">
            <v>12</v>
          </cell>
          <cell r="C16" t="str">
            <v>24.91</v>
          </cell>
          <cell r="D16">
            <v>34.869999999999997</v>
          </cell>
          <cell r="F16" t="str">
            <v>15.07</v>
          </cell>
          <cell r="G16">
            <v>21.1</v>
          </cell>
        </row>
        <row r="17">
          <cell r="B17">
            <v>13</v>
          </cell>
          <cell r="C17" t="str">
            <v>26.91</v>
          </cell>
          <cell r="D17">
            <v>37.67</v>
          </cell>
          <cell r="F17" t="str">
            <v>16.16</v>
          </cell>
          <cell r="G17">
            <v>22.62</v>
          </cell>
        </row>
        <row r="18">
          <cell r="B18">
            <v>14</v>
          </cell>
          <cell r="C18" t="str">
            <v>28.9</v>
          </cell>
          <cell r="D18">
            <v>40.46</v>
          </cell>
          <cell r="F18" t="str">
            <v>17.26</v>
          </cell>
          <cell r="G18">
            <v>24.16</v>
          </cell>
        </row>
        <row r="19">
          <cell r="B19">
            <v>15</v>
          </cell>
          <cell r="C19" t="str">
            <v>30.9</v>
          </cell>
          <cell r="D19">
            <v>43.26</v>
          </cell>
          <cell r="F19" t="str">
            <v>18.39</v>
          </cell>
          <cell r="G19">
            <v>25.75</v>
          </cell>
        </row>
        <row r="20">
          <cell r="B20">
            <v>16</v>
          </cell>
          <cell r="C20" t="str">
            <v>32.9</v>
          </cell>
          <cell r="D20">
            <v>46.06</v>
          </cell>
          <cell r="F20" t="str">
            <v>19.59</v>
          </cell>
          <cell r="G20">
            <v>27.43</v>
          </cell>
        </row>
        <row r="21">
          <cell r="B21">
            <v>17</v>
          </cell>
          <cell r="C21" t="str">
            <v>34.89</v>
          </cell>
          <cell r="D21">
            <v>48.85</v>
          </cell>
          <cell r="F21" t="str">
            <v>20.79</v>
          </cell>
          <cell r="G21">
            <v>29.11</v>
          </cell>
        </row>
        <row r="22">
          <cell r="B22">
            <v>18</v>
          </cell>
          <cell r="C22" t="str">
            <v>36.89</v>
          </cell>
          <cell r="D22">
            <v>51.65</v>
          </cell>
          <cell r="F22" t="str">
            <v>21.99</v>
          </cell>
          <cell r="G22">
            <v>30.79</v>
          </cell>
        </row>
        <row r="23">
          <cell r="B23">
            <v>19</v>
          </cell>
          <cell r="C23" t="str">
            <v>38.89</v>
          </cell>
          <cell r="D23">
            <v>54.45</v>
          </cell>
          <cell r="F23" t="str">
            <v>23.19</v>
          </cell>
          <cell r="G23">
            <v>32.47</v>
          </cell>
        </row>
        <row r="24">
          <cell r="B24">
            <v>20</v>
          </cell>
          <cell r="C24" t="str">
            <v>40.89</v>
          </cell>
          <cell r="D24">
            <v>57.25</v>
          </cell>
          <cell r="F24" t="str">
            <v>24.39</v>
          </cell>
          <cell r="G24">
            <v>34.15</v>
          </cell>
        </row>
        <row r="25">
          <cell r="B25">
            <v>21</v>
          </cell>
          <cell r="C25" t="str">
            <v>42.88</v>
          </cell>
          <cell r="D25">
            <v>60.03</v>
          </cell>
          <cell r="F25" t="str">
            <v>25.59</v>
          </cell>
          <cell r="G25">
            <v>35.83</v>
          </cell>
        </row>
        <row r="26">
          <cell r="B26">
            <v>22</v>
          </cell>
          <cell r="C26" t="str">
            <v>44.88</v>
          </cell>
          <cell r="D26">
            <v>62.83</v>
          </cell>
          <cell r="F26" t="str">
            <v>26.79</v>
          </cell>
          <cell r="G26">
            <v>37.51</v>
          </cell>
        </row>
        <row r="27">
          <cell r="B27">
            <v>23</v>
          </cell>
          <cell r="C27" t="str">
            <v>46.88</v>
          </cell>
          <cell r="D27">
            <v>65.63</v>
          </cell>
          <cell r="F27" t="str">
            <v>27.99</v>
          </cell>
          <cell r="G27">
            <v>39.19</v>
          </cell>
        </row>
        <row r="28">
          <cell r="B28">
            <v>24</v>
          </cell>
          <cell r="C28" t="str">
            <v>48.88</v>
          </cell>
          <cell r="D28">
            <v>68.430000000000007</v>
          </cell>
          <cell r="F28" t="str">
            <v>29.19</v>
          </cell>
          <cell r="G28">
            <v>40.869999999999997</v>
          </cell>
        </row>
        <row r="29">
          <cell r="B29">
            <v>25</v>
          </cell>
          <cell r="C29" t="str">
            <v>50.88</v>
          </cell>
          <cell r="D29">
            <v>71.23</v>
          </cell>
          <cell r="F29" t="str">
            <v>30.39</v>
          </cell>
          <cell r="G29">
            <v>42.55</v>
          </cell>
        </row>
        <row r="30">
          <cell r="B30">
            <v>26</v>
          </cell>
          <cell r="C30" t="str">
            <v>52.87</v>
          </cell>
          <cell r="D30">
            <v>74.02</v>
          </cell>
          <cell r="F30" t="str">
            <v>31.59</v>
          </cell>
          <cell r="G30">
            <v>44.23</v>
          </cell>
        </row>
        <row r="31">
          <cell r="B31">
            <v>27</v>
          </cell>
          <cell r="C31" t="str">
            <v>54.87</v>
          </cell>
          <cell r="D31">
            <v>76.819999999999993</v>
          </cell>
          <cell r="F31" t="str">
            <v>32.79</v>
          </cell>
          <cell r="G31">
            <v>45.91</v>
          </cell>
        </row>
        <row r="32">
          <cell r="B32">
            <v>28</v>
          </cell>
          <cell r="C32" t="str">
            <v>56.87</v>
          </cell>
          <cell r="D32">
            <v>79.62</v>
          </cell>
          <cell r="F32" t="str">
            <v>33.99</v>
          </cell>
          <cell r="G32">
            <v>47.59</v>
          </cell>
        </row>
        <row r="33">
          <cell r="B33">
            <v>29</v>
          </cell>
          <cell r="C33" t="str">
            <v>58.85</v>
          </cell>
          <cell r="D33">
            <v>82.39</v>
          </cell>
          <cell r="F33" t="str">
            <v>35.19</v>
          </cell>
          <cell r="G33">
            <v>49.27</v>
          </cell>
        </row>
        <row r="34">
          <cell r="B34">
            <v>30</v>
          </cell>
          <cell r="C34" t="str">
            <v>60.86</v>
          </cell>
          <cell r="D34">
            <v>85.2</v>
          </cell>
          <cell r="F34" t="str">
            <v>36.39</v>
          </cell>
          <cell r="G34">
            <v>50.95</v>
          </cell>
        </row>
        <row r="35">
          <cell r="B35">
            <v>31</v>
          </cell>
          <cell r="C35" t="str">
            <v>62.85</v>
          </cell>
          <cell r="D35">
            <v>87.99</v>
          </cell>
          <cell r="F35" t="str">
            <v>37.59</v>
          </cell>
          <cell r="G35">
            <v>52.63</v>
          </cell>
        </row>
        <row r="36">
          <cell r="B36">
            <v>32</v>
          </cell>
          <cell r="C36" t="str">
            <v>64.86</v>
          </cell>
          <cell r="D36">
            <v>90.8</v>
          </cell>
          <cell r="F36" t="str">
            <v>38.79</v>
          </cell>
          <cell r="G36">
            <v>54.31</v>
          </cell>
        </row>
        <row r="37">
          <cell r="B37">
            <v>33</v>
          </cell>
          <cell r="C37" t="str">
            <v>66.85</v>
          </cell>
          <cell r="D37">
            <v>93.59</v>
          </cell>
          <cell r="F37" t="str">
            <v>39.99</v>
          </cell>
          <cell r="G37">
            <v>55.99</v>
          </cell>
        </row>
        <row r="38">
          <cell r="B38">
            <v>34</v>
          </cell>
          <cell r="C38" t="str">
            <v>68.85</v>
          </cell>
          <cell r="D38">
            <v>96.39</v>
          </cell>
          <cell r="F38" t="str">
            <v>41.19</v>
          </cell>
          <cell r="G38">
            <v>57.67</v>
          </cell>
        </row>
        <row r="39">
          <cell r="B39">
            <v>35</v>
          </cell>
          <cell r="C39" t="str">
            <v>70.84</v>
          </cell>
          <cell r="D39">
            <v>99.18</v>
          </cell>
          <cell r="F39" t="str">
            <v>42.38</v>
          </cell>
          <cell r="G39">
            <v>59.33</v>
          </cell>
        </row>
        <row r="40">
          <cell r="B40">
            <v>36</v>
          </cell>
          <cell r="C40" t="str">
            <v>72.84</v>
          </cell>
          <cell r="D40">
            <v>101.98</v>
          </cell>
          <cell r="F40" t="str">
            <v>43.59</v>
          </cell>
          <cell r="G40">
            <v>61.03</v>
          </cell>
        </row>
        <row r="41">
          <cell r="B41">
            <v>37</v>
          </cell>
          <cell r="C41" t="str">
            <v>74.85</v>
          </cell>
          <cell r="D41">
            <v>104.79</v>
          </cell>
          <cell r="F41" t="str">
            <v>44.78</v>
          </cell>
          <cell r="G41">
            <v>62.69</v>
          </cell>
        </row>
        <row r="42">
          <cell r="B42">
            <v>38</v>
          </cell>
          <cell r="C42" t="str">
            <v>76.85</v>
          </cell>
          <cell r="D42">
            <v>107.59</v>
          </cell>
          <cell r="F42" t="str">
            <v>45.98</v>
          </cell>
          <cell r="G42">
            <v>64.37</v>
          </cell>
        </row>
        <row r="43">
          <cell r="B43">
            <v>39</v>
          </cell>
          <cell r="C43" t="str">
            <v>78.84</v>
          </cell>
          <cell r="D43">
            <v>110.38</v>
          </cell>
          <cell r="F43" t="str">
            <v>47.19</v>
          </cell>
          <cell r="G43">
            <v>66.069999999999993</v>
          </cell>
        </row>
        <row r="44">
          <cell r="B44">
            <v>40</v>
          </cell>
          <cell r="C44" t="str">
            <v>80.83</v>
          </cell>
          <cell r="D44">
            <v>113.16</v>
          </cell>
          <cell r="F44" t="str">
            <v>48.39</v>
          </cell>
          <cell r="G44">
            <v>67.75</v>
          </cell>
        </row>
        <row r="45">
          <cell r="B45">
            <v>41</v>
          </cell>
          <cell r="C45" t="str">
            <v>82.84</v>
          </cell>
          <cell r="D45">
            <v>115.98</v>
          </cell>
          <cell r="F45" t="str">
            <v>49.59</v>
          </cell>
          <cell r="G45">
            <v>69.430000000000007</v>
          </cell>
        </row>
        <row r="46">
          <cell r="B46">
            <v>42</v>
          </cell>
          <cell r="C46" t="str">
            <v>84.84</v>
          </cell>
          <cell r="D46">
            <v>118.78</v>
          </cell>
          <cell r="F46" t="str">
            <v>50.79</v>
          </cell>
          <cell r="G46">
            <v>71.11</v>
          </cell>
        </row>
        <row r="47">
          <cell r="B47">
            <v>43</v>
          </cell>
          <cell r="C47" t="str">
            <v>86.83</v>
          </cell>
          <cell r="D47">
            <v>121.56</v>
          </cell>
          <cell r="F47" t="str">
            <v>51.98</v>
          </cell>
          <cell r="G47">
            <v>72.77</v>
          </cell>
        </row>
        <row r="48">
          <cell r="B48">
            <v>44</v>
          </cell>
          <cell r="C48" t="str">
            <v>88.83</v>
          </cell>
          <cell r="D48">
            <v>124.36</v>
          </cell>
          <cell r="F48" t="str">
            <v>53.19</v>
          </cell>
          <cell r="G48">
            <v>74.47</v>
          </cell>
        </row>
        <row r="49">
          <cell r="B49">
            <v>45</v>
          </cell>
          <cell r="C49" t="str">
            <v>90.82</v>
          </cell>
          <cell r="D49">
            <v>127.15</v>
          </cell>
          <cell r="F49" t="str">
            <v>54.39</v>
          </cell>
          <cell r="G49">
            <v>76.150000000000006</v>
          </cell>
        </row>
        <row r="50">
          <cell r="B50">
            <v>46</v>
          </cell>
          <cell r="C50" t="str">
            <v>92.82</v>
          </cell>
          <cell r="D50">
            <v>129.94999999999999</v>
          </cell>
          <cell r="F50" t="str">
            <v>55.59</v>
          </cell>
          <cell r="G50">
            <v>77.83</v>
          </cell>
        </row>
        <row r="51">
          <cell r="B51">
            <v>47</v>
          </cell>
          <cell r="C51" t="str">
            <v>94.81</v>
          </cell>
          <cell r="D51">
            <v>132.72999999999999</v>
          </cell>
          <cell r="F51" t="str">
            <v>56.79</v>
          </cell>
          <cell r="G51">
            <v>79.510000000000005</v>
          </cell>
        </row>
        <row r="52">
          <cell r="B52">
            <v>48</v>
          </cell>
          <cell r="C52" t="str">
            <v>96.81</v>
          </cell>
          <cell r="D52">
            <v>135.53</v>
          </cell>
          <cell r="F52" t="str">
            <v>57.98</v>
          </cell>
          <cell r="G52">
            <v>81.17</v>
          </cell>
        </row>
        <row r="53">
          <cell r="B53">
            <v>49</v>
          </cell>
          <cell r="C53" t="str">
            <v>98.88</v>
          </cell>
          <cell r="D53">
            <v>138.43</v>
          </cell>
          <cell r="F53" t="str">
            <v>59.19</v>
          </cell>
          <cell r="G53">
            <v>82.87</v>
          </cell>
        </row>
        <row r="54">
          <cell r="B54">
            <v>50</v>
          </cell>
          <cell r="C54" t="str">
            <v>100.79</v>
          </cell>
          <cell r="D54">
            <v>141.11000000000001</v>
          </cell>
          <cell r="F54" t="str">
            <v>60.39</v>
          </cell>
          <cell r="G54">
            <v>84.55</v>
          </cell>
        </row>
        <row r="55">
          <cell r="B55">
            <v>51</v>
          </cell>
          <cell r="C55" t="str">
            <v>102.8</v>
          </cell>
          <cell r="D55">
            <v>143.91999999999999</v>
          </cell>
          <cell r="F55" t="str">
            <v>61.59</v>
          </cell>
          <cell r="G55">
            <v>86.23</v>
          </cell>
        </row>
        <row r="56">
          <cell r="B56">
            <v>52</v>
          </cell>
          <cell r="C56" t="str">
            <v>104.79</v>
          </cell>
          <cell r="D56">
            <v>146.71</v>
          </cell>
          <cell r="F56" t="str">
            <v>62.78</v>
          </cell>
          <cell r="G56">
            <v>87.89</v>
          </cell>
        </row>
        <row r="57">
          <cell r="B57">
            <v>53</v>
          </cell>
          <cell r="C57" t="str">
            <v>106.79</v>
          </cell>
          <cell r="D57">
            <v>149.51</v>
          </cell>
          <cell r="F57" t="str">
            <v>63.98</v>
          </cell>
          <cell r="G57">
            <v>89.57</v>
          </cell>
        </row>
        <row r="58">
          <cell r="B58">
            <v>54</v>
          </cell>
          <cell r="C58" t="str">
            <v>108.8</v>
          </cell>
          <cell r="D58">
            <v>152.32</v>
          </cell>
          <cell r="F58" t="str">
            <v>65.18</v>
          </cell>
          <cell r="G58">
            <v>91.25</v>
          </cell>
        </row>
        <row r="59">
          <cell r="B59">
            <v>55</v>
          </cell>
          <cell r="C59" t="str">
            <v>110.78</v>
          </cell>
          <cell r="D59">
            <v>155.09</v>
          </cell>
          <cell r="F59" t="str">
            <v>66.39</v>
          </cell>
          <cell r="G59">
            <v>92.95</v>
          </cell>
        </row>
        <row r="60">
          <cell r="B60">
            <v>56</v>
          </cell>
          <cell r="C60" t="str">
            <v>112.78</v>
          </cell>
          <cell r="D60">
            <v>157.88999999999999</v>
          </cell>
          <cell r="F60" t="str">
            <v>67.58</v>
          </cell>
          <cell r="G60">
            <v>94.61</v>
          </cell>
        </row>
        <row r="61">
          <cell r="B61">
            <v>57</v>
          </cell>
          <cell r="C61" t="str">
            <v>114.78</v>
          </cell>
          <cell r="D61">
            <v>160.69</v>
          </cell>
          <cell r="F61" t="str">
            <v>68.78</v>
          </cell>
          <cell r="G61">
            <v>96.29</v>
          </cell>
        </row>
        <row r="62">
          <cell r="B62">
            <v>58</v>
          </cell>
          <cell r="C62" t="str">
            <v>116.8</v>
          </cell>
          <cell r="D62">
            <v>163.52000000000001</v>
          </cell>
          <cell r="F62" t="str">
            <v>69.98</v>
          </cell>
          <cell r="G62">
            <v>97.97</v>
          </cell>
        </row>
        <row r="63">
          <cell r="B63">
            <v>59</v>
          </cell>
          <cell r="C63" t="str">
            <v>118.78</v>
          </cell>
          <cell r="D63">
            <v>166.29</v>
          </cell>
          <cell r="F63" t="str">
            <v>71.18</v>
          </cell>
          <cell r="G63">
            <v>99.65</v>
          </cell>
        </row>
        <row r="64">
          <cell r="B64">
            <v>60</v>
          </cell>
          <cell r="C64" t="str">
            <v>120.78</v>
          </cell>
          <cell r="D64">
            <v>169.09</v>
          </cell>
          <cell r="F64" t="str">
            <v>72.39</v>
          </cell>
          <cell r="G64">
            <v>101.35</v>
          </cell>
        </row>
        <row r="65">
          <cell r="B65">
            <v>61</v>
          </cell>
          <cell r="C65" t="str">
            <v>122.78</v>
          </cell>
          <cell r="D65">
            <v>171.89</v>
          </cell>
          <cell r="F65" t="str">
            <v>73.59</v>
          </cell>
          <cell r="G65">
            <v>103.03</v>
          </cell>
        </row>
        <row r="66">
          <cell r="B66">
            <v>62</v>
          </cell>
          <cell r="C66" t="str">
            <v>124.8</v>
          </cell>
          <cell r="D66">
            <v>174.72</v>
          </cell>
          <cell r="F66" t="str">
            <v>74.79</v>
          </cell>
          <cell r="G66">
            <v>104.71</v>
          </cell>
        </row>
        <row r="67">
          <cell r="B67">
            <v>63</v>
          </cell>
          <cell r="C67" t="str">
            <v>126.77</v>
          </cell>
          <cell r="D67">
            <v>177.48</v>
          </cell>
          <cell r="F67" t="str">
            <v>75.99</v>
          </cell>
          <cell r="G67">
            <v>106.39</v>
          </cell>
        </row>
        <row r="68">
          <cell r="B68">
            <v>64</v>
          </cell>
          <cell r="C68" t="str">
            <v>128.76</v>
          </cell>
          <cell r="D68">
            <v>180.26</v>
          </cell>
          <cell r="F68" t="str">
            <v>77.19</v>
          </cell>
          <cell r="G68">
            <v>108.07</v>
          </cell>
        </row>
        <row r="69">
          <cell r="B69">
            <v>65</v>
          </cell>
          <cell r="C69" t="str">
            <v>130.75</v>
          </cell>
          <cell r="D69">
            <v>183.05</v>
          </cell>
          <cell r="F69" t="str">
            <v>78.38</v>
          </cell>
          <cell r="G69">
            <v>109.73</v>
          </cell>
        </row>
        <row r="70">
          <cell r="B70">
            <v>66</v>
          </cell>
          <cell r="C70" t="str">
            <v>132.76</v>
          </cell>
          <cell r="D70">
            <v>185.86</v>
          </cell>
          <cell r="F70" t="str">
            <v>79.59</v>
          </cell>
          <cell r="G70">
            <v>111.43</v>
          </cell>
        </row>
        <row r="71">
          <cell r="B71">
            <v>67</v>
          </cell>
          <cell r="C71" t="str">
            <v>137.77</v>
          </cell>
          <cell r="D71">
            <v>192.88</v>
          </cell>
          <cell r="F71" t="str">
            <v>80.78</v>
          </cell>
          <cell r="G71">
            <v>113.09</v>
          </cell>
        </row>
        <row r="72">
          <cell r="B72">
            <v>68</v>
          </cell>
          <cell r="C72" t="str">
            <v>136.73</v>
          </cell>
          <cell r="D72">
            <v>191.42</v>
          </cell>
          <cell r="F72" t="str">
            <v>81.98</v>
          </cell>
          <cell r="G72">
            <v>114.77</v>
          </cell>
        </row>
        <row r="73">
          <cell r="B73">
            <v>69</v>
          </cell>
          <cell r="C73" t="str">
            <v>138.77</v>
          </cell>
          <cell r="D73">
            <v>194.28</v>
          </cell>
          <cell r="F73" t="str">
            <v>83.18</v>
          </cell>
          <cell r="G73">
            <v>116.45</v>
          </cell>
        </row>
        <row r="74">
          <cell r="B74">
            <v>70</v>
          </cell>
          <cell r="C74" t="str">
            <v>140.75</v>
          </cell>
          <cell r="D74">
            <v>197.05</v>
          </cell>
          <cell r="F74" t="str">
            <v>84.38</v>
          </cell>
          <cell r="G74">
            <v>118.13</v>
          </cell>
        </row>
        <row r="75">
          <cell r="B75">
            <v>71</v>
          </cell>
          <cell r="C75" t="str">
            <v>142.74</v>
          </cell>
          <cell r="D75">
            <v>199.84</v>
          </cell>
          <cell r="F75" t="str">
            <v>85.59</v>
          </cell>
          <cell r="G75">
            <v>119.83</v>
          </cell>
        </row>
        <row r="76">
          <cell r="B76">
            <v>72</v>
          </cell>
          <cell r="C76" t="str">
            <v>144.74</v>
          </cell>
          <cell r="D76">
            <v>202.64</v>
          </cell>
          <cell r="F76" t="str">
            <v>86.79</v>
          </cell>
          <cell r="G76">
            <v>121.51</v>
          </cell>
        </row>
        <row r="77">
          <cell r="B77">
            <v>73</v>
          </cell>
          <cell r="C77" t="str">
            <v>146.75</v>
          </cell>
          <cell r="D77">
            <v>205.45</v>
          </cell>
          <cell r="F77" t="str">
            <v>87.98</v>
          </cell>
          <cell r="G77">
            <v>123.17</v>
          </cell>
        </row>
        <row r="78">
          <cell r="B78">
            <v>74</v>
          </cell>
          <cell r="C78" t="str">
            <v>148.77</v>
          </cell>
          <cell r="D78">
            <v>208.28</v>
          </cell>
          <cell r="F78" t="str">
            <v>89.19</v>
          </cell>
          <cell r="G78">
            <v>124.87</v>
          </cell>
        </row>
        <row r="79">
          <cell r="B79">
            <v>75</v>
          </cell>
          <cell r="C79" t="str">
            <v>150.72</v>
          </cell>
          <cell r="D79">
            <v>211.01</v>
          </cell>
          <cell r="F79" t="str">
            <v>90.39</v>
          </cell>
          <cell r="G79">
            <v>126.55</v>
          </cell>
        </row>
        <row r="80">
          <cell r="B80">
            <v>76</v>
          </cell>
          <cell r="C80" t="str">
            <v>152.76</v>
          </cell>
          <cell r="D80">
            <v>213.86</v>
          </cell>
          <cell r="F80" t="str">
            <v>91.59</v>
          </cell>
          <cell r="G80">
            <v>128.22999999999999</v>
          </cell>
        </row>
        <row r="81">
          <cell r="B81">
            <v>77</v>
          </cell>
          <cell r="C81" t="str">
            <v>154.73</v>
          </cell>
          <cell r="D81">
            <v>216.62</v>
          </cell>
          <cell r="F81" t="str">
            <v>92.78</v>
          </cell>
          <cell r="G81">
            <v>129.88999999999999</v>
          </cell>
        </row>
        <row r="82">
          <cell r="B82">
            <v>78</v>
          </cell>
          <cell r="C82" t="str">
            <v>156.71</v>
          </cell>
          <cell r="D82">
            <v>219.39</v>
          </cell>
          <cell r="F82" t="str">
            <v>93.98</v>
          </cell>
          <cell r="G82">
            <v>131.57</v>
          </cell>
        </row>
        <row r="83">
          <cell r="B83">
            <v>79</v>
          </cell>
          <cell r="C83" t="str">
            <v>158.77</v>
          </cell>
          <cell r="D83">
            <v>222.28</v>
          </cell>
          <cell r="F83" t="str">
            <v>95.19</v>
          </cell>
          <cell r="G83">
            <v>133.27000000000001</v>
          </cell>
        </row>
        <row r="84">
          <cell r="B84">
            <v>80</v>
          </cell>
          <cell r="C84" t="str">
            <v>160.76</v>
          </cell>
          <cell r="D84">
            <v>225.06</v>
          </cell>
          <cell r="F84" t="str">
            <v>96.39</v>
          </cell>
          <cell r="G84">
            <v>134.94999999999999</v>
          </cell>
        </row>
        <row r="85">
          <cell r="B85">
            <v>81</v>
          </cell>
          <cell r="C85" t="str">
            <v>162.77</v>
          </cell>
          <cell r="D85">
            <v>227.88</v>
          </cell>
          <cell r="F85" t="str">
            <v>97.6</v>
          </cell>
          <cell r="G85">
            <v>136.63999999999999</v>
          </cell>
        </row>
        <row r="86">
          <cell r="B86">
            <v>82</v>
          </cell>
          <cell r="C86" t="str">
            <v>164.69</v>
          </cell>
          <cell r="D86">
            <v>230.57</v>
          </cell>
          <cell r="F86" t="str">
            <v>98.78</v>
          </cell>
          <cell r="G86">
            <v>138.29</v>
          </cell>
        </row>
        <row r="87">
          <cell r="B87">
            <v>83</v>
          </cell>
          <cell r="C87" t="str">
            <v>166.71</v>
          </cell>
          <cell r="D87">
            <v>233.39</v>
          </cell>
          <cell r="F87" t="str">
            <v>99.99</v>
          </cell>
          <cell r="G87">
            <v>139.99</v>
          </cell>
        </row>
        <row r="88">
          <cell r="B88">
            <v>84</v>
          </cell>
          <cell r="C88" t="str">
            <v>168.73</v>
          </cell>
          <cell r="D88">
            <v>236.22</v>
          </cell>
          <cell r="F88" t="str">
            <v>101.18</v>
          </cell>
          <cell r="G88">
            <v>141.65</v>
          </cell>
        </row>
        <row r="89">
          <cell r="B89">
            <v>85</v>
          </cell>
          <cell r="C89" t="str">
            <v>170.77</v>
          </cell>
          <cell r="D89">
            <v>239.08</v>
          </cell>
          <cell r="F89" t="str">
            <v>102.4</v>
          </cell>
          <cell r="G89">
            <v>143.36000000000001</v>
          </cell>
        </row>
        <row r="90">
          <cell r="B90">
            <v>86</v>
          </cell>
          <cell r="C90" t="str">
            <v>172.72</v>
          </cell>
          <cell r="D90">
            <v>241.81</v>
          </cell>
          <cell r="F90" t="str">
            <v>103.59</v>
          </cell>
          <cell r="G90">
            <v>145.03</v>
          </cell>
        </row>
        <row r="91">
          <cell r="B91">
            <v>87</v>
          </cell>
          <cell r="C91" t="str">
            <v>174.67</v>
          </cell>
          <cell r="D91">
            <v>244.54</v>
          </cell>
          <cell r="F91" t="str">
            <v>104.78</v>
          </cell>
          <cell r="G91">
            <v>146.69</v>
          </cell>
        </row>
        <row r="92">
          <cell r="B92">
            <v>88</v>
          </cell>
          <cell r="C92" t="str">
            <v>176.73</v>
          </cell>
          <cell r="D92">
            <v>247.42</v>
          </cell>
          <cell r="F92" t="str">
            <v>105.98</v>
          </cell>
          <cell r="G92">
            <v>148.37</v>
          </cell>
        </row>
        <row r="93">
          <cell r="B93">
            <v>89</v>
          </cell>
          <cell r="C93" t="str">
            <v>178.7</v>
          </cell>
          <cell r="D93">
            <v>250.18</v>
          </cell>
          <cell r="F93" t="str">
            <v>107.18</v>
          </cell>
          <cell r="G93">
            <v>150.05000000000001</v>
          </cell>
        </row>
        <row r="94">
          <cell r="B94">
            <v>90</v>
          </cell>
          <cell r="C94" t="str">
            <v>180.67</v>
          </cell>
          <cell r="D94">
            <v>252.94</v>
          </cell>
          <cell r="F94" t="str">
            <v>108.4</v>
          </cell>
          <cell r="G94">
            <v>151.76</v>
          </cell>
        </row>
        <row r="95">
          <cell r="B95">
            <v>91</v>
          </cell>
          <cell r="C95" t="str">
            <v>182.76</v>
          </cell>
          <cell r="D95">
            <v>255.86</v>
          </cell>
          <cell r="F95" t="str">
            <v>109.6</v>
          </cell>
          <cell r="G95">
            <v>153.44</v>
          </cell>
        </row>
        <row r="96">
          <cell r="B96">
            <v>92</v>
          </cell>
          <cell r="C96" t="str">
            <v>184.75</v>
          </cell>
          <cell r="D96">
            <v>258.64999999999998</v>
          </cell>
          <cell r="F96" t="str">
            <v>110.78</v>
          </cell>
          <cell r="G96">
            <v>155.09</v>
          </cell>
        </row>
        <row r="97">
          <cell r="B97">
            <v>93</v>
          </cell>
          <cell r="C97" t="str">
            <v>186.75</v>
          </cell>
          <cell r="D97">
            <v>261.45</v>
          </cell>
          <cell r="F97" t="str">
            <v>111.98</v>
          </cell>
          <cell r="G97">
            <v>156.77000000000001</v>
          </cell>
        </row>
        <row r="98">
          <cell r="B98">
            <v>94</v>
          </cell>
          <cell r="C98" t="str">
            <v>188.75</v>
          </cell>
          <cell r="D98">
            <v>264.25</v>
          </cell>
          <cell r="F98" t="str">
            <v>113.19</v>
          </cell>
          <cell r="G98">
            <v>158.47</v>
          </cell>
        </row>
        <row r="99">
          <cell r="B99">
            <v>95</v>
          </cell>
          <cell r="C99" t="str">
            <v>190.65</v>
          </cell>
          <cell r="D99">
            <v>266.91000000000003</v>
          </cell>
          <cell r="F99" t="str">
            <v>114.39</v>
          </cell>
          <cell r="G99">
            <v>160.15</v>
          </cell>
        </row>
        <row r="100">
          <cell r="B100">
            <v>96</v>
          </cell>
          <cell r="C100" t="str">
            <v>192.66</v>
          </cell>
          <cell r="D100">
            <v>269.72000000000003</v>
          </cell>
          <cell r="F100" t="str">
            <v>115.6</v>
          </cell>
          <cell r="G100">
            <v>161.84</v>
          </cell>
        </row>
        <row r="101">
          <cell r="B101">
            <v>97</v>
          </cell>
          <cell r="C101" t="str">
            <v>194.68</v>
          </cell>
          <cell r="D101">
            <v>272.55</v>
          </cell>
          <cell r="F101" t="str">
            <v>116.78</v>
          </cell>
          <cell r="G101">
            <v>163.49</v>
          </cell>
        </row>
        <row r="102">
          <cell r="B102">
            <v>98</v>
          </cell>
          <cell r="C102" t="str">
            <v>196.71</v>
          </cell>
          <cell r="D102">
            <v>275.39</v>
          </cell>
          <cell r="F102" t="str">
            <v>118</v>
          </cell>
          <cell r="G102">
            <v>165.2</v>
          </cell>
        </row>
        <row r="103">
          <cell r="B103">
            <v>99</v>
          </cell>
          <cell r="C103" t="str">
            <v>198.75</v>
          </cell>
          <cell r="D103">
            <v>278.25</v>
          </cell>
          <cell r="F103" t="str">
            <v>119.18</v>
          </cell>
          <cell r="G103">
            <v>166.85</v>
          </cell>
        </row>
        <row r="104">
          <cell r="B104">
            <v>100</v>
          </cell>
          <cell r="C104" t="str">
            <v>200.67</v>
          </cell>
          <cell r="D104">
            <v>280.94</v>
          </cell>
          <cell r="F104" t="str">
            <v>120.4</v>
          </cell>
          <cell r="G104">
            <v>168.56</v>
          </cell>
        </row>
        <row r="105">
          <cell r="B105">
            <v>101</v>
          </cell>
          <cell r="C105" t="str">
            <v>202.73</v>
          </cell>
          <cell r="D105">
            <v>283.82</v>
          </cell>
          <cell r="F105" t="str">
            <v>121.58</v>
          </cell>
          <cell r="G105">
            <v>170.21</v>
          </cell>
        </row>
        <row r="106">
          <cell r="B106">
            <v>102</v>
          </cell>
          <cell r="C106" t="str">
            <v>204.66</v>
          </cell>
          <cell r="D106">
            <v>286.52</v>
          </cell>
          <cell r="F106" t="str">
            <v>122.8</v>
          </cell>
          <cell r="G106">
            <v>171.92</v>
          </cell>
        </row>
        <row r="107">
          <cell r="B107">
            <v>103</v>
          </cell>
          <cell r="C107" t="str">
            <v>206.72</v>
          </cell>
          <cell r="D107">
            <v>289.41000000000003</v>
          </cell>
          <cell r="F107" t="str">
            <v>123.99</v>
          </cell>
          <cell r="G107">
            <v>173.59</v>
          </cell>
        </row>
        <row r="108">
          <cell r="B108">
            <v>104</v>
          </cell>
          <cell r="C108" t="str">
            <v>208.66</v>
          </cell>
          <cell r="D108">
            <v>292.12</v>
          </cell>
          <cell r="F108" t="str">
            <v>125.18</v>
          </cell>
          <cell r="G108">
            <v>175.25</v>
          </cell>
        </row>
        <row r="109">
          <cell r="B109">
            <v>105</v>
          </cell>
          <cell r="C109" t="str">
            <v>210.75</v>
          </cell>
          <cell r="D109">
            <v>295.05</v>
          </cell>
          <cell r="F109" t="str">
            <v>126.4</v>
          </cell>
          <cell r="G109">
            <v>176.96</v>
          </cell>
        </row>
        <row r="110">
          <cell r="B110">
            <v>106</v>
          </cell>
          <cell r="C110" t="str">
            <v>212.7</v>
          </cell>
          <cell r="D110">
            <v>297.77999999999997</v>
          </cell>
          <cell r="F110" t="str">
            <v>127.6</v>
          </cell>
          <cell r="G110">
            <v>178.64</v>
          </cell>
        </row>
        <row r="111">
          <cell r="B111">
            <v>107</v>
          </cell>
          <cell r="C111" t="str">
            <v>214.65</v>
          </cell>
          <cell r="D111">
            <v>300.51</v>
          </cell>
          <cell r="F111" t="str">
            <v>128.79</v>
          </cell>
          <cell r="G111">
            <v>180.31</v>
          </cell>
        </row>
        <row r="112">
          <cell r="B112">
            <v>108</v>
          </cell>
          <cell r="C112" t="str">
            <v>216.61</v>
          </cell>
          <cell r="D112">
            <v>303.25</v>
          </cell>
          <cell r="F112" t="str">
            <v>129.98</v>
          </cell>
          <cell r="G112">
            <v>181.97</v>
          </cell>
        </row>
        <row r="113">
          <cell r="B113">
            <v>109</v>
          </cell>
          <cell r="C113" t="str">
            <v>218.73</v>
          </cell>
          <cell r="D113">
            <v>306.22000000000003</v>
          </cell>
          <cell r="F113" t="str">
            <v>131.18</v>
          </cell>
          <cell r="G113">
            <v>183.65</v>
          </cell>
        </row>
        <row r="114">
          <cell r="B114">
            <v>110</v>
          </cell>
          <cell r="C114" t="str">
            <v>220.7</v>
          </cell>
          <cell r="D114">
            <v>308.98</v>
          </cell>
          <cell r="F114" t="str">
            <v>132.38</v>
          </cell>
          <cell r="G114">
            <v>185.33</v>
          </cell>
        </row>
        <row r="115">
          <cell r="B115">
            <v>111</v>
          </cell>
          <cell r="C115" t="str">
            <v>222.68</v>
          </cell>
          <cell r="D115">
            <v>311.75</v>
          </cell>
          <cell r="F115" t="str">
            <v>133.58</v>
          </cell>
          <cell r="G115">
            <v>187.01</v>
          </cell>
        </row>
        <row r="116">
          <cell r="B116">
            <v>112</v>
          </cell>
          <cell r="C116" t="str">
            <v>224.66</v>
          </cell>
          <cell r="D116">
            <v>314.52</v>
          </cell>
          <cell r="F116" t="str">
            <v>134.78</v>
          </cell>
          <cell r="G116">
            <v>188.69</v>
          </cell>
        </row>
        <row r="117">
          <cell r="B117">
            <v>113</v>
          </cell>
          <cell r="C117" t="str">
            <v>226.64</v>
          </cell>
          <cell r="D117">
            <v>317.3</v>
          </cell>
          <cell r="F117" t="str">
            <v>135.98</v>
          </cell>
          <cell r="G117">
            <v>190.37</v>
          </cell>
        </row>
        <row r="118">
          <cell r="B118">
            <v>114</v>
          </cell>
          <cell r="C118" t="str">
            <v>228.64</v>
          </cell>
          <cell r="D118">
            <v>320.10000000000002</v>
          </cell>
          <cell r="F118" t="str">
            <v>137.18</v>
          </cell>
          <cell r="G118">
            <v>192.05</v>
          </cell>
        </row>
        <row r="119">
          <cell r="B119">
            <v>115</v>
          </cell>
          <cell r="C119" t="str">
            <v>230.64</v>
          </cell>
          <cell r="D119">
            <v>322.89999999999998</v>
          </cell>
          <cell r="F119" t="str">
            <v>138.38</v>
          </cell>
          <cell r="G119">
            <v>193.73</v>
          </cell>
        </row>
        <row r="120">
          <cell r="B120">
            <v>116</v>
          </cell>
          <cell r="C120" t="str">
            <v>232.64</v>
          </cell>
          <cell r="D120">
            <v>325.7</v>
          </cell>
          <cell r="F120" t="str">
            <v>139.59</v>
          </cell>
          <cell r="G120">
            <v>195.43</v>
          </cell>
        </row>
        <row r="121">
          <cell r="B121">
            <v>117</v>
          </cell>
          <cell r="C121" t="str">
            <v>234.65</v>
          </cell>
          <cell r="D121">
            <v>328.51</v>
          </cell>
          <cell r="F121" t="str">
            <v>140.79</v>
          </cell>
          <cell r="G121">
            <v>197.11</v>
          </cell>
        </row>
        <row r="122">
          <cell r="B122">
            <v>118</v>
          </cell>
          <cell r="C122" t="str">
            <v>236.67</v>
          </cell>
          <cell r="D122">
            <v>331.34</v>
          </cell>
          <cell r="F122" t="str">
            <v>142</v>
          </cell>
          <cell r="G122">
            <v>198.8</v>
          </cell>
        </row>
        <row r="123">
          <cell r="B123">
            <v>119</v>
          </cell>
          <cell r="C123" t="str">
            <v>238.69</v>
          </cell>
          <cell r="D123">
            <v>334.17</v>
          </cell>
          <cell r="F123" t="str">
            <v>143.21</v>
          </cell>
          <cell r="G123">
            <v>200.49</v>
          </cell>
        </row>
        <row r="124">
          <cell r="B124">
            <v>120</v>
          </cell>
          <cell r="C124" t="str">
            <v>240.72</v>
          </cell>
          <cell r="D124">
            <v>337.01</v>
          </cell>
          <cell r="F124" t="str">
            <v>144.38</v>
          </cell>
          <cell r="G124">
            <v>202.13</v>
          </cell>
        </row>
        <row r="125">
          <cell r="B125">
            <v>121</v>
          </cell>
          <cell r="C125" t="str">
            <v>242.57</v>
          </cell>
          <cell r="D125">
            <v>339.6</v>
          </cell>
          <cell r="F125" t="str">
            <v>145.59</v>
          </cell>
          <cell r="G125">
            <v>203.83</v>
          </cell>
        </row>
        <row r="126">
          <cell r="B126">
            <v>122</v>
          </cell>
          <cell r="C126" t="str">
            <v>244.6</v>
          </cell>
          <cell r="D126">
            <v>342.44</v>
          </cell>
          <cell r="F126" t="str">
            <v>146.8</v>
          </cell>
          <cell r="G126">
            <v>205.52</v>
          </cell>
        </row>
        <row r="127">
          <cell r="B127">
            <v>123</v>
          </cell>
          <cell r="C127" t="str">
            <v>246.65</v>
          </cell>
          <cell r="D127">
            <v>345.31</v>
          </cell>
          <cell r="F127" t="str">
            <v>147.97</v>
          </cell>
          <cell r="G127">
            <v>207.16</v>
          </cell>
        </row>
        <row r="128">
          <cell r="B128">
            <v>124</v>
          </cell>
          <cell r="C128" t="str">
            <v>248.7</v>
          </cell>
          <cell r="D128">
            <v>348.18</v>
          </cell>
          <cell r="F128" t="str">
            <v>149.19</v>
          </cell>
          <cell r="G128">
            <v>208.87</v>
          </cell>
        </row>
        <row r="129">
          <cell r="B129">
            <v>125</v>
          </cell>
          <cell r="C129" t="str">
            <v>250.56</v>
          </cell>
          <cell r="D129">
            <v>350.78</v>
          </cell>
          <cell r="F129" t="str">
            <v>150.4</v>
          </cell>
          <cell r="G129">
            <v>210.56</v>
          </cell>
        </row>
        <row r="130">
          <cell r="B130">
            <v>126</v>
          </cell>
          <cell r="C130" t="str">
            <v>252.63</v>
          </cell>
          <cell r="D130">
            <v>353.68</v>
          </cell>
          <cell r="F130" t="str">
            <v>151.58</v>
          </cell>
          <cell r="G130">
            <v>212.21</v>
          </cell>
        </row>
        <row r="131">
          <cell r="B131">
            <v>127</v>
          </cell>
          <cell r="C131" t="str">
            <v>254.7</v>
          </cell>
          <cell r="D131">
            <v>356.58</v>
          </cell>
          <cell r="F131" t="str">
            <v>152.8</v>
          </cell>
          <cell r="G131">
            <v>213.92</v>
          </cell>
        </row>
        <row r="132">
          <cell r="B132">
            <v>128</v>
          </cell>
          <cell r="C132" t="str">
            <v>256.57</v>
          </cell>
          <cell r="D132">
            <v>359.2</v>
          </cell>
          <cell r="F132" t="str">
            <v>154.02</v>
          </cell>
          <cell r="G132">
            <v>215.63</v>
          </cell>
        </row>
        <row r="133">
          <cell r="B133">
            <v>129</v>
          </cell>
          <cell r="C133" t="str">
            <v>258.65</v>
          </cell>
          <cell r="D133">
            <v>362.11</v>
          </cell>
          <cell r="F133" t="str">
            <v>155.19</v>
          </cell>
          <cell r="G133">
            <v>217.27</v>
          </cell>
        </row>
        <row r="134">
          <cell r="B134">
            <v>130</v>
          </cell>
          <cell r="C134" t="str">
            <v>260.74</v>
          </cell>
          <cell r="D134">
            <v>365.04</v>
          </cell>
          <cell r="F134" t="str">
            <v>156.42</v>
          </cell>
          <cell r="G134">
            <v>218.99</v>
          </cell>
        </row>
        <row r="135">
          <cell r="B135">
            <v>131</v>
          </cell>
          <cell r="C135" t="str">
            <v>262.62</v>
          </cell>
          <cell r="D135">
            <v>367.67</v>
          </cell>
          <cell r="F135" t="str">
            <v>157.59</v>
          </cell>
          <cell r="G135">
            <v>220.63</v>
          </cell>
        </row>
        <row r="136">
          <cell r="B136">
            <v>132</v>
          </cell>
          <cell r="C136" t="str">
            <v>264.73</v>
          </cell>
          <cell r="D136">
            <v>370.62</v>
          </cell>
          <cell r="F136" t="str">
            <v>158.77</v>
          </cell>
          <cell r="G136">
            <v>222.28</v>
          </cell>
        </row>
        <row r="137">
          <cell r="B137">
            <v>133</v>
          </cell>
          <cell r="C137" t="str">
            <v>266.62</v>
          </cell>
          <cell r="D137">
            <v>373.27</v>
          </cell>
          <cell r="F137" t="str">
            <v>160</v>
          </cell>
          <cell r="G137">
            <v>224</v>
          </cell>
        </row>
        <row r="138">
          <cell r="B138">
            <v>134</v>
          </cell>
          <cell r="C138" t="str">
            <v>268.73</v>
          </cell>
          <cell r="D138">
            <v>376.22</v>
          </cell>
          <cell r="F138" t="str">
            <v>161.18</v>
          </cell>
          <cell r="G138">
            <v>225.65</v>
          </cell>
        </row>
        <row r="139">
          <cell r="B139">
            <v>135</v>
          </cell>
          <cell r="C139" t="str">
            <v>270.63</v>
          </cell>
          <cell r="D139">
            <v>378.88</v>
          </cell>
          <cell r="F139" t="str">
            <v>162.41</v>
          </cell>
          <cell r="G139">
            <v>227.37</v>
          </cell>
        </row>
        <row r="140">
          <cell r="B140">
            <v>136</v>
          </cell>
          <cell r="C140" t="str">
            <v>272.52</v>
          </cell>
          <cell r="D140">
            <v>381.53</v>
          </cell>
          <cell r="F140" t="str">
            <v>163.59</v>
          </cell>
          <cell r="G140">
            <v>229.03</v>
          </cell>
        </row>
        <row r="141">
          <cell r="B141">
            <v>137</v>
          </cell>
          <cell r="C141" t="str">
            <v>274.66</v>
          </cell>
          <cell r="D141">
            <v>384.52</v>
          </cell>
          <cell r="F141" t="str">
            <v>164.82</v>
          </cell>
          <cell r="G141">
            <v>230.75</v>
          </cell>
        </row>
        <row r="142">
          <cell r="B142">
            <v>138</v>
          </cell>
          <cell r="C142" t="str">
            <v>276.56</v>
          </cell>
          <cell r="D142">
            <v>387.18</v>
          </cell>
          <cell r="F142" t="str">
            <v>166.01</v>
          </cell>
          <cell r="G142">
            <v>232.41</v>
          </cell>
        </row>
        <row r="143">
          <cell r="B143">
            <v>139</v>
          </cell>
          <cell r="C143" t="str">
            <v>278.71</v>
          </cell>
          <cell r="D143">
            <v>390.19</v>
          </cell>
          <cell r="F143" t="str">
            <v>167.19</v>
          </cell>
          <cell r="G143">
            <v>234.07</v>
          </cell>
        </row>
        <row r="144">
          <cell r="B144">
            <v>140</v>
          </cell>
          <cell r="C144" t="str">
            <v>280.62</v>
          </cell>
          <cell r="D144">
            <v>392.87</v>
          </cell>
          <cell r="F144" t="str">
            <v>168.37</v>
          </cell>
          <cell r="G144">
            <v>235.72</v>
          </cell>
        </row>
        <row r="145">
          <cell r="B145">
            <v>141</v>
          </cell>
          <cell r="C145" t="str">
            <v>282.54</v>
          </cell>
          <cell r="D145">
            <v>395.56</v>
          </cell>
          <cell r="F145" t="str">
            <v>169.61</v>
          </cell>
          <cell r="G145">
            <v>237.45</v>
          </cell>
        </row>
        <row r="146">
          <cell r="B146">
            <v>142</v>
          </cell>
          <cell r="C146" t="str">
            <v>284.71</v>
          </cell>
          <cell r="D146">
            <v>398.59</v>
          </cell>
          <cell r="F146" t="str">
            <v>170.8</v>
          </cell>
          <cell r="G146">
            <v>239.12</v>
          </cell>
        </row>
        <row r="147">
          <cell r="B147">
            <v>143</v>
          </cell>
          <cell r="C147" t="str">
            <v>286.63</v>
          </cell>
          <cell r="D147">
            <v>401.28</v>
          </cell>
          <cell r="F147" t="str">
            <v>171.98</v>
          </cell>
          <cell r="G147">
            <v>240.77</v>
          </cell>
        </row>
        <row r="148">
          <cell r="B148">
            <v>144</v>
          </cell>
          <cell r="C148" t="str">
            <v>288.55</v>
          </cell>
          <cell r="D148">
            <v>403.97</v>
          </cell>
          <cell r="F148" t="str">
            <v>173.23</v>
          </cell>
          <cell r="G148">
            <v>242.52</v>
          </cell>
        </row>
        <row r="149">
          <cell r="B149">
            <v>145</v>
          </cell>
          <cell r="C149" t="str">
            <v>290.75</v>
          </cell>
          <cell r="D149">
            <v>407.05</v>
          </cell>
          <cell r="F149" t="str">
            <v>174.41</v>
          </cell>
          <cell r="G149">
            <v>244.17</v>
          </cell>
        </row>
        <row r="150">
          <cell r="B150">
            <v>146</v>
          </cell>
          <cell r="C150" t="str">
            <v>292.68</v>
          </cell>
          <cell r="D150">
            <v>409.75</v>
          </cell>
          <cell r="F150" t="str">
            <v>175.6</v>
          </cell>
          <cell r="G150">
            <v>245.84</v>
          </cell>
        </row>
        <row r="151">
          <cell r="B151">
            <v>147</v>
          </cell>
          <cell r="C151" t="str">
            <v>294.62</v>
          </cell>
          <cell r="D151">
            <v>412.47</v>
          </cell>
          <cell r="F151" t="str">
            <v>176.79</v>
          </cell>
          <cell r="G151">
            <v>247.51</v>
          </cell>
        </row>
        <row r="152">
          <cell r="B152">
            <v>148</v>
          </cell>
          <cell r="C152" t="str">
            <v>296.56</v>
          </cell>
          <cell r="D152">
            <v>415.18</v>
          </cell>
          <cell r="F152" t="str">
            <v>177.98</v>
          </cell>
          <cell r="G152">
            <v>249.17</v>
          </cell>
        </row>
        <row r="153">
          <cell r="B153">
            <v>149</v>
          </cell>
          <cell r="C153" t="str">
            <v>298.5</v>
          </cell>
          <cell r="D153">
            <v>417.9</v>
          </cell>
          <cell r="F153" t="str">
            <v>179.23</v>
          </cell>
          <cell r="G153">
            <v>250.92</v>
          </cell>
        </row>
        <row r="154">
          <cell r="B154">
            <v>150</v>
          </cell>
          <cell r="C154" t="str">
            <v>300.72</v>
          </cell>
          <cell r="D154">
            <v>421.01</v>
          </cell>
          <cell r="F154" t="str">
            <v>180.42</v>
          </cell>
          <cell r="G154">
            <v>252.59</v>
          </cell>
        </row>
        <row r="155">
          <cell r="B155">
            <v>151</v>
          </cell>
          <cell r="C155" t="str">
            <v>302.68</v>
          </cell>
          <cell r="D155">
            <v>423.75</v>
          </cell>
          <cell r="F155" t="str">
            <v>181.62</v>
          </cell>
          <cell r="G155">
            <v>254.27</v>
          </cell>
        </row>
        <row r="156">
          <cell r="B156">
            <v>152</v>
          </cell>
          <cell r="C156" t="str">
            <v>304.63</v>
          </cell>
          <cell r="D156">
            <v>426.48</v>
          </cell>
          <cell r="F156" t="str">
            <v>182.81</v>
          </cell>
          <cell r="G156">
            <v>255.93</v>
          </cell>
        </row>
        <row r="157">
          <cell r="B157">
            <v>153</v>
          </cell>
          <cell r="C157" t="str">
            <v>306.56</v>
          </cell>
          <cell r="D157">
            <v>429.18</v>
          </cell>
          <cell r="F157" t="str">
            <v>184</v>
          </cell>
          <cell r="G157">
            <v>257.60000000000002</v>
          </cell>
        </row>
        <row r="158">
          <cell r="B158">
            <v>154</v>
          </cell>
          <cell r="C158" t="str">
            <v>308.55</v>
          </cell>
          <cell r="D158">
            <v>431.97</v>
          </cell>
          <cell r="F158" t="str">
            <v>185.2</v>
          </cell>
          <cell r="G158">
            <v>259.27999999999997</v>
          </cell>
        </row>
        <row r="159">
          <cell r="B159">
            <v>155</v>
          </cell>
          <cell r="C159" t="str">
            <v>310.52</v>
          </cell>
          <cell r="D159">
            <v>434.73</v>
          </cell>
          <cell r="F159" t="str">
            <v>186.39</v>
          </cell>
          <cell r="G159">
            <v>260.95</v>
          </cell>
        </row>
        <row r="160">
          <cell r="B160">
            <v>156</v>
          </cell>
          <cell r="C160" t="str">
            <v>312.48</v>
          </cell>
          <cell r="D160">
            <v>437.47</v>
          </cell>
          <cell r="F160" t="str">
            <v>187.59</v>
          </cell>
          <cell r="G160">
            <v>262.63</v>
          </cell>
        </row>
        <row r="161">
          <cell r="B161">
            <v>157</v>
          </cell>
          <cell r="C161" t="str">
            <v>314.46</v>
          </cell>
          <cell r="D161">
            <v>440.24</v>
          </cell>
          <cell r="F161" t="str">
            <v>188.78</v>
          </cell>
          <cell r="G161">
            <v>264.29000000000002</v>
          </cell>
        </row>
        <row r="162">
          <cell r="B162">
            <v>158</v>
          </cell>
          <cell r="C162" t="str">
            <v>316.74</v>
          </cell>
          <cell r="D162">
            <v>443.44</v>
          </cell>
          <cell r="F162" t="str">
            <v>189.98</v>
          </cell>
          <cell r="G162">
            <v>265.97000000000003</v>
          </cell>
        </row>
        <row r="163">
          <cell r="B163">
            <v>159</v>
          </cell>
          <cell r="C163" t="str">
            <v>318.73</v>
          </cell>
          <cell r="D163">
            <v>446.22</v>
          </cell>
          <cell r="F163" t="str">
            <v>191.18</v>
          </cell>
          <cell r="G163">
            <v>267.64999999999998</v>
          </cell>
        </row>
        <row r="164">
          <cell r="B164">
            <v>160</v>
          </cell>
          <cell r="C164" t="str">
            <v>320.71</v>
          </cell>
          <cell r="D164">
            <v>448.99</v>
          </cell>
          <cell r="F164" t="str">
            <v>192.38</v>
          </cell>
          <cell r="G164">
            <v>269.33</v>
          </cell>
        </row>
        <row r="165">
          <cell r="B165">
            <v>161</v>
          </cell>
          <cell r="C165" t="str">
            <v>322.7</v>
          </cell>
          <cell r="D165">
            <v>451.78</v>
          </cell>
          <cell r="F165" t="str">
            <v>193.58</v>
          </cell>
          <cell r="G165">
            <v>271.01</v>
          </cell>
        </row>
        <row r="166">
          <cell r="B166">
            <v>162</v>
          </cell>
          <cell r="C166" t="str">
            <v>324.7</v>
          </cell>
          <cell r="D166">
            <v>454.58</v>
          </cell>
          <cell r="F166" t="str">
            <v>194.78</v>
          </cell>
          <cell r="G166">
            <v>272.69</v>
          </cell>
        </row>
        <row r="167">
          <cell r="B167">
            <v>163</v>
          </cell>
          <cell r="C167" t="str">
            <v>326.7</v>
          </cell>
          <cell r="D167">
            <v>457.38</v>
          </cell>
          <cell r="F167" t="str">
            <v>195.98</v>
          </cell>
          <cell r="G167">
            <v>274.37</v>
          </cell>
        </row>
        <row r="168">
          <cell r="B168">
            <v>164</v>
          </cell>
          <cell r="C168" t="str">
            <v>328.7</v>
          </cell>
          <cell r="D168">
            <v>460.18</v>
          </cell>
          <cell r="F168" t="str">
            <v>197.19</v>
          </cell>
          <cell r="G168">
            <v>276.07</v>
          </cell>
        </row>
        <row r="169">
          <cell r="B169">
            <v>165</v>
          </cell>
          <cell r="C169" t="str">
            <v>330.7</v>
          </cell>
          <cell r="D169">
            <v>462.98</v>
          </cell>
          <cell r="F169" t="str">
            <v>198.39</v>
          </cell>
          <cell r="G169">
            <v>277.75</v>
          </cell>
        </row>
        <row r="170">
          <cell r="B170">
            <v>166</v>
          </cell>
          <cell r="C170" t="str">
            <v>322.71</v>
          </cell>
          <cell r="D170">
            <v>451.79</v>
          </cell>
          <cell r="F170" t="str">
            <v>199.59</v>
          </cell>
          <cell r="G170">
            <v>279.43</v>
          </cell>
        </row>
        <row r="171">
          <cell r="B171">
            <v>167</v>
          </cell>
          <cell r="C171" t="str">
            <v>344.73</v>
          </cell>
          <cell r="D171">
            <v>482.62</v>
          </cell>
          <cell r="F171" t="str">
            <v>200.8</v>
          </cell>
          <cell r="G171">
            <v>281.12</v>
          </cell>
        </row>
        <row r="172">
          <cell r="B172">
            <v>168</v>
          </cell>
          <cell r="C172" t="str">
            <v>366.75</v>
          </cell>
          <cell r="D172">
            <v>513.45000000000005</v>
          </cell>
          <cell r="F172" t="str">
            <v>202.01</v>
          </cell>
          <cell r="G172">
            <v>282.81</v>
          </cell>
        </row>
        <row r="173">
          <cell r="B173">
            <v>169</v>
          </cell>
          <cell r="C173" t="str">
            <v>338.41</v>
          </cell>
          <cell r="D173">
            <v>473.77</v>
          </cell>
          <cell r="F173" t="str">
            <v>203.21</v>
          </cell>
          <cell r="G173">
            <v>284.49</v>
          </cell>
        </row>
        <row r="174">
          <cell r="B174">
            <v>170</v>
          </cell>
          <cell r="C174" t="str">
            <v>340.44</v>
          </cell>
          <cell r="D174">
            <v>476.62</v>
          </cell>
          <cell r="F174" t="str">
            <v>204.42</v>
          </cell>
          <cell r="G174">
            <v>286.19</v>
          </cell>
        </row>
        <row r="175">
          <cell r="B175">
            <v>171</v>
          </cell>
          <cell r="C175" t="str">
            <v>342.77</v>
          </cell>
          <cell r="D175">
            <v>479.88</v>
          </cell>
          <cell r="F175" t="str">
            <v>205.63</v>
          </cell>
          <cell r="G175">
            <v>287.88</v>
          </cell>
        </row>
        <row r="176">
          <cell r="B176">
            <v>172</v>
          </cell>
          <cell r="C176" t="str">
            <v>344.5</v>
          </cell>
          <cell r="D176">
            <v>482.3</v>
          </cell>
          <cell r="F176" t="str">
            <v>206.84</v>
          </cell>
          <cell r="G176">
            <v>289.58</v>
          </cell>
        </row>
        <row r="177">
          <cell r="B177">
            <v>173</v>
          </cell>
          <cell r="C177" t="str">
            <v>346.54</v>
          </cell>
          <cell r="D177">
            <v>485.16</v>
          </cell>
          <cell r="F177" t="str">
            <v>207.97</v>
          </cell>
          <cell r="G177">
            <v>291.16000000000003</v>
          </cell>
        </row>
        <row r="178">
          <cell r="B178">
            <v>174</v>
          </cell>
          <cell r="C178" t="str">
            <v>348.58</v>
          </cell>
          <cell r="D178">
            <v>488.01</v>
          </cell>
          <cell r="F178" t="str">
            <v>209.18</v>
          </cell>
          <cell r="G178">
            <v>292.85000000000002</v>
          </cell>
        </row>
        <row r="179">
          <cell r="B179">
            <v>175</v>
          </cell>
          <cell r="C179" t="str">
            <v>350.63</v>
          </cell>
          <cell r="D179">
            <v>490.88</v>
          </cell>
          <cell r="F179" t="str">
            <v>210.4</v>
          </cell>
          <cell r="G179">
            <v>294.56</v>
          </cell>
        </row>
        <row r="180">
          <cell r="B180">
            <v>176</v>
          </cell>
          <cell r="C180" t="str">
            <v>352.68</v>
          </cell>
          <cell r="D180">
            <v>493.75</v>
          </cell>
          <cell r="F180" t="str">
            <v>211.61</v>
          </cell>
          <cell r="G180">
            <v>296.25</v>
          </cell>
        </row>
        <row r="181">
          <cell r="B181">
            <v>177</v>
          </cell>
          <cell r="C181" t="str">
            <v>354.73</v>
          </cell>
          <cell r="D181">
            <v>496.62</v>
          </cell>
          <cell r="F181" t="str">
            <v>212.83</v>
          </cell>
          <cell r="G181">
            <v>297.95999999999998</v>
          </cell>
        </row>
        <row r="182">
          <cell r="B182">
            <v>178</v>
          </cell>
          <cell r="C182" t="str">
            <v>356.4</v>
          </cell>
          <cell r="D182">
            <v>498.96</v>
          </cell>
          <cell r="F182" t="str">
            <v>214.04</v>
          </cell>
          <cell r="G182">
            <v>299.66000000000003</v>
          </cell>
        </row>
        <row r="183">
          <cell r="B183">
            <v>179</v>
          </cell>
          <cell r="C183" t="str">
            <v>358.46</v>
          </cell>
          <cell r="D183">
            <v>501.84</v>
          </cell>
          <cell r="F183" t="str">
            <v>215.17</v>
          </cell>
          <cell r="G183">
            <v>301.24</v>
          </cell>
        </row>
        <row r="184">
          <cell r="B184">
            <v>180</v>
          </cell>
          <cell r="C184" t="str">
            <v>360.53</v>
          </cell>
          <cell r="D184">
            <v>504.74</v>
          </cell>
          <cell r="F184" t="str">
            <v>216.39</v>
          </cell>
          <cell r="G184">
            <v>302.95</v>
          </cell>
        </row>
        <row r="185">
          <cell r="B185">
            <v>181</v>
          </cell>
          <cell r="C185" t="str">
            <v>362.6</v>
          </cell>
          <cell r="D185">
            <v>507.64</v>
          </cell>
          <cell r="F185" t="str">
            <v>217.61</v>
          </cell>
          <cell r="G185">
            <v>304.64999999999998</v>
          </cell>
        </row>
        <row r="186">
          <cell r="B186">
            <v>182</v>
          </cell>
          <cell r="C186" t="str">
            <v>364.68</v>
          </cell>
          <cell r="D186">
            <v>510.55</v>
          </cell>
          <cell r="F186" t="str">
            <v>218.83</v>
          </cell>
          <cell r="G186">
            <v>306.36</v>
          </cell>
        </row>
        <row r="187">
          <cell r="B187">
            <v>183</v>
          </cell>
          <cell r="C187" t="str">
            <v>366.77</v>
          </cell>
          <cell r="D187">
            <v>513.48</v>
          </cell>
          <cell r="F187" t="str">
            <v>220.05</v>
          </cell>
          <cell r="G187">
            <v>308.07</v>
          </cell>
        </row>
        <row r="188">
          <cell r="B188">
            <v>184</v>
          </cell>
          <cell r="C188" t="str">
            <v>368.43</v>
          </cell>
          <cell r="D188">
            <v>515.79999999999995</v>
          </cell>
          <cell r="F188" t="str">
            <v>221.18</v>
          </cell>
          <cell r="G188">
            <v>309.64999999999998</v>
          </cell>
        </row>
        <row r="189">
          <cell r="B189">
            <v>185</v>
          </cell>
          <cell r="C189" t="str">
            <v>370.52</v>
          </cell>
          <cell r="D189">
            <v>518.73</v>
          </cell>
          <cell r="F189" t="str">
            <v>222.4</v>
          </cell>
          <cell r="G189">
            <v>311.36</v>
          </cell>
        </row>
        <row r="190">
          <cell r="B190">
            <v>186</v>
          </cell>
          <cell r="C190" t="str">
            <v>372.62</v>
          </cell>
          <cell r="D190">
            <v>521.66999999999996</v>
          </cell>
          <cell r="F190" t="str">
            <v>223.62</v>
          </cell>
          <cell r="G190">
            <v>313.07</v>
          </cell>
        </row>
        <row r="191">
          <cell r="B191">
            <v>187</v>
          </cell>
          <cell r="C191" t="str">
            <v>374.72</v>
          </cell>
          <cell r="D191">
            <v>524.61</v>
          </cell>
          <cell r="F191" t="str">
            <v>224.85</v>
          </cell>
          <cell r="G191">
            <v>314.79000000000002</v>
          </cell>
        </row>
        <row r="192">
          <cell r="B192">
            <v>188</v>
          </cell>
          <cell r="C192" t="str">
            <v>376.39</v>
          </cell>
          <cell r="D192">
            <v>526.95000000000005</v>
          </cell>
          <cell r="F192" t="str">
            <v>225.98</v>
          </cell>
          <cell r="G192">
            <v>316.37</v>
          </cell>
        </row>
        <row r="193">
          <cell r="B193">
            <v>189</v>
          </cell>
          <cell r="C193" t="str">
            <v>378.49</v>
          </cell>
          <cell r="D193">
            <v>529.89</v>
          </cell>
          <cell r="F193" t="str">
            <v>227.2</v>
          </cell>
          <cell r="G193">
            <v>318.08</v>
          </cell>
        </row>
        <row r="194">
          <cell r="B194">
            <v>190</v>
          </cell>
          <cell r="C194" t="str">
            <v>380.61</v>
          </cell>
          <cell r="D194">
            <v>532.85</v>
          </cell>
          <cell r="F194" t="str">
            <v>228.43</v>
          </cell>
          <cell r="G194">
            <v>319.8</v>
          </cell>
        </row>
        <row r="195">
          <cell r="B195">
            <v>191</v>
          </cell>
          <cell r="C195" t="str">
            <v>382.73</v>
          </cell>
          <cell r="D195">
            <v>535.82000000000005</v>
          </cell>
          <cell r="F195" t="str">
            <v>229.66</v>
          </cell>
          <cell r="G195">
            <v>321.52</v>
          </cell>
        </row>
        <row r="196">
          <cell r="B196">
            <v>192</v>
          </cell>
          <cell r="C196" t="str">
            <v>384.39</v>
          </cell>
          <cell r="D196">
            <v>538.15</v>
          </cell>
          <cell r="F196" t="str">
            <v>230.79</v>
          </cell>
          <cell r="G196">
            <v>323.11</v>
          </cell>
        </row>
        <row r="197">
          <cell r="B197">
            <v>193</v>
          </cell>
          <cell r="C197" t="str">
            <v>386.52</v>
          </cell>
          <cell r="D197">
            <v>541.13</v>
          </cell>
          <cell r="F197" t="str">
            <v>232.02</v>
          </cell>
          <cell r="G197">
            <v>324.83</v>
          </cell>
        </row>
        <row r="198">
          <cell r="B198">
            <v>194</v>
          </cell>
          <cell r="C198" t="str">
            <v>388.56</v>
          </cell>
          <cell r="D198">
            <v>543.98</v>
          </cell>
          <cell r="F198" t="str">
            <v>233.25</v>
          </cell>
          <cell r="G198">
            <v>326.55</v>
          </cell>
        </row>
        <row r="199">
          <cell r="B199">
            <v>195</v>
          </cell>
          <cell r="C199" t="str">
            <v>390.8</v>
          </cell>
          <cell r="D199">
            <v>547.12</v>
          </cell>
          <cell r="F199" t="str">
            <v>234.38</v>
          </cell>
          <cell r="G199">
            <v>328.13</v>
          </cell>
        </row>
        <row r="200">
          <cell r="B200">
            <v>196</v>
          </cell>
          <cell r="C200" t="str">
            <v>392.46</v>
          </cell>
          <cell r="D200">
            <v>549.44000000000005</v>
          </cell>
          <cell r="F200" t="str">
            <v>235.61</v>
          </cell>
          <cell r="G200">
            <v>329.85</v>
          </cell>
        </row>
        <row r="201">
          <cell r="B201">
            <v>197</v>
          </cell>
          <cell r="C201" t="str">
            <v>394.61</v>
          </cell>
          <cell r="D201">
            <v>552.45000000000005</v>
          </cell>
          <cell r="F201" t="str">
            <v>236.85</v>
          </cell>
          <cell r="G201">
            <v>331.59</v>
          </cell>
        </row>
        <row r="202">
          <cell r="B202">
            <v>198</v>
          </cell>
          <cell r="C202" t="str">
            <v>396.76</v>
          </cell>
          <cell r="D202">
            <v>555.46</v>
          </cell>
          <cell r="F202" t="str">
            <v>237.98</v>
          </cell>
          <cell r="G202">
            <v>333.17</v>
          </cell>
        </row>
        <row r="203">
          <cell r="B203">
            <v>199</v>
          </cell>
          <cell r="C203" t="str">
            <v>398.43</v>
          </cell>
          <cell r="D203">
            <v>557.79999999999995</v>
          </cell>
          <cell r="F203" t="str">
            <v>239.21</v>
          </cell>
          <cell r="G203">
            <v>334.89</v>
          </cell>
        </row>
        <row r="204">
          <cell r="B204">
            <v>200</v>
          </cell>
          <cell r="C204" t="str">
            <v>400.59</v>
          </cell>
          <cell r="D204">
            <v>560.83000000000004</v>
          </cell>
          <cell r="F204" t="str">
            <v>240.45</v>
          </cell>
          <cell r="G204">
            <v>336.63</v>
          </cell>
        </row>
        <row r="205">
          <cell r="B205">
            <v>201</v>
          </cell>
          <cell r="C205">
            <v>402.59</v>
          </cell>
          <cell r="D205">
            <v>563.63</v>
          </cell>
          <cell r="F205">
            <v>241.64999999999998</v>
          </cell>
          <cell r="G205">
            <v>338.31</v>
          </cell>
        </row>
        <row r="206">
          <cell r="B206">
            <v>202</v>
          </cell>
          <cell r="C206">
            <v>404.59</v>
          </cell>
          <cell r="D206">
            <v>566.42999999999995</v>
          </cell>
          <cell r="F206">
            <v>242.84999999999997</v>
          </cell>
          <cell r="G206">
            <v>339.99</v>
          </cell>
        </row>
        <row r="207">
          <cell r="B207">
            <v>203</v>
          </cell>
          <cell r="C207">
            <v>406.59</v>
          </cell>
          <cell r="D207">
            <v>569.23</v>
          </cell>
          <cell r="F207">
            <v>244.04999999999995</v>
          </cell>
          <cell r="G207">
            <v>341.67</v>
          </cell>
        </row>
        <row r="208">
          <cell r="B208">
            <v>204</v>
          </cell>
          <cell r="C208">
            <v>408.59</v>
          </cell>
          <cell r="D208">
            <v>572.03</v>
          </cell>
          <cell r="F208">
            <v>245.24999999999994</v>
          </cell>
          <cell r="G208">
            <v>343.35</v>
          </cell>
        </row>
        <row r="209">
          <cell r="B209">
            <v>205</v>
          </cell>
          <cell r="C209">
            <v>410.59</v>
          </cell>
          <cell r="D209">
            <v>574.83000000000004</v>
          </cell>
          <cell r="F209">
            <v>246.44999999999993</v>
          </cell>
          <cell r="G209">
            <v>345.03</v>
          </cell>
        </row>
        <row r="210">
          <cell r="B210">
            <v>206</v>
          </cell>
          <cell r="C210">
            <v>412.59</v>
          </cell>
          <cell r="D210">
            <v>577.63</v>
          </cell>
          <cell r="F210">
            <v>247.64999999999992</v>
          </cell>
          <cell r="G210">
            <v>346.71</v>
          </cell>
        </row>
        <row r="211">
          <cell r="B211">
            <v>207</v>
          </cell>
          <cell r="C211">
            <v>414.59</v>
          </cell>
          <cell r="D211">
            <v>580.42999999999995</v>
          </cell>
          <cell r="F211">
            <v>248.84999999999991</v>
          </cell>
          <cell r="G211">
            <v>348.39</v>
          </cell>
        </row>
        <row r="212">
          <cell r="B212">
            <v>208</v>
          </cell>
          <cell r="C212">
            <v>416.59</v>
          </cell>
          <cell r="D212">
            <v>583.23</v>
          </cell>
          <cell r="F212">
            <v>250.0499999999999</v>
          </cell>
          <cell r="G212">
            <v>350.07</v>
          </cell>
        </row>
        <row r="213">
          <cell r="B213">
            <v>209</v>
          </cell>
          <cell r="C213">
            <v>418.59</v>
          </cell>
          <cell r="D213">
            <v>586.03</v>
          </cell>
          <cell r="F213">
            <v>251.24999999999989</v>
          </cell>
          <cell r="G213">
            <v>351.75</v>
          </cell>
        </row>
        <row r="214">
          <cell r="B214">
            <v>210</v>
          </cell>
          <cell r="C214">
            <v>420.59</v>
          </cell>
          <cell r="D214">
            <v>588.83000000000004</v>
          </cell>
          <cell r="F214">
            <v>252.44999999999987</v>
          </cell>
          <cell r="G214">
            <v>353.43</v>
          </cell>
        </row>
        <row r="215">
          <cell r="B215">
            <v>211</v>
          </cell>
          <cell r="C215">
            <v>422.59</v>
          </cell>
          <cell r="D215">
            <v>591.63</v>
          </cell>
          <cell r="F215">
            <v>253.64999999999986</v>
          </cell>
          <cell r="G215">
            <v>355.11</v>
          </cell>
        </row>
        <row r="216">
          <cell r="B216">
            <v>212</v>
          </cell>
          <cell r="C216">
            <v>424.59</v>
          </cell>
          <cell r="D216">
            <v>594.42999999999995</v>
          </cell>
          <cell r="F216">
            <v>254.84999999999985</v>
          </cell>
          <cell r="G216">
            <v>356.79</v>
          </cell>
        </row>
        <row r="217">
          <cell r="B217">
            <v>213</v>
          </cell>
          <cell r="C217">
            <v>426.59</v>
          </cell>
          <cell r="D217">
            <v>597.23</v>
          </cell>
          <cell r="F217">
            <v>256.04999999999984</v>
          </cell>
          <cell r="G217">
            <v>358.47</v>
          </cell>
        </row>
        <row r="218">
          <cell r="B218">
            <v>214</v>
          </cell>
          <cell r="C218">
            <v>428.59</v>
          </cell>
          <cell r="D218">
            <v>600.03</v>
          </cell>
          <cell r="F218">
            <v>257.24999999999983</v>
          </cell>
          <cell r="G218">
            <v>360.15</v>
          </cell>
        </row>
        <row r="219">
          <cell r="B219">
            <v>215</v>
          </cell>
          <cell r="C219">
            <v>430.59</v>
          </cell>
          <cell r="D219">
            <v>602.83000000000004</v>
          </cell>
          <cell r="F219">
            <v>258.44999999999982</v>
          </cell>
          <cell r="G219">
            <v>361.83</v>
          </cell>
        </row>
        <row r="220">
          <cell r="B220">
            <v>216</v>
          </cell>
          <cell r="C220">
            <v>432.59</v>
          </cell>
          <cell r="D220">
            <v>605.63</v>
          </cell>
          <cell r="F220">
            <v>259.64999999999981</v>
          </cell>
          <cell r="G220">
            <v>363.51</v>
          </cell>
        </row>
        <row r="221">
          <cell r="B221">
            <v>217</v>
          </cell>
          <cell r="C221">
            <v>434.59</v>
          </cell>
          <cell r="D221">
            <v>608.42999999999995</v>
          </cell>
          <cell r="F221">
            <v>260.8499999999998</v>
          </cell>
          <cell r="G221">
            <v>365.19</v>
          </cell>
        </row>
        <row r="222">
          <cell r="B222">
            <v>218</v>
          </cell>
          <cell r="C222">
            <v>436.59</v>
          </cell>
          <cell r="D222">
            <v>611.23</v>
          </cell>
          <cell r="F222">
            <v>262.04999999999978</v>
          </cell>
          <cell r="G222">
            <v>366.87</v>
          </cell>
        </row>
        <row r="223">
          <cell r="B223">
            <v>219</v>
          </cell>
          <cell r="C223">
            <v>438.59</v>
          </cell>
          <cell r="D223">
            <v>614.03</v>
          </cell>
          <cell r="F223">
            <v>263.24999999999977</v>
          </cell>
          <cell r="G223">
            <v>368.55</v>
          </cell>
        </row>
        <row r="224">
          <cell r="B224">
            <v>220</v>
          </cell>
          <cell r="C224">
            <v>440.59</v>
          </cell>
          <cell r="D224">
            <v>616.83000000000004</v>
          </cell>
          <cell r="F224">
            <v>264.44999999999976</v>
          </cell>
          <cell r="G224">
            <v>370.23</v>
          </cell>
        </row>
        <row r="225">
          <cell r="B225">
            <v>221</v>
          </cell>
          <cell r="C225">
            <v>442.59</v>
          </cell>
          <cell r="D225">
            <v>619.63</v>
          </cell>
          <cell r="F225">
            <v>265.64999999999975</v>
          </cell>
          <cell r="G225">
            <v>371.91</v>
          </cell>
        </row>
        <row r="226">
          <cell r="B226">
            <v>222</v>
          </cell>
          <cell r="C226">
            <v>444.59</v>
          </cell>
          <cell r="D226">
            <v>622.42999999999995</v>
          </cell>
          <cell r="F226">
            <v>266.84999999999974</v>
          </cell>
          <cell r="G226">
            <v>373.59</v>
          </cell>
        </row>
        <row r="227">
          <cell r="B227">
            <v>223</v>
          </cell>
          <cell r="C227">
            <v>446.59</v>
          </cell>
          <cell r="D227">
            <v>625.23</v>
          </cell>
          <cell r="F227">
            <v>268.04999999999973</v>
          </cell>
          <cell r="G227">
            <v>375.27</v>
          </cell>
        </row>
        <row r="228">
          <cell r="B228">
            <v>224</v>
          </cell>
          <cell r="C228">
            <v>448.59</v>
          </cell>
          <cell r="D228">
            <v>628.03</v>
          </cell>
          <cell r="F228">
            <v>269.24999999999972</v>
          </cell>
          <cell r="G228">
            <v>376.95</v>
          </cell>
        </row>
        <row r="229">
          <cell r="B229">
            <v>225</v>
          </cell>
          <cell r="C229">
            <v>450.59</v>
          </cell>
          <cell r="D229">
            <v>630.83000000000004</v>
          </cell>
          <cell r="F229">
            <v>270.4499999999997</v>
          </cell>
          <cell r="G229">
            <v>378.63</v>
          </cell>
        </row>
        <row r="230">
          <cell r="B230">
            <v>226</v>
          </cell>
          <cell r="C230">
            <v>452.59</v>
          </cell>
          <cell r="D230">
            <v>633.63</v>
          </cell>
          <cell r="F230">
            <v>271.64999999999969</v>
          </cell>
          <cell r="G230">
            <v>380.31</v>
          </cell>
        </row>
        <row r="231">
          <cell r="B231">
            <v>227</v>
          </cell>
          <cell r="C231">
            <v>454.59</v>
          </cell>
          <cell r="D231">
            <v>636.42999999999995</v>
          </cell>
          <cell r="F231">
            <v>272.84999999999968</v>
          </cell>
          <cell r="G231">
            <v>381.99</v>
          </cell>
        </row>
        <row r="232">
          <cell r="B232">
            <v>228</v>
          </cell>
          <cell r="C232">
            <v>456.59</v>
          </cell>
          <cell r="D232">
            <v>639.23</v>
          </cell>
          <cell r="F232">
            <v>274.04999999999967</v>
          </cell>
          <cell r="G232">
            <v>383.67</v>
          </cell>
        </row>
        <row r="233">
          <cell r="B233">
            <v>229</v>
          </cell>
          <cell r="C233">
            <v>458.59</v>
          </cell>
          <cell r="D233">
            <v>642.03</v>
          </cell>
          <cell r="F233">
            <v>275.24999999999966</v>
          </cell>
          <cell r="G233">
            <v>385.35</v>
          </cell>
        </row>
        <row r="234">
          <cell r="B234">
            <v>230</v>
          </cell>
          <cell r="C234">
            <v>460.59</v>
          </cell>
          <cell r="D234">
            <v>644.83000000000004</v>
          </cell>
          <cell r="F234">
            <v>276.44999999999965</v>
          </cell>
          <cell r="G234">
            <v>387.03</v>
          </cell>
        </row>
        <row r="235">
          <cell r="B235">
            <v>231</v>
          </cell>
          <cell r="C235">
            <v>462.59</v>
          </cell>
          <cell r="D235">
            <v>647.63</v>
          </cell>
          <cell r="F235">
            <v>277.64999999999964</v>
          </cell>
          <cell r="G235">
            <v>388.71</v>
          </cell>
        </row>
        <row r="236">
          <cell r="B236">
            <v>232</v>
          </cell>
          <cell r="C236">
            <v>464.59</v>
          </cell>
          <cell r="D236">
            <v>650.42999999999995</v>
          </cell>
          <cell r="F236">
            <v>278.84999999999962</v>
          </cell>
          <cell r="G236">
            <v>390.39</v>
          </cell>
        </row>
        <row r="237">
          <cell r="B237">
            <v>233</v>
          </cell>
          <cell r="C237">
            <v>466.59</v>
          </cell>
          <cell r="D237">
            <v>653.23</v>
          </cell>
          <cell r="F237">
            <v>280.04999999999961</v>
          </cell>
          <cell r="G237">
            <v>392.07</v>
          </cell>
        </row>
        <row r="238">
          <cell r="B238">
            <v>234</v>
          </cell>
          <cell r="C238">
            <v>468.59</v>
          </cell>
          <cell r="D238">
            <v>656.03</v>
          </cell>
          <cell r="F238">
            <v>281.2499999999996</v>
          </cell>
          <cell r="G238">
            <v>393.75</v>
          </cell>
        </row>
        <row r="239">
          <cell r="B239">
            <v>235</v>
          </cell>
          <cell r="C239">
            <v>470.59</v>
          </cell>
          <cell r="D239">
            <v>658.83</v>
          </cell>
          <cell r="F239">
            <v>282.44999999999959</v>
          </cell>
          <cell r="G239">
            <v>395.43</v>
          </cell>
        </row>
        <row r="240">
          <cell r="B240">
            <v>236</v>
          </cell>
          <cell r="C240">
            <v>472.59</v>
          </cell>
          <cell r="D240">
            <v>661.63</v>
          </cell>
          <cell r="F240">
            <v>283.64999999999958</v>
          </cell>
          <cell r="G240">
            <v>397.11</v>
          </cell>
        </row>
        <row r="241">
          <cell r="B241">
            <v>237</v>
          </cell>
          <cell r="C241">
            <v>474.59</v>
          </cell>
          <cell r="D241">
            <v>664.43</v>
          </cell>
          <cell r="F241">
            <v>284.84999999999957</v>
          </cell>
          <cell r="G241">
            <v>398.79</v>
          </cell>
        </row>
        <row r="242">
          <cell r="B242">
            <v>238</v>
          </cell>
          <cell r="C242">
            <v>476.59</v>
          </cell>
          <cell r="D242">
            <v>667.23</v>
          </cell>
          <cell r="F242">
            <v>286.04999999999956</v>
          </cell>
          <cell r="G242">
            <v>400.47</v>
          </cell>
        </row>
        <row r="243">
          <cell r="B243">
            <v>239</v>
          </cell>
          <cell r="C243">
            <v>478.59</v>
          </cell>
          <cell r="D243">
            <v>670.03</v>
          </cell>
          <cell r="F243">
            <v>287.24999999999955</v>
          </cell>
          <cell r="G243">
            <v>402.15</v>
          </cell>
        </row>
        <row r="244">
          <cell r="B244">
            <v>240</v>
          </cell>
          <cell r="C244">
            <v>480.59</v>
          </cell>
          <cell r="D244">
            <v>672.83</v>
          </cell>
          <cell r="F244">
            <v>288.44999999999953</v>
          </cell>
          <cell r="G244">
            <v>403.83</v>
          </cell>
        </row>
        <row r="245">
          <cell r="B245">
            <v>241</v>
          </cell>
          <cell r="C245">
            <v>482.59</v>
          </cell>
          <cell r="D245">
            <v>675.63</v>
          </cell>
          <cell r="F245">
            <v>289.64999999999952</v>
          </cell>
          <cell r="G245">
            <v>405.51</v>
          </cell>
        </row>
        <row r="246">
          <cell r="B246">
            <v>242</v>
          </cell>
          <cell r="C246">
            <v>484.59</v>
          </cell>
          <cell r="D246">
            <v>678.43</v>
          </cell>
          <cell r="F246">
            <v>290.84999999999951</v>
          </cell>
          <cell r="G246">
            <v>407.19</v>
          </cell>
        </row>
        <row r="247">
          <cell r="B247">
            <v>243</v>
          </cell>
          <cell r="C247">
            <v>486.59</v>
          </cell>
          <cell r="D247">
            <v>681.23</v>
          </cell>
          <cell r="F247">
            <v>292.0499999999995</v>
          </cell>
          <cell r="G247">
            <v>408.87</v>
          </cell>
        </row>
        <row r="248">
          <cell r="B248">
            <v>244</v>
          </cell>
          <cell r="C248">
            <v>488.59</v>
          </cell>
          <cell r="D248">
            <v>684.03</v>
          </cell>
          <cell r="F248">
            <v>293.24999999999949</v>
          </cell>
          <cell r="G248">
            <v>410.55</v>
          </cell>
        </row>
        <row r="249">
          <cell r="B249">
            <v>245</v>
          </cell>
          <cell r="C249">
            <v>490.59</v>
          </cell>
          <cell r="D249">
            <v>686.83</v>
          </cell>
          <cell r="F249">
            <v>294.44999999999948</v>
          </cell>
          <cell r="G249">
            <v>412.23</v>
          </cell>
        </row>
        <row r="250">
          <cell r="B250">
            <v>246</v>
          </cell>
          <cell r="C250">
            <v>492.59</v>
          </cell>
          <cell r="D250">
            <v>689.63</v>
          </cell>
          <cell r="F250">
            <v>295.64999999999947</v>
          </cell>
          <cell r="G250">
            <v>413.91</v>
          </cell>
        </row>
        <row r="251">
          <cell r="B251">
            <v>247</v>
          </cell>
          <cell r="C251">
            <v>494.59</v>
          </cell>
          <cell r="D251">
            <v>692.43</v>
          </cell>
          <cell r="F251">
            <v>296.84999999999945</v>
          </cell>
          <cell r="G251">
            <v>415.59</v>
          </cell>
        </row>
        <row r="252">
          <cell r="B252">
            <v>248</v>
          </cell>
          <cell r="C252">
            <v>496.59</v>
          </cell>
          <cell r="D252">
            <v>695.23</v>
          </cell>
          <cell r="F252">
            <v>298.04999999999944</v>
          </cell>
          <cell r="G252">
            <v>417.27</v>
          </cell>
        </row>
        <row r="253">
          <cell r="B253">
            <v>249</v>
          </cell>
          <cell r="C253">
            <v>498.59</v>
          </cell>
          <cell r="D253">
            <v>698.03</v>
          </cell>
          <cell r="F253">
            <v>299.24999999999943</v>
          </cell>
          <cell r="G253">
            <v>418.95</v>
          </cell>
        </row>
        <row r="254">
          <cell r="B254">
            <v>250</v>
          </cell>
          <cell r="C254">
            <v>500.59</v>
          </cell>
          <cell r="D254">
            <v>700.83</v>
          </cell>
          <cell r="F254">
            <v>300.44999999999942</v>
          </cell>
          <cell r="G254">
            <v>420.63</v>
          </cell>
        </row>
        <row r="255">
          <cell r="B255">
            <v>251</v>
          </cell>
          <cell r="C255">
            <v>502.59</v>
          </cell>
          <cell r="D255">
            <v>703.63</v>
          </cell>
          <cell r="F255">
            <v>301.64999999999941</v>
          </cell>
          <cell r="G255">
            <v>422.31</v>
          </cell>
        </row>
        <row r="256">
          <cell r="B256">
            <v>252</v>
          </cell>
          <cell r="C256">
            <v>504.59</v>
          </cell>
          <cell r="D256">
            <v>706.43</v>
          </cell>
          <cell r="F256">
            <v>302.8499999999994</v>
          </cell>
          <cell r="G256">
            <v>423.99</v>
          </cell>
        </row>
        <row r="257">
          <cell r="B257">
            <v>253</v>
          </cell>
          <cell r="C257">
            <v>506.59</v>
          </cell>
          <cell r="D257">
            <v>709.23</v>
          </cell>
          <cell r="F257">
            <v>304.04999999999939</v>
          </cell>
          <cell r="G257">
            <v>425.67</v>
          </cell>
        </row>
        <row r="258">
          <cell r="B258">
            <v>254</v>
          </cell>
          <cell r="C258">
            <v>508.59</v>
          </cell>
          <cell r="D258">
            <v>712.03</v>
          </cell>
          <cell r="F258">
            <v>305.24999999999937</v>
          </cell>
          <cell r="G258">
            <v>427.35</v>
          </cell>
        </row>
        <row r="259">
          <cell r="B259">
            <v>255</v>
          </cell>
          <cell r="C259">
            <v>510.59</v>
          </cell>
          <cell r="D259">
            <v>714.83</v>
          </cell>
          <cell r="F259">
            <v>306.44999999999936</v>
          </cell>
          <cell r="G259">
            <v>429.03</v>
          </cell>
        </row>
        <row r="260">
          <cell r="B260">
            <v>256</v>
          </cell>
          <cell r="C260">
            <v>512.58999999999992</v>
          </cell>
          <cell r="D260">
            <v>717.63</v>
          </cell>
          <cell r="F260">
            <v>307.64999999999935</v>
          </cell>
          <cell r="G260">
            <v>430.71</v>
          </cell>
        </row>
        <row r="261">
          <cell r="B261">
            <v>257</v>
          </cell>
          <cell r="C261">
            <v>514.58999999999992</v>
          </cell>
          <cell r="D261">
            <v>720.43</v>
          </cell>
          <cell r="F261">
            <v>308.84999999999934</v>
          </cell>
          <cell r="G261">
            <v>432.39</v>
          </cell>
        </row>
        <row r="262">
          <cell r="B262">
            <v>258</v>
          </cell>
          <cell r="C262">
            <v>516.58999999999992</v>
          </cell>
          <cell r="D262">
            <v>723.23</v>
          </cell>
          <cell r="F262">
            <v>310.04999999999933</v>
          </cell>
          <cell r="G262">
            <v>434.07</v>
          </cell>
        </row>
        <row r="263">
          <cell r="B263">
            <v>259</v>
          </cell>
          <cell r="C263">
            <v>518.58999999999992</v>
          </cell>
          <cell r="D263">
            <v>726.03</v>
          </cell>
          <cell r="F263">
            <v>311.24999999999932</v>
          </cell>
          <cell r="G263">
            <v>435.75</v>
          </cell>
        </row>
        <row r="264">
          <cell r="B264">
            <v>260</v>
          </cell>
          <cell r="C264">
            <v>520.58999999999992</v>
          </cell>
          <cell r="D264">
            <v>728.83</v>
          </cell>
          <cell r="F264">
            <v>312.44999999999931</v>
          </cell>
          <cell r="G264">
            <v>437.43</v>
          </cell>
        </row>
        <row r="265">
          <cell r="B265">
            <v>261</v>
          </cell>
          <cell r="C265">
            <v>522.58999999999992</v>
          </cell>
          <cell r="D265">
            <v>731.63</v>
          </cell>
          <cell r="F265">
            <v>313.6499999999993</v>
          </cell>
          <cell r="G265">
            <v>439.11</v>
          </cell>
        </row>
        <row r="266">
          <cell r="B266">
            <v>262</v>
          </cell>
          <cell r="C266">
            <v>524.58999999999992</v>
          </cell>
          <cell r="D266">
            <v>734.43</v>
          </cell>
          <cell r="F266">
            <v>314.84999999999928</v>
          </cell>
          <cell r="G266">
            <v>440.79</v>
          </cell>
        </row>
        <row r="267">
          <cell r="B267">
            <v>263</v>
          </cell>
          <cell r="C267">
            <v>526.58999999999992</v>
          </cell>
          <cell r="D267">
            <v>737.23</v>
          </cell>
          <cell r="F267">
            <v>316.04999999999927</v>
          </cell>
          <cell r="G267">
            <v>442.47</v>
          </cell>
        </row>
        <row r="268">
          <cell r="B268">
            <v>264</v>
          </cell>
          <cell r="C268">
            <v>528.58999999999992</v>
          </cell>
          <cell r="D268">
            <v>740.03</v>
          </cell>
          <cell r="F268">
            <v>317.24999999999926</v>
          </cell>
          <cell r="G268">
            <v>444.15</v>
          </cell>
        </row>
        <row r="269">
          <cell r="B269">
            <v>265</v>
          </cell>
          <cell r="C269">
            <v>530.58999999999992</v>
          </cell>
          <cell r="D269">
            <v>742.83</v>
          </cell>
          <cell r="F269">
            <v>318.44999999999925</v>
          </cell>
          <cell r="G269">
            <v>445.83</v>
          </cell>
        </row>
        <row r="270">
          <cell r="B270">
            <v>266</v>
          </cell>
          <cell r="C270">
            <v>532.58999999999992</v>
          </cell>
          <cell r="D270">
            <v>745.63</v>
          </cell>
          <cell r="F270">
            <v>319.64999999999924</v>
          </cell>
          <cell r="G270">
            <v>447.51</v>
          </cell>
        </row>
        <row r="271">
          <cell r="B271">
            <v>267</v>
          </cell>
          <cell r="C271">
            <v>534.58999999999992</v>
          </cell>
          <cell r="D271">
            <v>748.43</v>
          </cell>
          <cell r="F271">
            <v>320.84999999999923</v>
          </cell>
          <cell r="G271">
            <v>449.19</v>
          </cell>
        </row>
        <row r="272">
          <cell r="B272">
            <v>268</v>
          </cell>
          <cell r="C272">
            <v>536.58999999999992</v>
          </cell>
          <cell r="D272">
            <v>751.23</v>
          </cell>
          <cell r="F272">
            <v>322.04999999999922</v>
          </cell>
          <cell r="G272">
            <v>450.87</v>
          </cell>
        </row>
        <row r="273">
          <cell r="B273">
            <v>269</v>
          </cell>
          <cell r="C273">
            <v>538.58999999999992</v>
          </cell>
          <cell r="D273">
            <v>754.03</v>
          </cell>
          <cell r="F273">
            <v>323.2499999999992</v>
          </cell>
          <cell r="G273">
            <v>452.55</v>
          </cell>
        </row>
        <row r="274">
          <cell r="B274">
            <v>270</v>
          </cell>
          <cell r="C274">
            <v>540.58999999999992</v>
          </cell>
          <cell r="D274">
            <v>756.83</v>
          </cell>
          <cell r="F274">
            <v>324.44999999999919</v>
          </cell>
          <cell r="G274">
            <v>454.23</v>
          </cell>
        </row>
        <row r="275">
          <cell r="B275">
            <v>271</v>
          </cell>
          <cell r="C275">
            <v>542.58999999999992</v>
          </cell>
          <cell r="D275">
            <v>759.63</v>
          </cell>
          <cell r="F275">
            <v>325.64999999999918</v>
          </cell>
          <cell r="G275">
            <v>455.91</v>
          </cell>
        </row>
        <row r="276">
          <cell r="B276">
            <v>272</v>
          </cell>
          <cell r="C276">
            <v>544.58999999999992</v>
          </cell>
          <cell r="D276">
            <v>762.43</v>
          </cell>
          <cell r="F276">
            <v>326.84999999999917</v>
          </cell>
          <cell r="G276">
            <v>457.59</v>
          </cell>
        </row>
        <row r="277">
          <cell r="B277">
            <v>273</v>
          </cell>
          <cell r="C277">
            <v>546.58999999999992</v>
          </cell>
          <cell r="D277">
            <v>765.23</v>
          </cell>
          <cell r="F277">
            <v>328.04999999999916</v>
          </cell>
          <cell r="G277">
            <v>459.27</v>
          </cell>
        </row>
        <row r="278">
          <cell r="B278">
            <v>274</v>
          </cell>
          <cell r="C278">
            <v>548.58999999999992</v>
          </cell>
          <cell r="D278">
            <v>768.03</v>
          </cell>
          <cell r="F278">
            <v>329.24999999999915</v>
          </cell>
          <cell r="G278">
            <v>460.95</v>
          </cell>
        </row>
        <row r="279">
          <cell r="B279">
            <v>275</v>
          </cell>
          <cell r="C279">
            <v>550.58999999999992</v>
          </cell>
          <cell r="D279">
            <v>770.83</v>
          </cell>
          <cell r="F279">
            <v>330.44999999999914</v>
          </cell>
          <cell r="G279">
            <v>462.63</v>
          </cell>
        </row>
        <row r="280">
          <cell r="B280">
            <v>276</v>
          </cell>
          <cell r="C280">
            <v>552.58999999999992</v>
          </cell>
          <cell r="D280">
            <v>773.63</v>
          </cell>
          <cell r="F280">
            <v>331.64999999999912</v>
          </cell>
          <cell r="G280">
            <v>464.31</v>
          </cell>
        </row>
        <row r="281">
          <cell r="B281">
            <v>277</v>
          </cell>
          <cell r="C281">
            <v>554.58999999999992</v>
          </cell>
          <cell r="D281">
            <v>776.43</v>
          </cell>
          <cell r="F281">
            <v>332.84999999999911</v>
          </cell>
          <cell r="G281">
            <v>465.99</v>
          </cell>
        </row>
        <row r="282">
          <cell r="B282">
            <v>278</v>
          </cell>
          <cell r="C282">
            <v>556.58999999999992</v>
          </cell>
          <cell r="D282">
            <v>779.23</v>
          </cell>
          <cell r="F282">
            <v>334.0499999999991</v>
          </cell>
          <cell r="G282">
            <v>467.67</v>
          </cell>
        </row>
        <row r="283">
          <cell r="B283">
            <v>279</v>
          </cell>
          <cell r="C283">
            <v>558.58999999999992</v>
          </cell>
          <cell r="D283">
            <v>782.03</v>
          </cell>
          <cell r="F283">
            <v>335.24999999999909</v>
          </cell>
          <cell r="G283">
            <v>469.35</v>
          </cell>
        </row>
        <row r="284">
          <cell r="B284">
            <v>280</v>
          </cell>
          <cell r="C284">
            <v>560.58999999999992</v>
          </cell>
          <cell r="D284">
            <v>784.83</v>
          </cell>
          <cell r="F284">
            <v>336.44999999999908</v>
          </cell>
          <cell r="G284">
            <v>471.03</v>
          </cell>
        </row>
        <row r="285">
          <cell r="B285">
            <v>281</v>
          </cell>
          <cell r="C285">
            <v>562.58999999999992</v>
          </cell>
          <cell r="D285">
            <v>787.63</v>
          </cell>
          <cell r="F285">
            <v>337.64999999999907</v>
          </cell>
          <cell r="G285">
            <v>472.71</v>
          </cell>
        </row>
        <row r="286">
          <cell r="B286">
            <v>282</v>
          </cell>
          <cell r="C286">
            <v>564.58999999999992</v>
          </cell>
          <cell r="D286">
            <v>790.43</v>
          </cell>
          <cell r="F286">
            <v>338.84999999999906</v>
          </cell>
          <cell r="G286">
            <v>474.39</v>
          </cell>
        </row>
        <row r="287">
          <cell r="B287">
            <v>283</v>
          </cell>
          <cell r="C287">
            <v>566.58999999999992</v>
          </cell>
          <cell r="D287">
            <v>793.23</v>
          </cell>
          <cell r="F287">
            <v>340.04999999999905</v>
          </cell>
          <cell r="G287">
            <v>476.07</v>
          </cell>
        </row>
        <row r="288">
          <cell r="B288">
            <v>284</v>
          </cell>
          <cell r="C288">
            <v>568.58999999999992</v>
          </cell>
          <cell r="D288">
            <v>796.03</v>
          </cell>
          <cell r="F288">
            <v>341.24999999999903</v>
          </cell>
          <cell r="G288">
            <v>477.75</v>
          </cell>
        </row>
        <row r="289">
          <cell r="B289">
            <v>285</v>
          </cell>
          <cell r="C289">
            <v>570.58999999999992</v>
          </cell>
          <cell r="D289">
            <v>798.83</v>
          </cell>
          <cell r="F289">
            <v>342.44999999999902</v>
          </cell>
          <cell r="G289">
            <v>479.43</v>
          </cell>
        </row>
        <row r="290">
          <cell r="B290">
            <v>286</v>
          </cell>
          <cell r="C290">
            <v>572.58999999999992</v>
          </cell>
          <cell r="D290">
            <v>801.63</v>
          </cell>
          <cell r="F290">
            <v>343.64999999999901</v>
          </cell>
          <cell r="G290">
            <v>481.11</v>
          </cell>
        </row>
        <row r="291">
          <cell r="B291">
            <v>287</v>
          </cell>
          <cell r="C291">
            <v>574.58999999999992</v>
          </cell>
          <cell r="D291">
            <v>804.43</v>
          </cell>
          <cell r="F291">
            <v>344.849999999999</v>
          </cell>
          <cell r="G291">
            <v>482.79</v>
          </cell>
        </row>
        <row r="292">
          <cell r="B292">
            <v>288</v>
          </cell>
          <cell r="C292">
            <v>576.58999999999992</v>
          </cell>
          <cell r="D292">
            <v>807.23</v>
          </cell>
          <cell r="F292">
            <v>346.04999999999899</v>
          </cell>
          <cell r="G292">
            <v>484.47</v>
          </cell>
        </row>
        <row r="293">
          <cell r="B293">
            <v>289</v>
          </cell>
          <cell r="C293">
            <v>578.58999999999992</v>
          </cell>
          <cell r="D293">
            <v>810.03</v>
          </cell>
          <cell r="F293">
            <v>347.24999999999898</v>
          </cell>
          <cell r="G293">
            <v>486.15</v>
          </cell>
        </row>
        <row r="294">
          <cell r="B294">
            <v>290</v>
          </cell>
          <cell r="C294">
            <v>580.58999999999992</v>
          </cell>
          <cell r="D294">
            <v>812.83</v>
          </cell>
          <cell r="F294">
            <v>348.44999999999897</v>
          </cell>
          <cell r="G294">
            <v>487.83</v>
          </cell>
        </row>
        <row r="295">
          <cell r="B295">
            <v>291</v>
          </cell>
          <cell r="C295">
            <v>582.58999999999992</v>
          </cell>
          <cell r="D295">
            <v>815.63</v>
          </cell>
          <cell r="F295">
            <v>349.64999999999895</v>
          </cell>
          <cell r="G295">
            <v>489.51</v>
          </cell>
        </row>
        <row r="296">
          <cell r="B296">
            <v>292</v>
          </cell>
          <cell r="C296">
            <v>584.58999999999992</v>
          </cell>
          <cell r="D296">
            <v>818.43</v>
          </cell>
          <cell r="F296">
            <v>350.84999999999894</v>
          </cell>
          <cell r="G296">
            <v>491.19</v>
          </cell>
        </row>
        <row r="297">
          <cell r="B297">
            <v>293</v>
          </cell>
          <cell r="C297">
            <v>586.58999999999992</v>
          </cell>
          <cell r="D297">
            <v>821.23</v>
          </cell>
          <cell r="F297">
            <v>352.04999999999893</v>
          </cell>
          <cell r="G297">
            <v>492.87</v>
          </cell>
        </row>
        <row r="298">
          <cell r="B298">
            <v>294</v>
          </cell>
          <cell r="C298">
            <v>588.58999999999992</v>
          </cell>
          <cell r="D298">
            <v>824.03</v>
          </cell>
          <cell r="F298">
            <v>353.24999999999892</v>
          </cell>
          <cell r="G298">
            <v>494.55</v>
          </cell>
        </row>
        <row r="299">
          <cell r="B299">
            <v>295</v>
          </cell>
          <cell r="C299">
            <v>590.58999999999992</v>
          </cell>
          <cell r="D299">
            <v>826.83</v>
          </cell>
          <cell r="F299">
            <v>354.44999999999891</v>
          </cell>
          <cell r="G299">
            <v>496.23</v>
          </cell>
        </row>
        <row r="300">
          <cell r="B300">
            <v>296</v>
          </cell>
          <cell r="C300">
            <v>592.58999999999992</v>
          </cell>
          <cell r="D300">
            <v>829.63</v>
          </cell>
          <cell r="F300">
            <v>355.6499999999989</v>
          </cell>
          <cell r="G300">
            <v>497.91</v>
          </cell>
        </row>
        <row r="301">
          <cell r="B301">
            <v>297</v>
          </cell>
          <cell r="C301">
            <v>594.58999999999992</v>
          </cell>
          <cell r="D301">
            <v>832.43</v>
          </cell>
          <cell r="F301">
            <v>356.84999999999889</v>
          </cell>
          <cell r="G301">
            <v>499.59</v>
          </cell>
        </row>
        <row r="302">
          <cell r="B302">
            <v>298</v>
          </cell>
          <cell r="C302">
            <v>596.58999999999992</v>
          </cell>
          <cell r="D302">
            <v>835.23</v>
          </cell>
          <cell r="F302">
            <v>358.04999999999887</v>
          </cell>
          <cell r="G302">
            <v>501.27</v>
          </cell>
        </row>
        <row r="303">
          <cell r="B303">
            <v>299</v>
          </cell>
          <cell r="C303">
            <v>598.58999999999992</v>
          </cell>
          <cell r="D303">
            <v>838.03</v>
          </cell>
          <cell r="F303">
            <v>359.24999999999886</v>
          </cell>
          <cell r="G303">
            <v>502.95</v>
          </cell>
        </row>
        <row r="304">
          <cell r="B304">
            <v>300</v>
          </cell>
          <cell r="C304">
            <v>600.58999999999992</v>
          </cell>
          <cell r="D304">
            <v>840.83</v>
          </cell>
          <cell r="F304">
            <v>360.44999999999885</v>
          </cell>
          <cell r="G304">
            <v>504.63</v>
          </cell>
        </row>
        <row r="305">
          <cell r="B305">
            <v>301</v>
          </cell>
          <cell r="C305">
            <v>602.58999999999992</v>
          </cell>
          <cell r="D305">
            <v>843.63</v>
          </cell>
          <cell r="F305">
            <v>361.64999999999884</v>
          </cell>
          <cell r="G305">
            <v>506.31</v>
          </cell>
        </row>
        <row r="306">
          <cell r="B306">
            <v>302</v>
          </cell>
          <cell r="C306">
            <v>604.58999999999992</v>
          </cell>
          <cell r="D306">
            <v>846.43</v>
          </cell>
          <cell r="F306">
            <v>362.84999999999883</v>
          </cell>
          <cell r="G306">
            <v>507.99</v>
          </cell>
        </row>
        <row r="307">
          <cell r="B307">
            <v>303</v>
          </cell>
          <cell r="C307">
            <v>606.58999999999992</v>
          </cell>
          <cell r="D307">
            <v>849.23</v>
          </cell>
          <cell r="F307">
            <v>364.04999999999882</v>
          </cell>
          <cell r="G307">
            <v>509.67</v>
          </cell>
        </row>
        <row r="308">
          <cell r="B308">
            <v>304</v>
          </cell>
          <cell r="C308">
            <v>608.58999999999992</v>
          </cell>
          <cell r="D308">
            <v>852.03</v>
          </cell>
          <cell r="F308">
            <v>365.24999999999881</v>
          </cell>
          <cell r="G308">
            <v>511.35</v>
          </cell>
        </row>
        <row r="309">
          <cell r="B309">
            <v>305</v>
          </cell>
          <cell r="C309">
            <v>610.58999999999992</v>
          </cell>
          <cell r="D309">
            <v>854.83</v>
          </cell>
          <cell r="F309">
            <v>366.44999999999879</v>
          </cell>
          <cell r="G309">
            <v>513.03</v>
          </cell>
        </row>
        <row r="310">
          <cell r="B310">
            <v>306</v>
          </cell>
          <cell r="C310">
            <v>612.58999999999992</v>
          </cell>
          <cell r="D310">
            <v>857.63</v>
          </cell>
          <cell r="F310">
            <v>367.64999999999878</v>
          </cell>
          <cell r="G310">
            <v>514.71</v>
          </cell>
        </row>
        <row r="311">
          <cell r="B311">
            <v>307</v>
          </cell>
          <cell r="C311">
            <v>614.58999999999992</v>
          </cell>
          <cell r="D311">
            <v>860.43</v>
          </cell>
          <cell r="F311">
            <v>368.84999999999877</v>
          </cell>
          <cell r="G311">
            <v>516.39</v>
          </cell>
        </row>
        <row r="312">
          <cell r="B312">
            <v>308</v>
          </cell>
          <cell r="C312">
            <v>616.58999999999992</v>
          </cell>
          <cell r="D312">
            <v>863.23</v>
          </cell>
          <cell r="F312">
            <v>370.04999999999876</v>
          </cell>
          <cell r="G312">
            <v>518.07000000000005</v>
          </cell>
        </row>
        <row r="313">
          <cell r="B313">
            <v>309</v>
          </cell>
          <cell r="C313">
            <v>618.58999999999992</v>
          </cell>
          <cell r="D313">
            <v>866.03</v>
          </cell>
          <cell r="F313">
            <v>371.24999999999875</v>
          </cell>
          <cell r="G313">
            <v>519.75</v>
          </cell>
        </row>
        <row r="314">
          <cell r="B314">
            <v>310</v>
          </cell>
          <cell r="C314">
            <v>620.58999999999992</v>
          </cell>
          <cell r="D314">
            <v>868.83</v>
          </cell>
          <cell r="F314">
            <v>372.44999999999874</v>
          </cell>
          <cell r="G314">
            <v>521.42999999999995</v>
          </cell>
        </row>
        <row r="315">
          <cell r="B315">
            <v>311</v>
          </cell>
          <cell r="C315">
            <v>622.58999999999992</v>
          </cell>
          <cell r="D315">
            <v>871.63</v>
          </cell>
          <cell r="F315">
            <v>373.64999999999873</v>
          </cell>
          <cell r="G315">
            <v>523.11</v>
          </cell>
        </row>
        <row r="316">
          <cell r="B316">
            <v>312</v>
          </cell>
          <cell r="C316">
            <v>624.58999999999992</v>
          </cell>
          <cell r="D316">
            <v>874.43</v>
          </cell>
          <cell r="F316">
            <v>374.84999999999872</v>
          </cell>
          <cell r="G316">
            <v>524.79</v>
          </cell>
        </row>
        <row r="317">
          <cell r="B317">
            <v>313</v>
          </cell>
          <cell r="C317">
            <v>626.58999999999992</v>
          </cell>
          <cell r="D317">
            <v>877.23</v>
          </cell>
          <cell r="F317">
            <v>376.0499999999987</v>
          </cell>
          <cell r="G317">
            <v>526.47</v>
          </cell>
        </row>
        <row r="318">
          <cell r="B318">
            <v>314</v>
          </cell>
          <cell r="C318">
            <v>628.58999999999992</v>
          </cell>
          <cell r="D318">
            <v>880.03</v>
          </cell>
          <cell r="F318">
            <v>377.24999999999869</v>
          </cell>
          <cell r="G318">
            <v>528.15</v>
          </cell>
        </row>
        <row r="319">
          <cell r="B319">
            <v>315</v>
          </cell>
          <cell r="C319">
            <v>630.58999999999992</v>
          </cell>
          <cell r="D319">
            <v>882.83</v>
          </cell>
          <cell r="F319">
            <v>378.44999999999868</v>
          </cell>
          <cell r="G319">
            <v>529.83000000000004</v>
          </cell>
        </row>
        <row r="320">
          <cell r="B320">
            <v>316</v>
          </cell>
          <cell r="C320">
            <v>632.58999999999992</v>
          </cell>
          <cell r="D320">
            <v>885.63</v>
          </cell>
          <cell r="F320">
            <v>379.64999999999867</v>
          </cell>
          <cell r="G320">
            <v>531.51</v>
          </cell>
        </row>
        <row r="321">
          <cell r="B321">
            <v>317</v>
          </cell>
          <cell r="C321">
            <v>634.58999999999992</v>
          </cell>
          <cell r="D321">
            <v>888.43</v>
          </cell>
          <cell r="F321">
            <v>380.84999999999866</v>
          </cell>
          <cell r="G321">
            <v>533.19000000000005</v>
          </cell>
        </row>
        <row r="322">
          <cell r="B322">
            <v>318</v>
          </cell>
          <cell r="C322">
            <v>636.58999999999992</v>
          </cell>
          <cell r="D322">
            <v>891.23</v>
          </cell>
          <cell r="F322">
            <v>382.04999999999865</v>
          </cell>
          <cell r="G322">
            <v>534.87</v>
          </cell>
        </row>
        <row r="323">
          <cell r="B323">
            <v>319</v>
          </cell>
          <cell r="C323">
            <v>638.58999999999992</v>
          </cell>
          <cell r="D323">
            <v>894.03</v>
          </cell>
          <cell r="F323">
            <v>383.24999999999864</v>
          </cell>
          <cell r="G323">
            <v>536.54999999999995</v>
          </cell>
        </row>
        <row r="324">
          <cell r="B324">
            <v>320</v>
          </cell>
          <cell r="C324">
            <v>640.58999999999992</v>
          </cell>
          <cell r="D324">
            <v>896.83</v>
          </cell>
          <cell r="F324">
            <v>384.44999999999862</v>
          </cell>
          <cell r="G324">
            <v>538.23</v>
          </cell>
        </row>
        <row r="325">
          <cell r="B325">
            <v>321</v>
          </cell>
          <cell r="C325">
            <v>642.58999999999992</v>
          </cell>
          <cell r="D325">
            <v>899.63</v>
          </cell>
          <cell r="F325">
            <v>385.64999999999861</v>
          </cell>
          <cell r="G325">
            <v>539.91</v>
          </cell>
        </row>
        <row r="326">
          <cell r="B326">
            <v>322</v>
          </cell>
          <cell r="C326">
            <v>644.58999999999992</v>
          </cell>
          <cell r="D326">
            <v>902.43</v>
          </cell>
          <cell r="F326">
            <v>386.8499999999986</v>
          </cell>
          <cell r="G326">
            <v>541.59</v>
          </cell>
        </row>
        <row r="327">
          <cell r="B327">
            <v>323</v>
          </cell>
          <cell r="C327">
            <v>646.58999999999992</v>
          </cell>
          <cell r="D327">
            <v>905.23</v>
          </cell>
          <cell r="F327">
            <v>388.04999999999859</v>
          </cell>
          <cell r="G327">
            <v>543.27</v>
          </cell>
        </row>
        <row r="328">
          <cell r="B328">
            <v>324</v>
          </cell>
          <cell r="C328">
            <v>648.58999999999992</v>
          </cell>
          <cell r="D328">
            <v>908.03</v>
          </cell>
          <cell r="F328">
            <v>389.24999999999858</v>
          </cell>
          <cell r="G328">
            <v>544.95000000000005</v>
          </cell>
        </row>
        <row r="329">
          <cell r="B329">
            <v>325</v>
          </cell>
          <cell r="C329">
            <v>650.58999999999992</v>
          </cell>
          <cell r="D329">
            <v>910.83</v>
          </cell>
          <cell r="F329">
            <v>390.44999999999857</v>
          </cell>
          <cell r="G329">
            <v>546.63</v>
          </cell>
        </row>
        <row r="330">
          <cell r="B330">
            <v>326</v>
          </cell>
          <cell r="C330">
            <v>652.58999999999992</v>
          </cell>
          <cell r="D330">
            <v>913.63</v>
          </cell>
          <cell r="F330">
            <v>391.64999999999856</v>
          </cell>
          <cell r="G330">
            <v>548.30999999999995</v>
          </cell>
        </row>
        <row r="331">
          <cell r="B331">
            <v>327</v>
          </cell>
          <cell r="C331">
            <v>654.58999999999992</v>
          </cell>
          <cell r="D331">
            <v>916.43</v>
          </cell>
          <cell r="F331">
            <v>392.84999999999854</v>
          </cell>
          <cell r="G331">
            <v>549.99</v>
          </cell>
        </row>
        <row r="332">
          <cell r="B332">
            <v>328</v>
          </cell>
          <cell r="C332">
            <v>656.58999999999992</v>
          </cell>
          <cell r="D332">
            <v>919.23</v>
          </cell>
          <cell r="F332">
            <v>394.04999999999853</v>
          </cell>
          <cell r="G332">
            <v>551.66999999999996</v>
          </cell>
        </row>
        <row r="333">
          <cell r="B333">
            <v>329</v>
          </cell>
          <cell r="C333">
            <v>658.58999999999992</v>
          </cell>
          <cell r="D333">
            <v>922.03</v>
          </cell>
          <cell r="F333">
            <v>395.24999999999852</v>
          </cell>
          <cell r="G333">
            <v>553.35</v>
          </cell>
        </row>
        <row r="334">
          <cell r="B334">
            <v>330</v>
          </cell>
          <cell r="C334">
            <v>660.58999999999992</v>
          </cell>
          <cell r="D334">
            <v>924.83</v>
          </cell>
          <cell r="F334">
            <v>396.44999999999851</v>
          </cell>
          <cell r="G334">
            <v>555.03</v>
          </cell>
        </row>
        <row r="335">
          <cell r="B335">
            <v>331</v>
          </cell>
          <cell r="C335">
            <v>662.58999999999992</v>
          </cell>
          <cell r="D335">
            <v>927.63</v>
          </cell>
          <cell r="F335">
            <v>397.6499999999985</v>
          </cell>
          <cell r="G335">
            <v>556.71</v>
          </cell>
        </row>
        <row r="336">
          <cell r="B336">
            <v>332</v>
          </cell>
          <cell r="C336">
            <v>664.58999999999992</v>
          </cell>
          <cell r="D336">
            <v>930.43</v>
          </cell>
          <cell r="F336">
            <v>398.84999999999849</v>
          </cell>
          <cell r="G336">
            <v>558.39</v>
          </cell>
        </row>
        <row r="337">
          <cell r="B337">
            <v>333</v>
          </cell>
          <cell r="C337">
            <v>666.58999999999992</v>
          </cell>
          <cell r="D337">
            <v>933.23</v>
          </cell>
          <cell r="F337">
            <v>400.04999999999848</v>
          </cell>
          <cell r="G337">
            <v>560.07000000000005</v>
          </cell>
        </row>
        <row r="338">
          <cell r="B338">
            <v>334</v>
          </cell>
          <cell r="C338">
            <v>668.58999999999992</v>
          </cell>
          <cell r="D338">
            <v>936.03</v>
          </cell>
          <cell r="F338">
            <v>401.24999999999847</v>
          </cell>
          <cell r="G338">
            <v>561.75</v>
          </cell>
        </row>
        <row r="339">
          <cell r="B339">
            <v>335</v>
          </cell>
          <cell r="C339">
            <v>670.58999999999992</v>
          </cell>
          <cell r="D339">
            <v>938.83</v>
          </cell>
          <cell r="F339">
            <v>402.44999999999845</v>
          </cell>
          <cell r="G339">
            <v>563.42999999999995</v>
          </cell>
        </row>
        <row r="340">
          <cell r="B340">
            <v>336</v>
          </cell>
          <cell r="C340">
            <v>672.58999999999992</v>
          </cell>
          <cell r="D340">
            <v>941.63</v>
          </cell>
          <cell r="F340">
            <v>403.64999999999844</v>
          </cell>
          <cell r="G340">
            <v>565.11</v>
          </cell>
        </row>
        <row r="341">
          <cell r="B341">
            <v>337</v>
          </cell>
          <cell r="C341">
            <v>674.58999999999992</v>
          </cell>
          <cell r="D341">
            <v>944.43</v>
          </cell>
          <cell r="F341">
            <v>404.84999999999843</v>
          </cell>
          <cell r="G341">
            <v>566.79</v>
          </cell>
        </row>
        <row r="342">
          <cell r="B342">
            <v>338</v>
          </cell>
          <cell r="C342">
            <v>676.58999999999992</v>
          </cell>
          <cell r="D342">
            <v>947.23</v>
          </cell>
          <cell r="F342">
            <v>406.04999999999842</v>
          </cell>
          <cell r="G342">
            <v>568.47</v>
          </cell>
        </row>
        <row r="343">
          <cell r="B343">
            <v>339</v>
          </cell>
          <cell r="C343">
            <v>678.58999999999992</v>
          </cell>
          <cell r="D343">
            <v>950.03</v>
          </cell>
          <cell r="F343">
            <v>407.24999999999841</v>
          </cell>
          <cell r="G343">
            <v>570.15</v>
          </cell>
        </row>
        <row r="344">
          <cell r="B344">
            <v>340</v>
          </cell>
          <cell r="C344">
            <v>680.58999999999992</v>
          </cell>
          <cell r="D344">
            <v>952.83</v>
          </cell>
          <cell r="F344">
            <v>408.4499999999984</v>
          </cell>
          <cell r="G344">
            <v>571.83000000000004</v>
          </cell>
        </row>
        <row r="345">
          <cell r="B345">
            <v>341</v>
          </cell>
          <cell r="C345">
            <v>682.58999999999992</v>
          </cell>
          <cell r="D345">
            <v>955.63</v>
          </cell>
          <cell r="F345">
            <v>409.64999999999839</v>
          </cell>
          <cell r="G345">
            <v>573.51</v>
          </cell>
        </row>
        <row r="346">
          <cell r="B346">
            <v>342</v>
          </cell>
          <cell r="C346">
            <v>684.58999999999992</v>
          </cell>
          <cell r="D346">
            <v>958.43</v>
          </cell>
          <cell r="F346">
            <v>410.84999999999837</v>
          </cell>
          <cell r="G346">
            <v>575.19000000000005</v>
          </cell>
        </row>
        <row r="347">
          <cell r="B347">
            <v>343</v>
          </cell>
          <cell r="C347">
            <v>686.58999999999992</v>
          </cell>
          <cell r="D347">
            <v>961.23</v>
          </cell>
          <cell r="F347">
            <v>412.04999999999836</v>
          </cell>
          <cell r="G347">
            <v>576.87</v>
          </cell>
        </row>
        <row r="348">
          <cell r="B348">
            <v>344</v>
          </cell>
          <cell r="C348">
            <v>688.58999999999992</v>
          </cell>
          <cell r="D348">
            <v>964.03</v>
          </cell>
          <cell r="F348">
            <v>413.24999999999835</v>
          </cell>
          <cell r="G348">
            <v>578.54999999999995</v>
          </cell>
        </row>
        <row r="349">
          <cell r="B349">
            <v>345</v>
          </cell>
          <cell r="C349">
            <v>690.58999999999992</v>
          </cell>
          <cell r="D349">
            <v>966.83</v>
          </cell>
          <cell r="F349">
            <v>414.44999999999834</v>
          </cell>
          <cell r="G349">
            <v>580.23</v>
          </cell>
        </row>
        <row r="350">
          <cell r="B350">
            <v>346</v>
          </cell>
          <cell r="C350">
            <v>692.58999999999992</v>
          </cell>
          <cell r="D350">
            <v>969.63</v>
          </cell>
          <cell r="F350">
            <v>415.64999999999833</v>
          </cell>
          <cell r="G350">
            <v>581.91</v>
          </cell>
        </row>
        <row r="351">
          <cell r="B351">
            <v>347</v>
          </cell>
          <cell r="C351">
            <v>694.58999999999992</v>
          </cell>
          <cell r="D351">
            <v>972.43</v>
          </cell>
          <cell r="F351">
            <v>416.84999999999832</v>
          </cell>
          <cell r="G351">
            <v>583.59</v>
          </cell>
        </row>
        <row r="352">
          <cell r="B352">
            <v>348</v>
          </cell>
          <cell r="C352">
            <v>696.58999999999992</v>
          </cell>
          <cell r="D352">
            <v>975.23</v>
          </cell>
          <cell r="F352">
            <v>418.04999999999831</v>
          </cell>
          <cell r="G352">
            <v>585.27</v>
          </cell>
        </row>
        <row r="353">
          <cell r="B353">
            <v>349</v>
          </cell>
          <cell r="C353">
            <v>698.58999999999992</v>
          </cell>
          <cell r="D353">
            <v>978.03</v>
          </cell>
          <cell r="F353">
            <v>419.24999999999829</v>
          </cell>
          <cell r="G353">
            <v>586.95000000000005</v>
          </cell>
        </row>
        <row r="354">
          <cell r="B354">
            <v>350</v>
          </cell>
          <cell r="C354">
            <v>700.58999999999992</v>
          </cell>
          <cell r="D354">
            <v>980.83</v>
          </cell>
          <cell r="F354">
            <v>420.44999999999828</v>
          </cell>
          <cell r="G354">
            <v>588.63</v>
          </cell>
        </row>
        <row r="355">
          <cell r="B355">
            <v>351</v>
          </cell>
          <cell r="C355">
            <v>702.58999999999992</v>
          </cell>
          <cell r="D355">
            <v>983.63</v>
          </cell>
          <cell r="F355">
            <v>421.64999999999827</v>
          </cell>
          <cell r="G355">
            <v>590.30999999999995</v>
          </cell>
        </row>
        <row r="356">
          <cell r="B356">
            <v>352</v>
          </cell>
          <cell r="C356">
            <v>704.58999999999992</v>
          </cell>
          <cell r="D356">
            <v>986.43</v>
          </cell>
          <cell r="F356">
            <v>422.84999999999826</v>
          </cell>
          <cell r="G356">
            <v>591.99</v>
          </cell>
        </row>
        <row r="357">
          <cell r="B357">
            <v>353</v>
          </cell>
          <cell r="C357">
            <v>706.58999999999992</v>
          </cell>
          <cell r="D357">
            <v>989.23</v>
          </cell>
          <cell r="F357">
            <v>424.04999999999825</v>
          </cell>
          <cell r="G357">
            <v>593.66999999999996</v>
          </cell>
        </row>
        <row r="358">
          <cell r="B358">
            <v>354</v>
          </cell>
          <cell r="C358">
            <v>708.58999999999992</v>
          </cell>
          <cell r="D358">
            <v>992.03</v>
          </cell>
          <cell r="F358">
            <v>425.24999999999824</v>
          </cell>
          <cell r="G358">
            <v>595.35</v>
          </cell>
        </row>
        <row r="359">
          <cell r="B359">
            <v>355</v>
          </cell>
          <cell r="C359">
            <v>710.58999999999992</v>
          </cell>
          <cell r="D359">
            <v>994.83</v>
          </cell>
          <cell r="F359">
            <v>426.44999999999823</v>
          </cell>
          <cell r="G359">
            <v>597.03</v>
          </cell>
        </row>
        <row r="360">
          <cell r="B360">
            <v>356</v>
          </cell>
          <cell r="C360">
            <v>712.58999999999992</v>
          </cell>
          <cell r="D360">
            <v>997.63</v>
          </cell>
          <cell r="F360">
            <v>427.64999999999822</v>
          </cell>
          <cell r="G360">
            <v>598.71</v>
          </cell>
        </row>
        <row r="361">
          <cell r="B361">
            <v>357</v>
          </cell>
          <cell r="C361">
            <v>714.58999999999992</v>
          </cell>
          <cell r="D361">
            <v>1000.43</v>
          </cell>
          <cell r="F361">
            <v>428.8499999999982</v>
          </cell>
          <cell r="G361">
            <v>600.39</v>
          </cell>
        </row>
        <row r="362">
          <cell r="B362">
            <v>358</v>
          </cell>
          <cell r="C362">
            <v>716.58999999999992</v>
          </cell>
          <cell r="D362">
            <v>1003.23</v>
          </cell>
          <cell r="F362">
            <v>430.04999999999819</v>
          </cell>
          <cell r="G362">
            <v>602.07000000000005</v>
          </cell>
        </row>
        <row r="363">
          <cell r="B363">
            <v>359</v>
          </cell>
          <cell r="C363">
            <v>718.58999999999992</v>
          </cell>
          <cell r="D363">
            <v>1006.03</v>
          </cell>
          <cell r="F363">
            <v>431.24999999999818</v>
          </cell>
          <cell r="G363">
            <v>603.75</v>
          </cell>
        </row>
        <row r="364">
          <cell r="B364">
            <v>360</v>
          </cell>
          <cell r="C364">
            <v>720.58999999999992</v>
          </cell>
          <cell r="D364">
            <v>1008.83</v>
          </cell>
          <cell r="F364">
            <v>432.44999999999817</v>
          </cell>
          <cell r="G364">
            <v>605.42999999999995</v>
          </cell>
        </row>
        <row r="365">
          <cell r="B365">
            <v>361</v>
          </cell>
          <cell r="C365">
            <v>722.58999999999992</v>
          </cell>
          <cell r="D365">
            <v>1011.63</v>
          </cell>
          <cell r="F365">
            <v>433.64999999999816</v>
          </cell>
          <cell r="G365">
            <v>607.11</v>
          </cell>
        </row>
        <row r="366">
          <cell r="B366">
            <v>362</v>
          </cell>
          <cell r="C366">
            <v>724.58999999999992</v>
          </cell>
          <cell r="D366">
            <v>1014.43</v>
          </cell>
          <cell r="F366">
            <v>434.84999999999815</v>
          </cell>
          <cell r="G366">
            <v>608.79</v>
          </cell>
        </row>
        <row r="367">
          <cell r="B367">
            <v>363</v>
          </cell>
          <cell r="C367">
            <v>726.58999999999992</v>
          </cell>
          <cell r="D367">
            <v>1017.23</v>
          </cell>
          <cell r="F367">
            <v>436.04999999999814</v>
          </cell>
          <cell r="G367">
            <v>610.47</v>
          </cell>
        </row>
        <row r="368">
          <cell r="B368">
            <v>364</v>
          </cell>
          <cell r="C368">
            <v>728.58999999999992</v>
          </cell>
          <cell r="D368">
            <v>1020.03</v>
          </cell>
          <cell r="F368">
            <v>437.24999999999812</v>
          </cell>
          <cell r="G368">
            <v>612.15</v>
          </cell>
        </row>
        <row r="369">
          <cell r="B369">
            <v>365</v>
          </cell>
          <cell r="C369">
            <v>730.58999999999992</v>
          </cell>
          <cell r="D369">
            <v>1022.83</v>
          </cell>
          <cell r="F369">
            <v>438.44999999999811</v>
          </cell>
          <cell r="G369">
            <v>613.83000000000004</v>
          </cell>
        </row>
        <row r="370">
          <cell r="B370">
            <v>366</v>
          </cell>
          <cell r="C370">
            <v>732.58999999999992</v>
          </cell>
          <cell r="D370">
            <v>1025.6300000000001</v>
          </cell>
          <cell r="F370">
            <v>439.6499999999981</v>
          </cell>
          <cell r="G370">
            <v>615.51</v>
          </cell>
        </row>
        <row r="371">
          <cell r="B371">
            <v>367</v>
          </cell>
          <cell r="C371">
            <v>734.58999999999992</v>
          </cell>
          <cell r="D371">
            <v>1028.43</v>
          </cell>
          <cell r="F371">
            <v>440.84999999999809</v>
          </cell>
          <cell r="G371">
            <v>617.19000000000005</v>
          </cell>
        </row>
        <row r="372">
          <cell r="B372">
            <v>368</v>
          </cell>
          <cell r="C372">
            <v>736.58999999999992</v>
          </cell>
          <cell r="D372">
            <v>1031.23</v>
          </cell>
          <cell r="F372">
            <v>442.04999999999808</v>
          </cell>
          <cell r="G372">
            <v>618.87</v>
          </cell>
        </row>
        <row r="373">
          <cell r="B373">
            <v>369</v>
          </cell>
          <cell r="C373">
            <v>738.58999999999992</v>
          </cell>
          <cell r="D373">
            <v>1034.03</v>
          </cell>
          <cell r="F373">
            <v>443.24999999999807</v>
          </cell>
          <cell r="G373">
            <v>620.54999999999995</v>
          </cell>
        </row>
        <row r="374">
          <cell r="B374">
            <v>370</v>
          </cell>
          <cell r="C374">
            <v>740.58999999999992</v>
          </cell>
          <cell r="D374">
            <v>1036.83</v>
          </cell>
          <cell r="F374">
            <v>444.44999999999806</v>
          </cell>
          <cell r="G374">
            <v>622.23</v>
          </cell>
        </row>
        <row r="375">
          <cell r="B375">
            <v>371</v>
          </cell>
          <cell r="C375">
            <v>742.58999999999992</v>
          </cell>
          <cell r="D375">
            <v>1039.6300000000001</v>
          </cell>
          <cell r="F375">
            <v>445.64999999999804</v>
          </cell>
          <cell r="G375">
            <v>623.91</v>
          </cell>
        </row>
        <row r="376">
          <cell r="B376">
            <v>372</v>
          </cell>
          <cell r="C376">
            <v>744.58999999999992</v>
          </cell>
          <cell r="D376">
            <v>1042.43</v>
          </cell>
          <cell r="F376">
            <v>446.84999999999803</v>
          </cell>
          <cell r="G376">
            <v>625.59</v>
          </cell>
        </row>
        <row r="377">
          <cell r="B377">
            <v>373</v>
          </cell>
          <cell r="C377">
            <v>746.58999999999992</v>
          </cell>
          <cell r="D377">
            <v>1045.23</v>
          </cell>
          <cell r="F377">
            <v>448.04999999999802</v>
          </cell>
          <cell r="G377">
            <v>627.27</v>
          </cell>
        </row>
        <row r="378">
          <cell r="B378">
            <v>374</v>
          </cell>
          <cell r="C378">
            <v>748.58999999999992</v>
          </cell>
          <cell r="D378">
            <v>1048.03</v>
          </cell>
          <cell r="F378">
            <v>449.24999999999801</v>
          </cell>
          <cell r="G378">
            <v>628.95000000000005</v>
          </cell>
        </row>
        <row r="379">
          <cell r="B379">
            <v>375</v>
          </cell>
          <cell r="C379">
            <v>750.58999999999992</v>
          </cell>
          <cell r="D379">
            <v>1050.83</v>
          </cell>
          <cell r="F379">
            <v>450.449999999998</v>
          </cell>
          <cell r="G379">
            <v>630.63</v>
          </cell>
        </row>
        <row r="380">
          <cell r="B380">
            <v>376</v>
          </cell>
          <cell r="C380">
            <v>752.58999999999992</v>
          </cell>
          <cell r="D380">
            <v>1053.6300000000001</v>
          </cell>
          <cell r="F380">
            <v>451.64999999999799</v>
          </cell>
          <cell r="G380">
            <v>632.30999999999995</v>
          </cell>
        </row>
        <row r="381">
          <cell r="B381">
            <v>377</v>
          </cell>
          <cell r="C381">
            <v>754.58999999999992</v>
          </cell>
          <cell r="D381">
            <v>1056.43</v>
          </cell>
          <cell r="F381">
            <v>452.84999999999798</v>
          </cell>
          <cell r="G381">
            <v>633.99</v>
          </cell>
        </row>
        <row r="382">
          <cell r="B382">
            <v>378</v>
          </cell>
          <cell r="C382">
            <v>756.58999999999992</v>
          </cell>
          <cell r="D382">
            <v>1059.23</v>
          </cell>
          <cell r="F382">
            <v>454.04999999999797</v>
          </cell>
          <cell r="G382">
            <v>635.66999999999996</v>
          </cell>
        </row>
        <row r="383">
          <cell r="B383">
            <v>379</v>
          </cell>
          <cell r="C383">
            <v>758.58999999999992</v>
          </cell>
          <cell r="D383">
            <v>1062.03</v>
          </cell>
          <cell r="F383">
            <v>455.24999999999795</v>
          </cell>
          <cell r="G383">
            <v>637.35</v>
          </cell>
        </row>
        <row r="384">
          <cell r="B384">
            <v>380</v>
          </cell>
          <cell r="C384">
            <v>760.58999999999992</v>
          </cell>
          <cell r="D384">
            <v>1064.83</v>
          </cell>
          <cell r="F384">
            <v>456.44999999999794</v>
          </cell>
          <cell r="G384">
            <v>639.03</v>
          </cell>
        </row>
        <row r="385">
          <cell r="B385">
            <v>381</v>
          </cell>
          <cell r="C385">
            <v>762.58999999999992</v>
          </cell>
          <cell r="D385">
            <v>1067.6300000000001</v>
          </cell>
          <cell r="F385">
            <v>457.64999999999793</v>
          </cell>
          <cell r="G385">
            <v>640.71</v>
          </cell>
        </row>
        <row r="386">
          <cell r="B386">
            <v>382</v>
          </cell>
          <cell r="C386">
            <v>764.58999999999992</v>
          </cell>
          <cell r="D386">
            <v>1070.43</v>
          </cell>
          <cell r="F386">
            <v>458.84999999999792</v>
          </cell>
          <cell r="G386">
            <v>642.39</v>
          </cell>
        </row>
        <row r="387">
          <cell r="B387">
            <v>383</v>
          </cell>
          <cell r="C387">
            <v>766.58999999999992</v>
          </cell>
          <cell r="D387">
            <v>1073.23</v>
          </cell>
          <cell r="F387">
            <v>460.04999999999791</v>
          </cell>
          <cell r="G387">
            <v>644.07000000000005</v>
          </cell>
        </row>
        <row r="388">
          <cell r="B388">
            <v>384</v>
          </cell>
          <cell r="C388">
            <v>768.58999999999992</v>
          </cell>
          <cell r="D388">
            <v>1076.03</v>
          </cell>
          <cell r="F388">
            <v>461.2499999999979</v>
          </cell>
          <cell r="G388">
            <v>645.75</v>
          </cell>
        </row>
        <row r="389">
          <cell r="B389">
            <v>385</v>
          </cell>
          <cell r="C389">
            <v>770.58999999999992</v>
          </cell>
          <cell r="D389">
            <v>1078.83</v>
          </cell>
          <cell r="F389">
            <v>462.44999999999789</v>
          </cell>
          <cell r="G389">
            <v>647.42999999999995</v>
          </cell>
        </row>
        <row r="390">
          <cell r="B390">
            <v>386</v>
          </cell>
          <cell r="C390">
            <v>772.58999999999992</v>
          </cell>
          <cell r="D390">
            <v>1081.6300000000001</v>
          </cell>
          <cell r="F390">
            <v>463.64999999999787</v>
          </cell>
          <cell r="G390">
            <v>649.11</v>
          </cell>
        </row>
        <row r="391">
          <cell r="B391">
            <v>387</v>
          </cell>
          <cell r="C391">
            <v>774.58999999999992</v>
          </cell>
          <cell r="D391">
            <v>1084.43</v>
          </cell>
          <cell r="F391">
            <v>464.84999999999786</v>
          </cell>
          <cell r="G391">
            <v>650.79</v>
          </cell>
        </row>
        <row r="392">
          <cell r="B392">
            <v>388</v>
          </cell>
          <cell r="C392">
            <v>776.58999999999992</v>
          </cell>
          <cell r="D392">
            <v>1087.23</v>
          </cell>
          <cell r="F392">
            <v>466.04999999999785</v>
          </cell>
          <cell r="G392">
            <v>652.47</v>
          </cell>
        </row>
        <row r="393">
          <cell r="B393">
            <v>389</v>
          </cell>
          <cell r="C393">
            <v>778.58999999999992</v>
          </cell>
          <cell r="D393">
            <v>1090.03</v>
          </cell>
          <cell r="F393">
            <v>467.24999999999784</v>
          </cell>
          <cell r="G393">
            <v>654.15</v>
          </cell>
        </row>
        <row r="394">
          <cell r="B394">
            <v>390</v>
          </cell>
          <cell r="C394">
            <v>780.58999999999992</v>
          </cell>
          <cell r="D394">
            <v>1092.83</v>
          </cell>
          <cell r="F394">
            <v>468.44999999999783</v>
          </cell>
          <cell r="G394">
            <v>655.83</v>
          </cell>
        </row>
        <row r="395">
          <cell r="B395">
            <v>391</v>
          </cell>
          <cell r="C395">
            <v>782.58999999999992</v>
          </cell>
          <cell r="D395">
            <v>1095.6300000000001</v>
          </cell>
          <cell r="F395">
            <v>469.64999999999782</v>
          </cell>
          <cell r="G395">
            <v>657.51</v>
          </cell>
        </row>
        <row r="396">
          <cell r="B396">
            <v>392</v>
          </cell>
          <cell r="C396">
            <v>784.58999999999992</v>
          </cell>
          <cell r="D396">
            <v>1098.43</v>
          </cell>
          <cell r="F396">
            <v>470.84999999999781</v>
          </cell>
          <cell r="G396">
            <v>659.19</v>
          </cell>
        </row>
        <row r="397">
          <cell r="B397">
            <v>393</v>
          </cell>
          <cell r="C397">
            <v>786.58999999999992</v>
          </cell>
          <cell r="D397">
            <v>1101.23</v>
          </cell>
          <cell r="F397">
            <v>472.04999999999779</v>
          </cell>
          <cell r="G397">
            <v>660.87</v>
          </cell>
        </row>
        <row r="398">
          <cell r="B398">
            <v>394</v>
          </cell>
          <cell r="C398">
            <v>788.58999999999992</v>
          </cell>
          <cell r="D398">
            <v>1104.03</v>
          </cell>
          <cell r="F398">
            <v>473.24999999999778</v>
          </cell>
          <cell r="G398">
            <v>662.55</v>
          </cell>
        </row>
        <row r="399">
          <cell r="B399">
            <v>395</v>
          </cell>
          <cell r="C399">
            <v>790.58999999999992</v>
          </cell>
          <cell r="D399">
            <v>1106.83</v>
          </cell>
          <cell r="F399">
            <v>474.44999999999777</v>
          </cell>
          <cell r="G399">
            <v>664.23</v>
          </cell>
        </row>
        <row r="400">
          <cell r="B400">
            <v>396</v>
          </cell>
          <cell r="C400">
            <v>792.58999999999992</v>
          </cell>
          <cell r="D400">
            <v>1109.6300000000001</v>
          </cell>
          <cell r="F400">
            <v>475.64999999999776</v>
          </cell>
          <cell r="G400">
            <v>665.91</v>
          </cell>
        </row>
        <row r="401">
          <cell r="B401">
            <v>397</v>
          </cell>
          <cell r="C401">
            <v>794.58999999999992</v>
          </cell>
          <cell r="D401">
            <v>1112.43</v>
          </cell>
          <cell r="F401">
            <v>476.84999999999775</v>
          </cell>
          <cell r="G401">
            <v>667.59</v>
          </cell>
        </row>
        <row r="402">
          <cell r="B402">
            <v>398</v>
          </cell>
          <cell r="C402">
            <v>796.58999999999992</v>
          </cell>
          <cell r="D402">
            <v>1115.23</v>
          </cell>
          <cell r="F402">
            <v>478.04999999999774</v>
          </cell>
          <cell r="G402">
            <v>669.27</v>
          </cell>
        </row>
        <row r="403">
          <cell r="B403">
            <v>399</v>
          </cell>
          <cell r="C403">
            <v>798.58999999999992</v>
          </cell>
          <cell r="D403">
            <v>1118.03</v>
          </cell>
          <cell r="F403">
            <v>479.24999999999773</v>
          </cell>
          <cell r="G403">
            <v>670.95</v>
          </cell>
        </row>
        <row r="404">
          <cell r="B404">
            <v>400</v>
          </cell>
          <cell r="C404">
            <v>800.58999999999992</v>
          </cell>
          <cell r="D404">
            <v>1120.83</v>
          </cell>
          <cell r="F404">
            <v>480.44999999999771</v>
          </cell>
          <cell r="G404">
            <v>672.63</v>
          </cell>
        </row>
        <row r="405">
          <cell r="B405">
            <v>401</v>
          </cell>
          <cell r="C405">
            <v>802.58999999999992</v>
          </cell>
          <cell r="D405">
            <v>1123.6300000000001</v>
          </cell>
          <cell r="F405">
            <v>481.6499999999977</v>
          </cell>
          <cell r="G405">
            <v>674.31</v>
          </cell>
        </row>
        <row r="406">
          <cell r="B406">
            <v>402</v>
          </cell>
          <cell r="C406">
            <v>804.58999999999992</v>
          </cell>
          <cell r="D406">
            <v>1126.43</v>
          </cell>
          <cell r="F406">
            <v>482.84999999999769</v>
          </cell>
          <cell r="G406">
            <v>675.99</v>
          </cell>
        </row>
        <row r="407">
          <cell r="B407">
            <v>403</v>
          </cell>
          <cell r="C407">
            <v>806.58999999999992</v>
          </cell>
          <cell r="D407">
            <v>1129.23</v>
          </cell>
          <cell r="F407">
            <v>484.04999999999768</v>
          </cell>
          <cell r="G407">
            <v>677.67</v>
          </cell>
        </row>
        <row r="408">
          <cell r="B408">
            <v>404</v>
          </cell>
          <cell r="C408">
            <v>808.58999999999992</v>
          </cell>
          <cell r="D408">
            <v>1132.03</v>
          </cell>
          <cell r="F408">
            <v>485.24999999999767</v>
          </cell>
          <cell r="G408">
            <v>679.35</v>
          </cell>
        </row>
        <row r="409">
          <cell r="B409">
            <v>405</v>
          </cell>
          <cell r="C409">
            <v>810.58999999999992</v>
          </cell>
          <cell r="D409">
            <v>1134.83</v>
          </cell>
          <cell r="F409">
            <v>486.44999999999766</v>
          </cell>
          <cell r="G409">
            <v>681.03</v>
          </cell>
        </row>
        <row r="410">
          <cell r="B410">
            <v>406</v>
          </cell>
          <cell r="C410">
            <v>812.58999999999992</v>
          </cell>
          <cell r="D410">
            <v>1137.6300000000001</v>
          </cell>
          <cell r="F410">
            <v>487.64999999999765</v>
          </cell>
          <cell r="G410">
            <v>682.71</v>
          </cell>
        </row>
        <row r="411">
          <cell r="B411">
            <v>407</v>
          </cell>
          <cell r="C411">
            <v>814.58999999999992</v>
          </cell>
          <cell r="D411">
            <v>1140.43</v>
          </cell>
          <cell r="F411">
            <v>488.84999999999764</v>
          </cell>
          <cell r="G411">
            <v>684.39</v>
          </cell>
        </row>
        <row r="412">
          <cell r="B412">
            <v>408</v>
          </cell>
          <cell r="C412">
            <v>816.58999999999992</v>
          </cell>
          <cell r="D412">
            <v>1143.23</v>
          </cell>
          <cell r="F412">
            <v>490.04999999999762</v>
          </cell>
          <cell r="G412">
            <v>686.07</v>
          </cell>
        </row>
        <row r="413">
          <cell r="B413">
            <v>409</v>
          </cell>
          <cell r="C413">
            <v>818.58999999999992</v>
          </cell>
          <cell r="D413">
            <v>1146.03</v>
          </cell>
          <cell r="F413">
            <v>491.24999999999761</v>
          </cell>
          <cell r="G413">
            <v>687.75</v>
          </cell>
        </row>
        <row r="414">
          <cell r="B414">
            <v>410</v>
          </cell>
          <cell r="C414">
            <v>820.58999999999992</v>
          </cell>
          <cell r="D414">
            <v>1148.83</v>
          </cell>
          <cell r="F414">
            <v>492.4499999999976</v>
          </cell>
          <cell r="G414">
            <v>689.43</v>
          </cell>
        </row>
        <row r="415">
          <cell r="B415">
            <v>411</v>
          </cell>
          <cell r="C415">
            <v>822.58999999999992</v>
          </cell>
          <cell r="D415">
            <v>1151.6300000000001</v>
          </cell>
          <cell r="F415">
            <v>493.64999999999759</v>
          </cell>
          <cell r="G415">
            <v>691.11</v>
          </cell>
        </row>
        <row r="416">
          <cell r="B416">
            <v>412</v>
          </cell>
          <cell r="C416">
            <v>824.58999999999992</v>
          </cell>
          <cell r="D416">
            <v>1154.43</v>
          </cell>
          <cell r="F416">
            <v>494.84999999999758</v>
          </cell>
          <cell r="G416">
            <v>692.79</v>
          </cell>
        </row>
        <row r="417">
          <cell r="B417">
            <v>413</v>
          </cell>
          <cell r="C417">
            <v>826.58999999999992</v>
          </cell>
          <cell r="D417">
            <v>1157.23</v>
          </cell>
          <cell r="F417">
            <v>496.04999999999757</v>
          </cell>
          <cell r="G417">
            <v>694.47</v>
          </cell>
        </row>
        <row r="418">
          <cell r="B418">
            <v>414</v>
          </cell>
          <cell r="C418">
            <v>828.58999999999992</v>
          </cell>
          <cell r="D418">
            <v>1160.03</v>
          </cell>
          <cell r="F418">
            <v>497.24999999999756</v>
          </cell>
          <cell r="G418">
            <v>696.15</v>
          </cell>
        </row>
        <row r="419">
          <cell r="B419">
            <v>415</v>
          </cell>
          <cell r="C419">
            <v>830.58999999999992</v>
          </cell>
          <cell r="D419">
            <v>1162.83</v>
          </cell>
          <cell r="F419">
            <v>498.44999999999754</v>
          </cell>
          <cell r="G419">
            <v>697.83</v>
          </cell>
        </row>
        <row r="420">
          <cell r="B420">
            <v>416</v>
          </cell>
          <cell r="C420">
            <v>832.58999999999992</v>
          </cell>
          <cell r="D420">
            <v>1165.6300000000001</v>
          </cell>
          <cell r="F420">
            <v>499.64999999999753</v>
          </cell>
          <cell r="G420">
            <v>699.51</v>
          </cell>
        </row>
        <row r="421">
          <cell r="B421">
            <v>417</v>
          </cell>
          <cell r="C421">
            <v>834.58999999999992</v>
          </cell>
          <cell r="D421">
            <v>1168.43</v>
          </cell>
          <cell r="F421">
            <v>500.84999999999752</v>
          </cell>
          <cell r="G421">
            <v>701.19</v>
          </cell>
        </row>
        <row r="422">
          <cell r="B422">
            <v>418</v>
          </cell>
          <cell r="C422">
            <v>836.58999999999992</v>
          </cell>
          <cell r="D422">
            <v>1171.23</v>
          </cell>
          <cell r="F422">
            <v>502.04999999999751</v>
          </cell>
          <cell r="G422">
            <v>702.87</v>
          </cell>
        </row>
        <row r="423">
          <cell r="B423">
            <v>419</v>
          </cell>
          <cell r="C423">
            <v>838.58999999999992</v>
          </cell>
          <cell r="D423">
            <v>1174.03</v>
          </cell>
          <cell r="F423">
            <v>503.2499999999975</v>
          </cell>
          <cell r="G423">
            <v>704.55</v>
          </cell>
        </row>
        <row r="424">
          <cell r="B424">
            <v>420</v>
          </cell>
          <cell r="C424">
            <v>840.58999999999992</v>
          </cell>
          <cell r="D424">
            <v>1176.83</v>
          </cell>
          <cell r="F424">
            <v>504.44999999999749</v>
          </cell>
          <cell r="G424">
            <v>706.23</v>
          </cell>
        </row>
        <row r="425">
          <cell r="B425">
            <v>421</v>
          </cell>
          <cell r="C425">
            <v>842.58999999999992</v>
          </cell>
          <cell r="D425">
            <v>1179.6300000000001</v>
          </cell>
          <cell r="F425">
            <v>505.64999999999748</v>
          </cell>
          <cell r="G425">
            <v>707.91</v>
          </cell>
        </row>
        <row r="426">
          <cell r="B426">
            <v>422</v>
          </cell>
          <cell r="C426">
            <v>844.58999999999992</v>
          </cell>
          <cell r="D426">
            <v>1182.43</v>
          </cell>
          <cell r="F426">
            <v>506.84999999999746</v>
          </cell>
          <cell r="G426">
            <v>709.59</v>
          </cell>
        </row>
        <row r="427">
          <cell r="B427">
            <v>423</v>
          </cell>
          <cell r="C427">
            <v>846.58999999999992</v>
          </cell>
          <cell r="D427">
            <v>1185.23</v>
          </cell>
          <cell r="F427">
            <v>508.04999999999745</v>
          </cell>
          <cell r="G427">
            <v>711.27</v>
          </cell>
        </row>
        <row r="428">
          <cell r="B428">
            <v>424</v>
          </cell>
          <cell r="C428">
            <v>848.58999999999992</v>
          </cell>
          <cell r="D428">
            <v>1188.03</v>
          </cell>
          <cell r="F428">
            <v>509.24999999999744</v>
          </cell>
          <cell r="G428">
            <v>712.95</v>
          </cell>
        </row>
        <row r="429">
          <cell r="B429">
            <v>425</v>
          </cell>
          <cell r="C429">
            <v>850.58999999999992</v>
          </cell>
          <cell r="D429">
            <v>1190.83</v>
          </cell>
          <cell r="F429">
            <v>510.44999999999743</v>
          </cell>
          <cell r="G429">
            <v>714.63</v>
          </cell>
        </row>
        <row r="430">
          <cell r="B430">
            <v>426</v>
          </cell>
          <cell r="C430">
            <v>852.58999999999992</v>
          </cell>
          <cell r="D430">
            <v>1193.6300000000001</v>
          </cell>
          <cell r="F430">
            <v>511.64999999999742</v>
          </cell>
          <cell r="G430">
            <v>716.31</v>
          </cell>
        </row>
        <row r="431">
          <cell r="B431">
            <v>427</v>
          </cell>
          <cell r="C431">
            <v>854.58999999999992</v>
          </cell>
          <cell r="D431">
            <v>1196.43</v>
          </cell>
          <cell r="F431">
            <v>512.84999999999741</v>
          </cell>
          <cell r="G431">
            <v>717.99</v>
          </cell>
        </row>
        <row r="432">
          <cell r="B432">
            <v>428</v>
          </cell>
          <cell r="C432">
            <v>856.58999999999992</v>
          </cell>
          <cell r="D432">
            <v>1199.23</v>
          </cell>
          <cell r="F432">
            <v>514.04999999999745</v>
          </cell>
          <cell r="G432">
            <v>719.67</v>
          </cell>
        </row>
        <row r="433">
          <cell r="B433">
            <v>429</v>
          </cell>
          <cell r="C433">
            <v>858.58999999999992</v>
          </cell>
          <cell r="D433">
            <v>1202.03</v>
          </cell>
          <cell r="F433">
            <v>515.2499999999975</v>
          </cell>
          <cell r="G433">
            <v>721.35</v>
          </cell>
        </row>
        <row r="434">
          <cell r="B434">
            <v>430</v>
          </cell>
          <cell r="C434">
            <v>860.58999999999992</v>
          </cell>
          <cell r="D434">
            <v>1204.83</v>
          </cell>
          <cell r="F434">
            <v>516.44999999999754</v>
          </cell>
          <cell r="G434">
            <v>723.03</v>
          </cell>
        </row>
        <row r="435">
          <cell r="B435">
            <v>431</v>
          </cell>
          <cell r="C435">
            <v>862.58999999999992</v>
          </cell>
          <cell r="D435">
            <v>1207.6300000000001</v>
          </cell>
          <cell r="F435">
            <v>517.64999999999759</v>
          </cell>
          <cell r="G435">
            <v>724.71</v>
          </cell>
        </row>
        <row r="436">
          <cell r="B436">
            <v>432</v>
          </cell>
          <cell r="C436">
            <v>864.58999999999992</v>
          </cell>
          <cell r="D436">
            <v>1210.43</v>
          </cell>
          <cell r="F436">
            <v>518.84999999999764</v>
          </cell>
          <cell r="G436">
            <v>726.39</v>
          </cell>
        </row>
        <row r="437">
          <cell r="B437">
            <v>433</v>
          </cell>
          <cell r="C437">
            <v>866.58999999999992</v>
          </cell>
          <cell r="D437">
            <v>1213.23</v>
          </cell>
          <cell r="F437">
            <v>520.04999999999768</v>
          </cell>
          <cell r="G437">
            <v>728.07</v>
          </cell>
        </row>
        <row r="438">
          <cell r="B438">
            <v>434</v>
          </cell>
          <cell r="C438">
            <v>868.58999999999992</v>
          </cell>
          <cell r="D438">
            <v>1216.03</v>
          </cell>
          <cell r="F438">
            <v>521.24999999999773</v>
          </cell>
          <cell r="G438">
            <v>729.75</v>
          </cell>
        </row>
        <row r="439">
          <cell r="B439">
            <v>435</v>
          </cell>
          <cell r="C439">
            <v>870.58999999999992</v>
          </cell>
          <cell r="D439">
            <v>1218.83</v>
          </cell>
          <cell r="F439">
            <v>522.44999999999777</v>
          </cell>
          <cell r="G439">
            <v>731.43</v>
          </cell>
        </row>
        <row r="440">
          <cell r="B440">
            <v>436</v>
          </cell>
          <cell r="C440">
            <v>872.58999999999992</v>
          </cell>
          <cell r="D440">
            <v>1221.6300000000001</v>
          </cell>
          <cell r="F440">
            <v>523.64999999999782</v>
          </cell>
          <cell r="G440">
            <v>733.11</v>
          </cell>
        </row>
        <row r="441">
          <cell r="B441">
            <v>437</v>
          </cell>
          <cell r="C441">
            <v>874.58999999999992</v>
          </cell>
          <cell r="D441">
            <v>1224.43</v>
          </cell>
          <cell r="F441">
            <v>524.84999999999786</v>
          </cell>
          <cell r="G441">
            <v>734.79</v>
          </cell>
        </row>
        <row r="442">
          <cell r="B442">
            <v>438</v>
          </cell>
          <cell r="C442">
            <v>876.58999999999992</v>
          </cell>
          <cell r="D442">
            <v>1227.23</v>
          </cell>
          <cell r="F442">
            <v>526.04999999999791</v>
          </cell>
          <cell r="G442">
            <v>736.47</v>
          </cell>
        </row>
        <row r="443">
          <cell r="B443">
            <v>439</v>
          </cell>
          <cell r="C443">
            <v>878.58999999999992</v>
          </cell>
          <cell r="D443">
            <v>1230.03</v>
          </cell>
          <cell r="F443">
            <v>527.24999999999795</v>
          </cell>
          <cell r="G443">
            <v>738.15</v>
          </cell>
        </row>
        <row r="444">
          <cell r="B444">
            <v>440</v>
          </cell>
          <cell r="C444">
            <v>880.58999999999992</v>
          </cell>
          <cell r="D444">
            <v>1232.83</v>
          </cell>
          <cell r="F444">
            <v>528.449999999998</v>
          </cell>
          <cell r="G444">
            <v>739.83</v>
          </cell>
        </row>
        <row r="445">
          <cell r="B445">
            <v>441</v>
          </cell>
          <cell r="C445">
            <v>882.58999999999992</v>
          </cell>
          <cell r="D445">
            <v>1235.6300000000001</v>
          </cell>
          <cell r="F445">
            <v>529.64999999999804</v>
          </cell>
          <cell r="G445">
            <v>741.51</v>
          </cell>
        </row>
        <row r="446">
          <cell r="B446">
            <v>442</v>
          </cell>
          <cell r="C446">
            <v>884.58999999999992</v>
          </cell>
          <cell r="D446">
            <v>1238.43</v>
          </cell>
          <cell r="F446">
            <v>530.84999999999809</v>
          </cell>
          <cell r="G446">
            <v>743.19</v>
          </cell>
        </row>
        <row r="447">
          <cell r="B447">
            <v>443</v>
          </cell>
          <cell r="C447">
            <v>886.58999999999992</v>
          </cell>
          <cell r="D447">
            <v>1241.23</v>
          </cell>
          <cell r="F447">
            <v>532.04999999999814</v>
          </cell>
          <cell r="G447">
            <v>744.87</v>
          </cell>
        </row>
        <row r="448">
          <cell r="B448">
            <v>444</v>
          </cell>
          <cell r="C448">
            <v>888.58999999999992</v>
          </cell>
          <cell r="D448">
            <v>1244.03</v>
          </cell>
          <cell r="F448">
            <v>533.24999999999818</v>
          </cell>
          <cell r="G448">
            <v>746.55</v>
          </cell>
        </row>
        <row r="449">
          <cell r="B449">
            <v>445</v>
          </cell>
          <cell r="C449">
            <v>890.58999999999992</v>
          </cell>
          <cell r="D449">
            <v>1246.83</v>
          </cell>
          <cell r="F449">
            <v>534.44999999999823</v>
          </cell>
          <cell r="G449">
            <v>748.23</v>
          </cell>
        </row>
        <row r="450">
          <cell r="B450">
            <v>446</v>
          </cell>
          <cell r="C450">
            <v>892.58999999999992</v>
          </cell>
          <cell r="D450">
            <v>1249.6300000000001</v>
          </cell>
          <cell r="F450">
            <v>535.64999999999827</v>
          </cell>
          <cell r="G450">
            <v>749.91</v>
          </cell>
        </row>
        <row r="451">
          <cell r="B451">
            <v>447</v>
          </cell>
          <cell r="C451">
            <v>894.58999999999992</v>
          </cell>
          <cell r="D451">
            <v>1252.43</v>
          </cell>
          <cell r="F451">
            <v>536.84999999999832</v>
          </cell>
          <cell r="G451">
            <v>751.59</v>
          </cell>
        </row>
        <row r="452">
          <cell r="B452">
            <v>448</v>
          </cell>
          <cell r="C452">
            <v>896.58999999999992</v>
          </cell>
          <cell r="D452">
            <v>1255.23</v>
          </cell>
          <cell r="F452">
            <v>538.04999999999836</v>
          </cell>
          <cell r="G452">
            <v>753.27</v>
          </cell>
        </row>
        <row r="453">
          <cell r="B453">
            <v>449</v>
          </cell>
          <cell r="C453">
            <v>898.58999999999992</v>
          </cell>
          <cell r="D453">
            <v>1258.03</v>
          </cell>
          <cell r="F453">
            <v>539.24999999999841</v>
          </cell>
          <cell r="G453">
            <v>754.95</v>
          </cell>
        </row>
        <row r="454">
          <cell r="B454">
            <v>450</v>
          </cell>
          <cell r="C454">
            <v>900.58999999999992</v>
          </cell>
          <cell r="D454">
            <v>1260.83</v>
          </cell>
          <cell r="F454">
            <v>540.44999999999845</v>
          </cell>
          <cell r="G454">
            <v>756.63</v>
          </cell>
        </row>
        <row r="455">
          <cell r="B455">
            <v>451</v>
          </cell>
          <cell r="C455">
            <v>902.58999999999992</v>
          </cell>
          <cell r="D455">
            <v>1263.6300000000001</v>
          </cell>
          <cell r="F455">
            <v>541.6499999999985</v>
          </cell>
          <cell r="G455">
            <v>758.31</v>
          </cell>
        </row>
        <row r="456">
          <cell r="B456">
            <v>452</v>
          </cell>
          <cell r="C456">
            <v>904.58999999999992</v>
          </cell>
          <cell r="D456">
            <v>1266.43</v>
          </cell>
          <cell r="F456">
            <v>542.84999999999854</v>
          </cell>
          <cell r="G456">
            <v>759.99</v>
          </cell>
        </row>
        <row r="457">
          <cell r="B457">
            <v>453</v>
          </cell>
          <cell r="C457">
            <v>906.58999999999992</v>
          </cell>
          <cell r="D457">
            <v>1269.23</v>
          </cell>
          <cell r="F457">
            <v>544.04999999999859</v>
          </cell>
          <cell r="G457">
            <v>761.67</v>
          </cell>
        </row>
        <row r="458">
          <cell r="B458">
            <v>454</v>
          </cell>
          <cell r="C458">
            <v>908.58999999999992</v>
          </cell>
          <cell r="D458">
            <v>1272.03</v>
          </cell>
          <cell r="F458">
            <v>545.24999999999864</v>
          </cell>
          <cell r="G458">
            <v>763.35</v>
          </cell>
        </row>
        <row r="459">
          <cell r="B459">
            <v>455</v>
          </cell>
          <cell r="C459">
            <v>910.58999999999992</v>
          </cell>
          <cell r="D459">
            <v>1274.83</v>
          </cell>
          <cell r="F459">
            <v>546.44999999999868</v>
          </cell>
          <cell r="G459">
            <v>765.03</v>
          </cell>
        </row>
        <row r="460">
          <cell r="B460">
            <v>456</v>
          </cell>
          <cell r="C460">
            <v>912.58999999999992</v>
          </cell>
          <cell r="D460">
            <v>1277.6300000000001</v>
          </cell>
          <cell r="F460">
            <v>547.64999999999873</v>
          </cell>
          <cell r="G460">
            <v>766.71</v>
          </cell>
        </row>
        <row r="461">
          <cell r="B461">
            <v>457</v>
          </cell>
          <cell r="C461">
            <v>914.58999999999992</v>
          </cell>
          <cell r="D461">
            <v>1280.43</v>
          </cell>
          <cell r="F461">
            <v>548.84999999999877</v>
          </cell>
          <cell r="G461">
            <v>768.39</v>
          </cell>
        </row>
        <row r="462">
          <cell r="B462">
            <v>458</v>
          </cell>
          <cell r="C462">
            <v>916.58999999999992</v>
          </cell>
          <cell r="D462">
            <v>1283.23</v>
          </cell>
          <cell r="F462">
            <v>550.04999999999882</v>
          </cell>
          <cell r="G462">
            <v>770.07</v>
          </cell>
        </row>
        <row r="463">
          <cell r="B463">
            <v>459</v>
          </cell>
          <cell r="C463">
            <v>918.58999999999992</v>
          </cell>
          <cell r="D463">
            <v>1286.03</v>
          </cell>
          <cell r="F463">
            <v>551.24999999999886</v>
          </cell>
          <cell r="G463">
            <v>771.75</v>
          </cell>
        </row>
        <row r="464">
          <cell r="B464">
            <v>460</v>
          </cell>
          <cell r="C464">
            <v>920.58999999999992</v>
          </cell>
          <cell r="D464">
            <v>1288.83</v>
          </cell>
          <cell r="F464">
            <v>552.44999999999891</v>
          </cell>
          <cell r="G464">
            <v>773.43</v>
          </cell>
        </row>
        <row r="465">
          <cell r="B465">
            <v>461</v>
          </cell>
          <cell r="C465">
            <v>922.58999999999992</v>
          </cell>
          <cell r="D465">
            <v>1291.6300000000001</v>
          </cell>
          <cell r="F465">
            <v>553.64999999999895</v>
          </cell>
          <cell r="G465">
            <v>775.11</v>
          </cell>
        </row>
        <row r="466">
          <cell r="B466">
            <v>462</v>
          </cell>
          <cell r="C466">
            <v>924.58999999999992</v>
          </cell>
          <cell r="D466">
            <v>1294.43</v>
          </cell>
          <cell r="F466">
            <v>554.849999999999</v>
          </cell>
          <cell r="G466">
            <v>776.79</v>
          </cell>
        </row>
        <row r="467">
          <cell r="B467">
            <v>463</v>
          </cell>
          <cell r="C467">
            <v>926.58999999999992</v>
          </cell>
          <cell r="D467">
            <v>1297.23</v>
          </cell>
          <cell r="F467">
            <v>556.04999999999905</v>
          </cell>
          <cell r="G467">
            <v>778.47</v>
          </cell>
        </row>
        <row r="468">
          <cell r="B468">
            <v>464</v>
          </cell>
          <cell r="C468">
            <v>928.58999999999992</v>
          </cell>
          <cell r="D468">
            <v>1300.03</v>
          </cell>
          <cell r="F468">
            <v>557.24999999999909</v>
          </cell>
          <cell r="G468">
            <v>780.15</v>
          </cell>
        </row>
        <row r="469">
          <cell r="B469">
            <v>465</v>
          </cell>
          <cell r="C469">
            <v>930.58999999999992</v>
          </cell>
          <cell r="D469">
            <v>1302.83</v>
          </cell>
          <cell r="F469">
            <v>558.44999999999914</v>
          </cell>
          <cell r="G469">
            <v>781.83</v>
          </cell>
        </row>
        <row r="470">
          <cell r="B470">
            <v>466</v>
          </cell>
          <cell r="C470">
            <v>932.58999999999992</v>
          </cell>
          <cell r="D470">
            <v>1305.6300000000001</v>
          </cell>
          <cell r="F470">
            <v>559.64999999999918</v>
          </cell>
          <cell r="G470">
            <v>783.51</v>
          </cell>
        </row>
        <row r="471">
          <cell r="B471">
            <v>467</v>
          </cell>
          <cell r="C471">
            <v>934.58999999999992</v>
          </cell>
          <cell r="D471">
            <v>1308.43</v>
          </cell>
          <cell r="F471">
            <v>560.84999999999923</v>
          </cell>
          <cell r="G471">
            <v>785.19</v>
          </cell>
        </row>
        <row r="472">
          <cell r="B472">
            <v>468</v>
          </cell>
          <cell r="C472">
            <v>936.58999999999992</v>
          </cell>
          <cell r="D472">
            <v>1311.23</v>
          </cell>
          <cell r="F472">
            <v>562.04999999999927</v>
          </cell>
          <cell r="G472">
            <v>786.87</v>
          </cell>
        </row>
        <row r="473">
          <cell r="B473">
            <v>469</v>
          </cell>
          <cell r="C473">
            <v>938.58999999999992</v>
          </cell>
          <cell r="D473">
            <v>1314.03</v>
          </cell>
          <cell r="F473">
            <v>563.24999999999932</v>
          </cell>
          <cell r="G473">
            <v>788.55</v>
          </cell>
        </row>
        <row r="474">
          <cell r="B474">
            <v>470</v>
          </cell>
          <cell r="C474">
            <v>940.58999999999992</v>
          </cell>
          <cell r="D474">
            <v>1316.83</v>
          </cell>
          <cell r="F474">
            <v>564.44999999999936</v>
          </cell>
          <cell r="G474">
            <v>790.23</v>
          </cell>
        </row>
        <row r="475">
          <cell r="B475">
            <v>471</v>
          </cell>
          <cell r="C475">
            <v>942.58999999999992</v>
          </cell>
          <cell r="D475">
            <v>1319.63</v>
          </cell>
          <cell r="F475">
            <v>565.64999999999941</v>
          </cell>
          <cell r="G475">
            <v>791.91</v>
          </cell>
        </row>
        <row r="476">
          <cell r="B476">
            <v>472</v>
          </cell>
          <cell r="C476">
            <v>944.58999999999992</v>
          </cell>
          <cell r="D476">
            <v>1322.43</v>
          </cell>
          <cell r="F476">
            <v>566.84999999999945</v>
          </cell>
          <cell r="G476">
            <v>793.59</v>
          </cell>
        </row>
        <row r="477">
          <cell r="B477">
            <v>473</v>
          </cell>
          <cell r="C477">
            <v>946.58999999999992</v>
          </cell>
          <cell r="D477">
            <v>1325.23</v>
          </cell>
          <cell r="F477">
            <v>568.0499999999995</v>
          </cell>
          <cell r="G477">
            <v>795.27</v>
          </cell>
        </row>
        <row r="478">
          <cell r="B478">
            <v>474</v>
          </cell>
          <cell r="C478">
            <v>948.58999999999992</v>
          </cell>
          <cell r="D478">
            <v>1328.03</v>
          </cell>
          <cell r="F478">
            <v>569.24999999999955</v>
          </cell>
          <cell r="G478">
            <v>796.95</v>
          </cell>
        </row>
        <row r="479">
          <cell r="B479">
            <v>475</v>
          </cell>
          <cell r="C479">
            <v>950.58999999999992</v>
          </cell>
          <cell r="D479">
            <v>1330.83</v>
          </cell>
          <cell r="F479">
            <v>570.44999999999959</v>
          </cell>
          <cell r="G479">
            <v>798.63</v>
          </cell>
        </row>
        <row r="480">
          <cell r="B480">
            <v>476</v>
          </cell>
          <cell r="C480">
            <v>952.58999999999992</v>
          </cell>
          <cell r="D480">
            <v>1333.63</v>
          </cell>
          <cell r="F480">
            <v>571.64999999999964</v>
          </cell>
          <cell r="G480">
            <v>800.31</v>
          </cell>
        </row>
        <row r="481">
          <cell r="B481">
            <v>477</v>
          </cell>
          <cell r="C481">
            <v>954.58999999999992</v>
          </cell>
          <cell r="D481">
            <v>1336.43</v>
          </cell>
          <cell r="F481">
            <v>572.84999999999968</v>
          </cell>
          <cell r="G481">
            <v>801.99</v>
          </cell>
        </row>
        <row r="482">
          <cell r="B482">
            <v>478</v>
          </cell>
          <cell r="C482">
            <v>956.58999999999992</v>
          </cell>
          <cell r="D482">
            <v>1339.23</v>
          </cell>
          <cell r="F482">
            <v>574.04999999999973</v>
          </cell>
          <cell r="G482">
            <v>803.67</v>
          </cell>
        </row>
        <row r="483">
          <cell r="B483">
            <v>479</v>
          </cell>
          <cell r="C483">
            <v>958.58999999999992</v>
          </cell>
          <cell r="D483">
            <v>1342.03</v>
          </cell>
          <cell r="F483">
            <v>575.24999999999977</v>
          </cell>
          <cell r="G483">
            <v>805.35</v>
          </cell>
        </row>
        <row r="484">
          <cell r="B484">
            <v>480</v>
          </cell>
          <cell r="C484">
            <v>960.58999999999992</v>
          </cell>
          <cell r="D484">
            <v>1344.83</v>
          </cell>
          <cell r="F484">
            <v>576.44999999999982</v>
          </cell>
          <cell r="G484">
            <v>807.03</v>
          </cell>
        </row>
        <row r="485">
          <cell r="B485">
            <v>481</v>
          </cell>
          <cell r="C485">
            <v>962.58999999999992</v>
          </cell>
          <cell r="D485">
            <v>1347.63</v>
          </cell>
          <cell r="F485">
            <v>577.64999999999986</v>
          </cell>
          <cell r="G485">
            <v>808.71</v>
          </cell>
        </row>
        <row r="486">
          <cell r="B486">
            <v>482</v>
          </cell>
          <cell r="C486">
            <v>964.58999999999992</v>
          </cell>
          <cell r="D486">
            <v>1350.43</v>
          </cell>
          <cell r="F486">
            <v>578.84999999999991</v>
          </cell>
          <cell r="G486">
            <v>810.39</v>
          </cell>
        </row>
        <row r="487">
          <cell r="B487">
            <v>483</v>
          </cell>
          <cell r="C487">
            <v>966.58999999999992</v>
          </cell>
          <cell r="D487">
            <v>1353.23</v>
          </cell>
          <cell r="F487">
            <v>580.04999999999995</v>
          </cell>
          <cell r="G487">
            <v>812.07</v>
          </cell>
        </row>
        <row r="488">
          <cell r="B488">
            <v>484</v>
          </cell>
          <cell r="C488">
            <v>968.58999999999992</v>
          </cell>
          <cell r="D488">
            <v>1356.03</v>
          </cell>
          <cell r="F488">
            <v>581.25</v>
          </cell>
          <cell r="G488">
            <v>813.75</v>
          </cell>
        </row>
        <row r="489">
          <cell r="B489">
            <v>485</v>
          </cell>
          <cell r="C489">
            <v>970.58999999999992</v>
          </cell>
          <cell r="D489">
            <v>1358.83</v>
          </cell>
          <cell r="F489">
            <v>582.45000000000005</v>
          </cell>
          <cell r="G489">
            <v>815.43</v>
          </cell>
        </row>
        <row r="490">
          <cell r="B490">
            <v>486</v>
          </cell>
          <cell r="C490">
            <v>972.58999999999992</v>
          </cell>
          <cell r="D490">
            <v>1361.63</v>
          </cell>
          <cell r="F490">
            <v>583.65000000000009</v>
          </cell>
          <cell r="G490">
            <v>817.11</v>
          </cell>
        </row>
        <row r="491">
          <cell r="B491">
            <v>487</v>
          </cell>
          <cell r="C491">
            <v>974.58999999999992</v>
          </cell>
          <cell r="D491">
            <v>1364.43</v>
          </cell>
          <cell r="F491">
            <v>584.85000000000014</v>
          </cell>
          <cell r="G491">
            <v>818.79</v>
          </cell>
        </row>
        <row r="492">
          <cell r="B492">
            <v>488</v>
          </cell>
          <cell r="C492">
            <v>976.58999999999992</v>
          </cell>
          <cell r="D492">
            <v>1367.23</v>
          </cell>
          <cell r="F492">
            <v>586.05000000000018</v>
          </cell>
          <cell r="G492">
            <v>820.47</v>
          </cell>
        </row>
        <row r="493">
          <cell r="B493">
            <v>489</v>
          </cell>
          <cell r="C493">
            <v>978.58999999999992</v>
          </cell>
          <cell r="D493">
            <v>1370.03</v>
          </cell>
          <cell r="F493">
            <v>587.25000000000023</v>
          </cell>
          <cell r="G493">
            <v>822.15</v>
          </cell>
        </row>
        <row r="494">
          <cell r="B494">
            <v>490</v>
          </cell>
          <cell r="C494">
            <v>980.58999999999992</v>
          </cell>
          <cell r="D494">
            <v>1372.83</v>
          </cell>
          <cell r="F494">
            <v>588.45000000000027</v>
          </cell>
          <cell r="G494">
            <v>823.83</v>
          </cell>
        </row>
        <row r="495">
          <cell r="B495">
            <v>491</v>
          </cell>
          <cell r="C495">
            <v>982.58999999999992</v>
          </cell>
          <cell r="D495">
            <v>1375.63</v>
          </cell>
          <cell r="F495">
            <v>589.65000000000032</v>
          </cell>
          <cell r="G495">
            <v>825.51</v>
          </cell>
        </row>
        <row r="496">
          <cell r="B496">
            <v>492</v>
          </cell>
          <cell r="C496">
            <v>984.58999999999992</v>
          </cell>
          <cell r="D496">
            <v>1378.43</v>
          </cell>
          <cell r="F496">
            <v>590.85000000000036</v>
          </cell>
          <cell r="G496">
            <v>827.19</v>
          </cell>
        </row>
        <row r="497">
          <cell r="B497">
            <v>493</v>
          </cell>
          <cell r="C497">
            <v>986.58999999999992</v>
          </cell>
          <cell r="D497">
            <v>1381.23</v>
          </cell>
          <cell r="F497">
            <v>592.05000000000041</v>
          </cell>
          <cell r="G497">
            <v>828.87</v>
          </cell>
        </row>
        <row r="498">
          <cell r="B498">
            <v>494</v>
          </cell>
          <cell r="C498">
            <v>988.58999999999992</v>
          </cell>
          <cell r="D498">
            <v>1384.03</v>
          </cell>
          <cell r="F498">
            <v>593.25000000000045</v>
          </cell>
          <cell r="G498">
            <v>830.55</v>
          </cell>
        </row>
        <row r="499">
          <cell r="B499">
            <v>495</v>
          </cell>
          <cell r="C499">
            <v>990.58999999999992</v>
          </cell>
          <cell r="D499">
            <v>1386.83</v>
          </cell>
          <cell r="F499">
            <v>594.4500000000005</v>
          </cell>
          <cell r="G499">
            <v>832.23</v>
          </cell>
        </row>
        <row r="500">
          <cell r="B500">
            <v>496</v>
          </cell>
          <cell r="C500">
            <v>992.58999999999992</v>
          </cell>
          <cell r="D500">
            <v>1389.63</v>
          </cell>
          <cell r="F500">
            <v>595.65000000000055</v>
          </cell>
          <cell r="G500">
            <v>833.91</v>
          </cell>
        </row>
        <row r="501">
          <cell r="B501">
            <v>497</v>
          </cell>
          <cell r="C501">
            <v>994.58999999999992</v>
          </cell>
          <cell r="D501">
            <v>1392.43</v>
          </cell>
          <cell r="F501">
            <v>596.85000000000059</v>
          </cell>
          <cell r="G501">
            <v>835.59</v>
          </cell>
        </row>
        <row r="502">
          <cell r="B502">
            <v>498</v>
          </cell>
          <cell r="C502">
            <v>996.58999999999992</v>
          </cell>
          <cell r="D502">
            <v>1395.23</v>
          </cell>
          <cell r="F502">
            <v>598.05000000000064</v>
          </cell>
          <cell r="G502">
            <v>837.27</v>
          </cell>
        </row>
        <row r="503">
          <cell r="B503">
            <v>499</v>
          </cell>
          <cell r="C503">
            <v>998.58999999999992</v>
          </cell>
          <cell r="D503">
            <v>1398.03</v>
          </cell>
          <cell r="F503">
            <v>599.25000000000068</v>
          </cell>
          <cell r="G503">
            <v>838.95</v>
          </cell>
        </row>
        <row r="504">
          <cell r="B504">
            <v>500</v>
          </cell>
          <cell r="C504">
            <v>1000.5899999999999</v>
          </cell>
          <cell r="D504">
            <v>1400.83</v>
          </cell>
          <cell r="F504">
            <v>600.45000000000073</v>
          </cell>
          <cell r="G504">
            <v>840.63</v>
          </cell>
        </row>
        <row r="505">
          <cell r="B505">
            <v>501</v>
          </cell>
          <cell r="C505">
            <v>1002.5899999999999</v>
          </cell>
          <cell r="D505">
            <v>1403.63</v>
          </cell>
          <cell r="F505">
            <v>601.65000000000077</v>
          </cell>
          <cell r="G505">
            <v>842.31</v>
          </cell>
        </row>
        <row r="506">
          <cell r="B506">
            <v>502</v>
          </cell>
          <cell r="C506">
            <v>1004.5899999999999</v>
          </cell>
          <cell r="D506">
            <v>1406.43</v>
          </cell>
          <cell r="F506">
            <v>602.85000000000082</v>
          </cell>
          <cell r="G506">
            <v>843.99</v>
          </cell>
        </row>
        <row r="507">
          <cell r="B507">
            <v>503</v>
          </cell>
          <cell r="C507">
            <v>1006.5899999999999</v>
          </cell>
          <cell r="D507">
            <v>1409.23</v>
          </cell>
          <cell r="F507">
            <v>604.05000000000086</v>
          </cell>
          <cell r="G507">
            <v>845.67</v>
          </cell>
        </row>
        <row r="508">
          <cell r="B508">
            <v>504</v>
          </cell>
          <cell r="C508">
            <v>1008.5899999999999</v>
          </cell>
          <cell r="D508">
            <v>1412.03</v>
          </cell>
          <cell r="F508">
            <v>605.25000000000091</v>
          </cell>
          <cell r="G508">
            <v>847.35</v>
          </cell>
        </row>
        <row r="509">
          <cell r="B509">
            <v>505</v>
          </cell>
          <cell r="C509">
            <v>1010.5899999999999</v>
          </cell>
          <cell r="D509">
            <v>1414.83</v>
          </cell>
          <cell r="F509">
            <v>606.45000000000095</v>
          </cell>
          <cell r="G509">
            <v>849.03</v>
          </cell>
        </row>
        <row r="510">
          <cell r="B510">
            <v>506</v>
          </cell>
          <cell r="C510">
            <v>1012.5899999999999</v>
          </cell>
          <cell r="D510">
            <v>1417.63</v>
          </cell>
          <cell r="F510">
            <v>607.650000000001</v>
          </cell>
          <cell r="G510">
            <v>850.71</v>
          </cell>
        </row>
        <row r="511">
          <cell r="B511">
            <v>507</v>
          </cell>
          <cell r="C511">
            <v>1014.5899999999999</v>
          </cell>
          <cell r="D511">
            <v>1420.43</v>
          </cell>
          <cell r="F511">
            <v>608.85000000000105</v>
          </cell>
          <cell r="G511">
            <v>852.39</v>
          </cell>
        </row>
        <row r="512">
          <cell r="B512">
            <v>508</v>
          </cell>
          <cell r="C512">
            <v>1016.5899999999999</v>
          </cell>
          <cell r="D512">
            <v>1423.23</v>
          </cell>
          <cell r="F512">
            <v>610.05000000000109</v>
          </cell>
          <cell r="G512">
            <v>854.07</v>
          </cell>
        </row>
        <row r="513">
          <cell r="B513">
            <v>509</v>
          </cell>
          <cell r="C513">
            <v>1018.5899999999999</v>
          </cell>
          <cell r="D513">
            <v>1426.03</v>
          </cell>
          <cell r="F513">
            <v>611.25000000000114</v>
          </cell>
          <cell r="G513">
            <v>855.75</v>
          </cell>
        </row>
        <row r="514">
          <cell r="B514">
            <v>510</v>
          </cell>
          <cell r="C514">
            <v>1020.5899999999999</v>
          </cell>
          <cell r="D514">
            <v>1428.83</v>
          </cell>
          <cell r="F514">
            <v>612.45000000000118</v>
          </cell>
          <cell r="G514">
            <v>857.43</v>
          </cell>
        </row>
        <row r="515">
          <cell r="B515">
            <v>511</v>
          </cell>
          <cell r="C515">
            <v>1022.5899999999999</v>
          </cell>
          <cell r="D515">
            <v>1431.63</v>
          </cell>
          <cell r="F515">
            <v>613.65000000000123</v>
          </cell>
          <cell r="G515">
            <v>859.11</v>
          </cell>
        </row>
        <row r="516">
          <cell r="B516">
            <v>512</v>
          </cell>
          <cell r="C516">
            <v>1024.5899999999999</v>
          </cell>
          <cell r="D516">
            <v>1434.43</v>
          </cell>
          <cell r="F516">
            <v>614.85000000000127</v>
          </cell>
          <cell r="G516">
            <v>860.79</v>
          </cell>
        </row>
        <row r="517">
          <cell r="B517">
            <v>513</v>
          </cell>
          <cell r="C517">
            <v>1026.5899999999999</v>
          </cell>
          <cell r="D517">
            <v>1437.23</v>
          </cell>
          <cell r="F517">
            <v>616.05000000000132</v>
          </cell>
          <cell r="G517">
            <v>862.47</v>
          </cell>
        </row>
        <row r="518">
          <cell r="B518">
            <v>514</v>
          </cell>
          <cell r="C518">
            <v>1028.5899999999999</v>
          </cell>
          <cell r="D518">
            <v>1440.03</v>
          </cell>
          <cell r="F518">
            <v>617.25000000000136</v>
          </cell>
          <cell r="G518">
            <v>864.15</v>
          </cell>
        </row>
        <row r="519">
          <cell r="B519">
            <v>515</v>
          </cell>
          <cell r="C519">
            <v>1030.5899999999999</v>
          </cell>
          <cell r="D519">
            <v>1442.83</v>
          </cell>
          <cell r="F519">
            <v>618.45000000000141</v>
          </cell>
          <cell r="G519">
            <v>865.83</v>
          </cell>
        </row>
        <row r="520">
          <cell r="B520">
            <v>516</v>
          </cell>
          <cell r="C520">
            <v>1032.5899999999999</v>
          </cell>
          <cell r="D520">
            <v>1445.63</v>
          </cell>
          <cell r="F520">
            <v>619.65000000000146</v>
          </cell>
          <cell r="G520">
            <v>867.51</v>
          </cell>
        </row>
        <row r="521">
          <cell r="B521">
            <v>517</v>
          </cell>
          <cell r="C521">
            <v>1034.5899999999999</v>
          </cell>
          <cell r="D521">
            <v>1448.43</v>
          </cell>
          <cell r="F521">
            <v>620.8500000000015</v>
          </cell>
          <cell r="G521">
            <v>869.19</v>
          </cell>
        </row>
        <row r="522">
          <cell r="B522">
            <v>518</v>
          </cell>
          <cell r="C522">
            <v>1036.5899999999999</v>
          </cell>
          <cell r="D522">
            <v>1451.23</v>
          </cell>
          <cell r="F522">
            <v>622.05000000000155</v>
          </cell>
          <cell r="G522">
            <v>870.87</v>
          </cell>
        </row>
        <row r="523">
          <cell r="B523">
            <v>519</v>
          </cell>
          <cell r="C523">
            <v>1038.5899999999999</v>
          </cell>
          <cell r="D523">
            <v>1454.03</v>
          </cell>
          <cell r="F523">
            <v>623.25000000000159</v>
          </cell>
          <cell r="G523">
            <v>872.55</v>
          </cell>
        </row>
        <row r="524">
          <cell r="B524">
            <v>520</v>
          </cell>
          <cell r="C524">
            <v>1040.5899999999999</v>
          </cell>
          <cell r="D524">
            <v>1456.83</v>
          </cell>
          <cell r="F524">
            <v>624.45000000000164</v>
          </cell>
          <cell r="G524">
            <v>874.23</v>
          </cell>
        </row>
        <row r="525">
          <cell r="B525">
            <v>521</v>
          </cell>
          <cell r="C525">
            <v>1042.5899999999999</v>
          </cell>
          <cell r="D525">
            <v>1459.63</v>
          </cell>
          <cell r="F525">
            <v>625.65000000000168</v>
          </cell>
          <cell r="G525">
            <v>875.91</v>
          </cell>
        </row>
        <row r="526">
          <cell r="B526">
            <v>522</v>
          </cell>
          <cell r="C526">
            <v>1044.5899999999999</v>
          </cell>
          <cell r="D526">
            <v>1462.43</v>
          </cell>
          <cell r="F526">
            <v>626.85000000000173</v>
          </cell>
          <cell r="G526">
            <v>877.59</v>
          </cell>
        </row>
        <row r="527">
          <cell r="B527">
            <v>523</v>
          </cell>
          <cell r="C527">
            <v>1046.5899999999999</v>
          </cell>
          <cell r="D527">
            <v>1465.23</v>
          </cell>
          <cell r="F527">
            <v>628.05000000000177</v>
          </cell>
          <cell r="G527">
            <v>879.27</v>
          </cell>
        </row>
        <row r="528">
          <cell r="B528">
            <v>524</v>
          </cell>
          <cell r="C528">
            <v>1048.5899999999999</v>
          </cell>
          <cell r="D528">
            <v>1468.03</v>
          </cell>
          <cell r="F528">
            <v>629.25000000000182</v>
          </cell>
          <cell r="G528">
            <v>880.95</v>
          </cell>
        </row>
        <row r="529">
          <cell r="B529">
            <v>525</v>
          </cell>
          <cell r="C529">
            <v>1050.5899999999999</v>
          </cell>
          <cell r="D529">
            <v>1470.83</v>
          </cell>
          <cell r="F529">
            <v>630.45000000000186</v>
          </cell>
          <cell r="G529">
            <v>882.63</v>
          </cell>
        </row>
        <row r="530">
          <cell r="B530">
            <v>526</v>
          </cell>
          <cell r="C530">
            <v>1052.5899999999999</v>
          </cell>
          <cell r="D530">
            <v>1473.63</v>
          </cell>
          <cell r="F530">
            <v>631.65000000000191</v>
          </cell>
          <cell r="G530">
            <v>884.31</v>
          </cell>
        </row>
        <row r="531">
          <cell r="B531">
            <v>527</v>
          </cell>
          <cell r="C531">
            <v>1054.5899999999999</v>
          </cell>
          <cell r="D531">
            <v>1476.43</v>
          </cell>
          <cell r="F531">
            <v>632.85000000000196</v>
          </cell>
          <cell r="G531">
            <v>885.99</v>
          </cell>
        </row>
        <row r="532">
          <cell r="B532">
            <v>528</v>
          </cell>
          <cell r="C532">
            <v>1056.5899999999999</v>
          </cell>
          <cell r="D532">
            <v>1479.23</v>
          </cell>
          <cell r="F532">
            <v>634.050000000002</v>
          </cell>
          <cell r="G532">
            <v>887.67</v>
          </cell>
        </row>
        <row r="533">
          <cell r="B533">
            <v>529</v>
          </cell>
          <cell r="C533">
            <v>1058.5899999999999</v>
          </cell>
          <cell r="D533">
            <v>1482.03</v>
          </cell>
          <cell r="F533">
            <v>635.25000000000205</v>
          </cell>
          <cell r="G533">
            <v>889.35</v>
          </cell>
        </row>
        <row r="534">
          <cell r="B534">
            <v>530</v>
          </cell>
          <cell r="C534">
            <v>1060.5899999999999</v>
          </cell>
          <cell r="D534">
            <v>1484.83</v>
          </cell>
          <cell r="F534">
            <v>636.45000000000209</v>
          </cell>
          <cell r="G534">
            <v>891.03</v>
          </cell>
        </row>
        <row r="535">
          <cell r="B535">
            <v>531</v>
          </cell>
          <cell r="C535">
            <v>1062.5899999999999</v>
          </cell>
          <cell r="D535">
            <v>1487.63</v>
          </cell>
          <cell r="F535">
            <v>637.65000000000214</v>
          </cell>
          <cell r="G535">
            <v>892.71</v>
          </cell>
        </row>
        <row r="536">
          <cell r="B536">
            <v>532</v>
          </cell>
          <cell r="C536">
            <v>1064.5899999999999</v>
          </cell>
          <cell r="D536">
            <v>1490.43</v>
          </cell>
          <cell r="F536">
            <v>638.85000000000218</v>
          </cell>
          <cell r="G536">
            <v>894.39</v>
          </cell>
        </row>
        <row r="537">
          <cell r="B537">
            <v>533</v>
          </cell>
          <cell r="C537">
            <v>1066.5899999999999</v>
          </cell>
          <cell r="D537">
            <v>1493.23</v>
          </cell>
          <cell r="F537">
            <v>640.05000000000223</v>
          </cell>
          <cell r="G537">
            <v>896.07</v>
          </cell>
        </row>
        <row r="538">
          <cell r="B538">
            <v>534</v>
          </cell>
          <cell r="C538">
            <v>1068.5899999999999</v>
          </cell>
          <cell r="D538">
            <v>1496.03</v>
          </cell>
          <cell r="F538">
            <v>641.25000000000227</v>
          </cell>
          <cell r="G538">
            <v>897.75</v>
          </cell>
        </row>
        <row r="539">
          <cell r="B539">
            <v>535</v>
          </cell>
          <cell r="C539">
            <v>1070.5899999999999</v>
          </cell>
          <cell r="D539">
            <v>1498.83</v>
          </cell>
          <cell r="F539">
            <v>642.45000000000232</v>
          </cell>
          <cell r="G539">
            <v>899.43</v>
          </cell>
        </row>
        <row r="540">
          <cell r="B540">
            <v>536</v>
          </cell>
          <cell r="C540">
            <v>1072.5899999999999</v>
          </cell>
          <cell r="D540">
            <v>1501.63</v>
          </cell>
          <cell r="F540">
            <v>643.65000000000236</v>
          </cell>
          <cell r="G540">
            <v>901.11</v>
          </cell>
        </row>
        <row r="541">
          <cell r="B541">
            <v>537</v>
          </cell>
          <cell r="C541">
            <v>1074.5899999999999</v>
          </cell>
          <cell r="D541">
            <v>1504.43</v>
          </cell>
          <cell r="F541">
            <v>644.85000000000241</v>
          </cell>
          <cell r="G541">
            <v>902.79</v>
          </cell>
        </row>
        <row r="542">
          <cell r="B542">
            <v>538</v>
          </cell>
          <cell r="C542">
            <v>1076.5899999999999</v>
          </cell>
          <cell r="D542">
            <v>1507.23</v>
          </cell>
          <cell r="F542">
            <v>646.05000000000246</v>
          </cell>
          <cell r="G542">
            <v>904.47</v>
          </cell>
        </row>
        <row r="543">
          <cell r="B543">
            <v>539</v>
          </cell>
          <cell r="C543">
            <v>1078.5899999999999</v>
          </cell>
          <cell r="D543">
            <v>1510.03</v>
          </cell>
          <cell r="F543">
            <v>647.2500000000025</v>
          </cell>
          <cell r="G543">
            <v>906.15</v>
          </cell>
        </row>
        <row r="544">
          <cell r="B544">
            <v>540</v>
          </cell>
          <cell r="C544">
            <v>1080.5899999999999</v>
          </cell>
          <cell r="D544">
            <v>1512.83</v>
          </cell>
          <cell r="F544">
            <v>648.45000000000255</v>
          </cell>
          <cell r="G544">
            <v>907.83</v>
          </cell>
        </row>
        <row r="545">
          <cell r="B545">
            <v>541</v>
          </cell>
          <cell r="C545">
            <v>1082.5899999999999</v>
          </cell>
          <cell r="D545">
            <v>1515.63</v>
          </cell>
          <cell r="F545">
            <v>649.65000000000259</v>
          </cell>
          <cell r="G545">
            <v>909.51</v>
          </cell>
        </row>
        <row r="546">
          <cell r="B546">
            <v>542</v>
          </cell>
          <cell r="C546">
            <v>1084.5899999999999</v>
          </cell>
          <cell r="D546">
            <v>1518.43</v>
          </cell>
          <cell r="F546">
            <v>650.85000000000264</v>
          </cell>
          <cell r="G546">
            <v>911.19</v>
          </cell>
        </row>
        <row r="547">
          <cell r="B547">
            <v>543</v>
          </cell>
          <cell r="C547">
            <v>1086.5899999999999</v>
          </cell>
          <cell r="D547">
            <v>1521.23</v>
          </cell>
          <cell r="F547">
            <v>652.05000000000268</v>
          </cell>
          <cell r="G547">
            <v>912.87</v>
          </cell>
        </row>
        <row r="548">
          <cell r="B548">
            <v>544</v>
          </cell>
          <cell r="C548">
            <v>1088.5899999999999</v>
          </cell>
          <cell r="D548">
            <v>1524.03</v>
          </cell>
          <cell r="F548">
            <v>653.25000000000273</v>
          </cell>
          <cell r="G548">
            <v>914.55</v>
          </cell>
        </row>
        <row r="549">
          <cell r="B549">
            <v>545</v>
          </cell>
          <cell r="C549">
            <v>1090.5899999999999</v>
          </cell>
          <cell r="D549">
            <v>1526.83</v>
          </cell>
          <cell r="F549">
            <v>654.45000000000277</v>
          </cell>
          <cell r="G549">
            <v>916.23</v>
          </cell>
        </row>
        <row r="550">
          <cell r="B550">
            <v>546</v>
          </cell>
          <cell r="C550">
            <v>1092.5899999999999</v>
          </cell>
          <cell r="D550">
            <v>1529.63</v>
          </cell>
          <cell r="F550">
            <v>655.65000000000282</v>
          </cell>
          <cell r="G550">
            <v>917.91</v>
          </cell>
        </row>
        <row r="551">
          <cell r="B551">
            <v>547</v>
          </cell>
          <cell r="C551">
            <v>1094.5899999999999</v>
          </cell>
          <cell r="D551">
            <v>1532.43</v>
          </cell>
          <cell r="F551">
            <v>656.85000000000286</v>
          </cell>
          <cell r="G551">
            <v>919.59</v>
          </cell>
        </row>
        <row r="552">
          <cell r="B552">
            <v>548</v>
          </cell>
          <cell r="C552">
            <v>1096.5899999999999</v>
          </cell>
          <cell r="D552">
            <v>1535.23</v>
          </cell>
          <cell r="F552">
            <v>658.05000000000291</v>
          </cell>
          <cell r="G552">
            <v>921.27</v>
          </cell>
        </row>
        <row r="553">
          <cell r="B553">
            <v>549</v>
          </cell>
          <cell r="C553">
            <v>1098.5899999999999</v>
          </cell>
          <cell r="D553">
            <v>1538.03</v>
          </cell>
          <cell r="F553">
            <v>659.25000000000296</v>
          </cell>
          <cell r="G553">
            <v>922.95</v>
          </cell>
        </row>
        <row r="554">
          <cell r="B554">
            <v>550</v>
          </cell>
          <cell r="C554">
            <v>1100.5899999999999</v>
          </cell>
          <cell r="D554">
            <v>1540.83</v>
          </cell>
          <cell r="F554">
            <v>660.450000000003</v>
          </cell>
          <cell r="G554">
            <v>924.63</v>
          </cell>
        </row>
        <row r="555">
          <cell r="B555">
            <v>551</v>
          </cell>
          <cell r="C555">
            <v>1102.5899999999999</v>
          </cell>
          <cell r="D555">
            <v>1543.63</v>
          </cell>
          <cell r="F555">
            <v>661.65000000000305</v>
          </cell>
          <cell r="G555">
            <v>926.31</v>
          </cell>
        </row>
        <row r="556">
          <cell r="B556">
            <v>552</v>
          </cell>
          <cell r="C556">
            <v>1104.5899999999999</v>
          </cell>
          <cell r="D556">
            <v>1546.43</v>
          </cell>
          <cell r="F556">
            <v>662.85000000000309</v>
          </cell>
          <cell r="G556">
            <v>927.99</v>
          </cell>
        </row>
        <row r="557">
          <cell r="B557">
            <v>553</v>
          </cell>
          <cell r="C557">
            <v>1106.5899999999999</v>
          </cell>
          <cell r="D557">
            <v>1549.23</v>
          </cell>
          <cell r="F557">
            <v>664.05000000000314</v>
          </cell>
          <cell r="G557">
            <v>929.67</v>
          </cell>
        </row>
        <row r="558">
          <cell r="B558">
            <v>554</v>
          </cell>
          <cell r="C558">
            <v>1108.5899999999999</v>
          </cell>
          <cell r="D558">
            <v>1552.03</v>
          </cell>
          <cell r="F558">
            <v>665.25000000000318</v>
          </cell>
          <cell r="G558">
            <v>931.35</v>
          </cell>
        </row>
        <row r="559">
          <cell r="B559">
            <v>555</v>
          </cell>
          <cell r="C559">
            <v>1110.5899999999999</v>
          </cell>
          <cell r="D559">
            <v>1554.83</v>
          </cell>
          <cell r="F559">
            <v>666.45000000000323</v>
          </cell>
          <cell r="G559">
            <v>933.03</v>
          </cell>
        </row>
        <row r="560">
          <cell r="B560">
            <v>556</v>
          </cell>
          <cell r="C560">
            <v>1112.5899999999999</v>
          </cell>
          <cell r="D560">
            <v>1557.63</v>
          </cell>
          <cell r="F560">
            <v>667.65000000000327</v>
          </cell>
          <cell r="G560">
            <v>934.71</v>
          </cell>
        </row>
        <row r="561">
          <cell r="B561">
            <v>557</v>
          </cell>
          <cell r="C561">
            <v>1114.5899999999999</v>
          </cell>
          <cell r="D561">
            <v>1560.43</v>
          </cell>
          <cell r="F561">
            <v>668.85000000000332</v>
          </cell>
          <cell r="G561">
            <v>936.39</v>
          </cell>
        </row>
        <row r="562">
          <cell r="B562">
            <v>558</v>
          </cell>
          <cell r="C562">
            <v>1116.5899999999999</v>
          </cell>
          <cell r="D562">
            <v>1563.23</v>
          </cell>
          <cell r="F562">
            <v>670.05000000000337</v>
          </cell>
          <cell r="G562">
            <v>938.07</v>
          </cell>
        </row>
        <row r="563">
          <cell r="B563">
            <v>559</v>
          </cell>
          <cell r="C563">
            <v>1118.5899999999999</v>
          </cell>
          <cell r="D563">
            <v>1566.03</v>
          </cell>
          <cell r="F563">
            <v>671.25000000000341</v>
          </cell>
          <cell r="G563">
            <v>939.75</v>
          </cell>
        </row>
        <row r="564">
          <cell r="B564">
            <v>560</v>
          </cell>
          <cell r="C564">
            <v>1120.5899999999999</v>
          </cell>
          <cell r="D564">
            <v>1568.83</v>
          </cell>
          <cell r="F564">
            <v>672.45000000000346</v>
          </cell>
          <cell r="G564">
            <v>941.43</v>
          </cell>
        </row>
        <row r="565">
          <cell r="B565">
            <v>561</v>
          </cell>
          <cell r="C565">
            <v>1122.5899999999999</v>
          </cell>
          <cell r="D565">
            <v>1571.63</v>
          </cell>
          <cell r="F565">
            <v>673.6500000000035</v>
          </cell>
          <cell r="G565">
            <v>943.11</v>
          </cell>
        </row>
        <row r="566">
          <cell r="B566">
            <v>562</v>
          </cell>
          <cell r="C566">
            <v>1124.5899999999999</v>
          </cell>
          <cell r="D566">
            <v>1574.43</v>
          </cell>
          <cell r="F566">
            <v>674.85000000000355</v>
          </cell>
          <cell r="G566">
            <v>944.79</v>
          </cell>
        </row>
        <row r="567">
          <cell r="B567">
            <v>563</v>
          </cell>
          <cell r="C567">
            <v>1126.5899999999999</v>
          </cell>
          <cell r="D567">
            <v>1577.23</v>
          </cell>
          <cell r="F567">
            <v>676.05000000000359</v>
          </cell>
          <cell r="G567">
            <v>946.47</v>
          </cell>
        </row>
        <row r="568">
          <cell r="B568">
            <v>564</v>
          </cell>
          <cell r="C568">
            <v>1128.5899999999999</v>
          </cell>
          <cell r="D568">
            <v>1580.03</v>
          </cell>
          <cell r="F568">
            <v>677.25000000000364</v>
          </cell>
          <cell r="G568">
            <v>948.15</v>
          </cell>
        </row>
        <row r="569">
          <cell r="B569">
            <v>565</v>
          </cell>
          <cell r="C569">
            <v>1130.5899999999999</v>
          </cell>
          <cell r="D569">
            <v>1582.83</v>
          </cell>
          <cell r="F569">
            <v>678.45000000000368</v>
          </cell>
          <cell r="G569">
            <v>949.83</v>
          </cell>
        </row>
        <row r="570">
          <cell r="B570">
            <v>566</v>
          </cell>
          <cell r="C570">
            <v>1132.5899999999999</v>
          </cell>
          <cell r="D570">
            <v>1585.63</v>
          </cell>
          <cell r="F570">
            <v>679.65000000000373</v>
          </cell>
          <cell r="G570">
            <v>951.51</v>
          </cell>
        </row>
        <row r="571">
          <cell r="B571">
            <v>567</v>
          </cell>
          <cell r="C571">
            <v>1134.5899999999999</v>
          </cell>
          <cell r="D571">
            <v>1588.43</v>
          </cell>
          <cell r="F571">
            <v>680.85000000000377</v>
          </cell>
          <cell r="G571">
            <v>953.19</v>
          </cell>
        </row>
        <row r="572">
          <cell r="B572">
            <v>568</v>
          </cell>
          <cell r="C572">
            <v>1136.5899999999999</v>
          </cell>
          <cell r="D572">
            <v>1591.23</v>
          </cell>
          <cell r="F572">
            <v>682.05000000000382</v>
          </cell>
          <cell r="G572">
            <v>954.87</v>
          </cell>
        </row>
        <row r="573">
          <cell r="B573">
            <v>569</v>
          </cell>
          <cell r="C573">
            <v>1138.5899999999999</v>
          </cell>
          <cell r="D573">
            <v>1594.03</v>
          </cell>
          <cell r="F573">
            <v>683.25000000000387</v>
          </cell>
          <cell r="G573">
            <v>956.55</v>
          </cell>
        </row>
        <row r="574">
          <cell r="B574">
            <v>570</v>
          </cell>
          <cell r="C574">
            <v>1140.5899999999999</v>
          </cell>
          <cell r="D574">
            <v>1596.83</v>
          </cell>
          <cell r="F574">
            <v>684.45000000000391</v>
          </cell>
          <cell r="G574">
            <v>958.23</v>
          </cell>
        </row>
        <row r="575">
          <cell r="B575">
            <v>571</v>
          </cell>
          <cell r="C575">
            <v>1142.5899999999999</v>
          </cell>
          <cell r="D575">
            <v>1599.63</v>
          </cell>
          <cell r="F575">
            <v>685.65000000000396</v>
          </cell>
          <cell r="G575">
            <v>959.91</v>
          </cell>
        </row>
        <row r="576">
          <cell r="B576">
            <v>572</v>
          </cell>
          <cell r="C576">
            <v>1144.5899999999999</v>
          </cell>
          <cell r="D576">
            <v>1602.43</v>
          </cell>
          <cell r="F576">
            <v>686.850000000004</v>
          </cell>
          <cell r="G576">
            <v>961.59</v>
          </cell>
        </row>
        <row r="577">
          <cell r="B577">
            <v>573</v>
          </cell>
          <cell r="C577">
            <v>1146.5899999999999</v>
          </cell>
          <cell r="D577">
            <v>1605.23</v>
          </cell>
          <cell r="F577">
            <v>688.05000000000405</v>
          </cell>
          <cell r="G577">
            <v>963.27</v>
          </cell>
        </row>
        <row r="578">
          <cell r="B578">
            <v>574</v>
          </cell>
          <cell r="C578">
            <v>1148.5899999999999</v>
          </cell>
          <cell r="D578">
            <v>1608.03</v>
          </cell>
          <cell r="F578">
            <v>689.25000000000409</v>
          </cell>
          <cell r="G578">
            <v>964.95</v>
          </cell>
        </row>
        <row r="579">
          <cell r="B579">
            <v>575</v>
          </cell>
          <cell r="C579">
            <v>1150.5899999999999</v>
          </cell>
          <cell r="D579">
            <v>1610.83</v>
          </cell>
          <cell r="F579">
            <v>690.45000000000414</v>
          </cell>
          <cell r="G579">
            <v>966.63</v>
          </cell>
        </row>
        <row r="580">
          <cell r="B580">
            <v>576</v>
          </cell>
          <cell r="C580">
            <v>1152.5899999999999</v>
          </cell>
          <cell r="D580">
            <v>1613.63</v>
          </cell>
          <cell r="F580">
            <v>691.65000000000418</v>
          </cell>
          <cell r="G580">
            <v>968.31</v>
          </cell>
        </row>
        <row r="581">
          <cell r="B581">
            <v>577</v>
          </cell>
          <cell r="C581">
            <v>1154.5899999999999</v>
          </cell>
          <cell r="D581">
            <v>1616.43</v>
          </cell>
          <cell r="F581">
            <v>692.85000000000423</v>
          </cell>
          <cell r="G581">
            <v>969.99</v>
          </cell>
        </row>
        <row r="582">
          <cell r="B582">
            <v>578</v>
          </cell>
          <cell r="C582">
            <v>1156.5899999999999</v>
          </cell>
          <cell r="D582">
            <v>1619.23</v>
          </cell>
          <cell r="F582">
            <v>694.05000000000427</v>
          </cell>
          <cell r="G582">
            <v>971.67</v>
          </cell>
        </row>
        <row r="583">
          <cell r="B583">
            <v>579</v>
          </cell>
          <cell r="C583">
            <v>1158.5899999999999</v>
          </cell>
          <cell r="D583">
            <v>1622.03</v>
          </cell>
          <cell r="F583">
            <v>695.25000000000432</v>
          </cell>
          <cell r="G583">
            <v>973.35</v>
          </cell>
        </row>
        <row r="584">
          <cell r="B584">
            <v>580</v>
          </cell>
          <cell r="C584">
            <v>1160.5899999999999</v>
          </cell>
          <cell r="D584">
            <v>1624.83</v>
          </cell>
          <cell r="F584">
            <v>696.45000000000437</v>
          </cell>
          <cell r="G584">
            <v>975.03</v>
          </cell>
        </row>
        <row r="585">
          <cell r="B585">
            <v>581</v>
          </cell>
          <cell r="C585">
            <v>1162.5899999999999</v>
          </cell>
          <cell r="D585">
            <v>1627.63</v>
          </cell>
          <cell r="F585">
            <v>697.65000000000441</v>
          </cell>
          <cell r="G585">
            <v>976.71</v>
          </cell>
        </row>
        <row r="586">
          <cell r="B586">
            <v>582</v>
          </cell>
          <cell r="C586">
            <v>1164.5899999999999</v>
          </cell>
          <cell r="D586">
            <v>1630.43</v>
          </cell>
          <cell r="F586">
            <v>698.85000000000446</v>
          </cell>
          <cell r="G586">
            <v>978.39</v>
          </cell>
        </row>
        <row r="587">
          <cell r="B587">
            <v>583</v>
          </cell>
          <cell r="C587">
            <v>1166.5899999999999</v>
          </cell>
          <cell r="D587">
            <v>1633.23</v>
          </cell>
          <cell r="F587">
            <v>700.0500000000045</v>
          </cell>
          <cell r="G587">
            <v>980.07</v>
          </cell>
        </row>
        <row r="588">
          <cell r="B588">
            <v>584</v>
          </cell>
          <cell r="C588">
            <v>1168.5899999999999</v>
          </cell>
          <cell r="D588">
            <v>1636.03</v>
          </cell>
          <cell r="F588">
            <v>701.25000000000455</v>
          </cell>
          <cell r="G588">
            <v>981.75</v>
          </cell>
        </row>
        <row r="589">
          <cell r="B589">
            <v>585</v>
          </cell>
          <cell r="C589">
            <v>1170.5899999999999</v>
          </cell>
          <cell r="D589">
            <v>1638.83</v>
          </cell>
          <cell r="F589">
            <v>702.45000000000459</v>
          </cell>
          <cell r="G589">
            <v>983.43</v>
          </cell>
        </row>
        <row r="590">
          <cell r="B590">
            <v>586</v>
          </cell>
          <cell r="C590">
            <v>1172.5899999999999</v>
          </cell>
          <cell r="D590">
            <v>1641.63</v>
          </cell>
          <cell r="F590">
            <v>703.65000000000464</v>
          </cell>
          <cell r="G590">
            <v>985.11</v>
          </cell>
        </row>
        <row r="591">
          <cell r="B591">
            <v>587</v>
          </cell>
          <cell r="C591">
            <v>1174.5899999999999</v>
          </cell>
          <cell r="D591">
            <v>1644.43</v>
          </cell>
          <cell r="F591">
            <v>704.85000000000468</v>
          </cell>
          <cell r="G591">
            <v>986.79</v>
          </cell>
        </row>
        <row r="592">
          <cell r="B592">
            <v>588</v>
          </cell>
          <cell r="C592">
            <v>1176.5899999999999</v>
          </cell>
          <cell r="D592">
            <v>1647.23</v>
          </cell>
          <cell r="F592">
            <v>706.05000000000473</v>
          </cell>
          <cell r="G592">
            <v>988.47</v>
          </cell>
        </row>
        <row r="593">
          <cell r="B593">
            <v>589</v>
          </cell>
          <cell r="C593">
            <v>1178.5899999999999</v>
          </cell>
          <cell r="D593">
            <v>1650.03</v>
          </cell>
          <cell r="F593">
            <v>707.25000000000477</v>
          </cell>
          <cell r="G593">
            <v>990.15</v>
          </cell>
        </row>
        <row r="594">
          <cell r="B594">
            <v>590</v>
          </cell>
          <cell r="C594">
            <v>1180.5899999999999</v>
          </cell>
          <cell r="D594">
            <v>1652.83</v>
          </cell>
          <cell r="F594">
            <v>708.45000000000482</v>
          </cell>
          <cell r="G594">
            <v>991.83</v>
          </cell>
        </row>
        <row r="595">
          <cell r="B595">
            <v>591</v>
          </cell>
          <cell r="C595">
            <v>1182.5899999999999</v>
          </cell>
          <cell r="D595">
            <v>1655.63</v>
          </cell>
          <cell r="F595">
            <v>709.65000000000487</v>
          </cell>
          <cell r="G595">
            <v>993.51</v>
          </cell>
        </row>
        <row r="596">
          <cell r="B596">
            <v>592</v>
          </cell>
          <cell r="C596">
            <v>1184.5899999999999</v>
          </cell>
          <cell r="D596">
            <v>1658.43</v>
          </cell>
          <cell r="F596">
            <v>710.85000000000491</v>
          </cell>
          <cell r="G596">
            <v>995.19</v>
          </cell>
        </row>
        <row r="597">
          <cell r="B597">
            <v>593</v>
          </cell>
          <cell r="C597">
            <v>1186.5899999999999</v>
          </cell>
          <cell r="D597">
            <v>1661.23</v>
          </cell>
          <cell r="F597">
            <v>712.05000000000496</v>
          </cell>
          <cell r="G597">
            <v>996.87</v>
          </cell>
        </row>
        <row r="598">
          <cell r="B598">
            <v>594</v>
          </cell>
          <cell r="C598">
            <v>1188.5899999999999</v>
          </cell>
          <cell r="D598">
            <v>1664.03</v>
          </cell>
          <cell r="F598">
            <v>713.250000000005</v>
          </cell>
          <cell r="G598">
            <v>998.55</v>
          </cell>
        </row>
        <row r="599">
          <cell r="B599">
            <v>595</v>
          </cell>
          <cell r="C599">
            <v>1190.5899999999999</v>
          </cell>
          <cell r="D599">
            <v>1666.83</v>
          </cell>
          <cell r="F599">
            <v>714.45000000000505</v>
          </cell>
          <cell r="G599">
            <v>1000.23</v>
          </cell>
        </row>
        <row r="600">
          <cell r="B600">
            <v>596</v>
          </cell>
          <cell r="C600">
            <v>1192.5899999999999</v>
          </cell>
          <cell r="D600">
            <v>1669.63</v>
          </cell>
          <cell r="F600">
            <v>715.65000000000509</v>
          </cell>
          <cell r="G600">
            <v>1001.91</v>
          </cell>
        </row>
        <row r="601">
          <cell r="B601">
            <v>597</v>
          </cell>
          <cell r="C601">
            <v>1194.5899999999999</v>
          </cell>
          <cell r="D601">
            <v>1672.43</v>
          </cell>
          <cell r="F601">
            <v>716.85000000000514</v>
          </cell>
          <cell r="G601">
            <v>1003.59</v>
          </cell>
        </row>
        <row r="602">
          <cell r="B602">
            <v>598</v>
          </cell>
          <cell r="C602">
            <v>1196.5899999999999</v>
          </cell>
          <cell r="D602">
            <v>1675.23</v>
          </cell>
          <cell r="F602">
            <v>718.05000000000518</v>
          </cell>
          <cell r="G602">
            <v>1005.27</v>
          </cell>
        </row>
        <row r="603">
          <cell r="B603">
            <v>599</v>
          </cell>
          <cell r="C603">
            <v>1198.5899999999999</v>
          </cell>
          <cell r="D603">
            <v>1678.03</v>
          </cell>
          <cell r="F603">
            <v>719.25000000000523</v>
          </cell>
          <cell r="G603">
            <v>1006.95</v>
          </cell>
        </row>
        <row r="604">
          <cell r="B604">
            <v>600</v>
          </cell>
          <cell r="C604">
            <v>1200.5899999999999</v>
          </cell>
          <cell r="D604">
            <v>1680.83</v>
          </cell>
          <cell r="F604">
            <v>720.45000000000528</v>
          </cell>
          <cell r="G604">
            <v>1008.63</v>
          </cell>
        </row>
        <row r="605">
          <cell r="B605">
            <v>601</v>
          </cell>
          <cell r="C605">
            <v>1202.5899999999999</v>
          </cell>
          <cell r="D605">
            <v>1683.63</v>
          </cell>
          <cell r="F605">
            <v>721.65000000000532</v>
          </cell>
          <cell r="G605">
            <v>1010.31</v>
          </cell>
        </row>
        <row r="606">
          <cell r="B606">
            <v>602</v>
          </cell>
          <cell r="C606">
            <v>1204.5899999999999</v>
          </cell>
          <cell r="D606">
            <v>1686.43</v>
          </cell>
          <cell r="F606">
            <v>722.85000000000537</v>
          </cell>
          <cell r="G606">
            <v>1011.99</v>
          </cell>
        </row>
        <row r="607">
          <cell r="B607">
            <v>603</v>
          </cell>
          <cell r="C607">
            <v>1206.5899999999999</v>
          </cell>
          <cell r="D607">
            <v>1689.23</v>
          </cell>
          <cell r="F607">
            <v>724.05000000000541</v>
          </cell>
          <cell r="G607">
            <v>1013.67</v>
          </cell>
        </row>
        <row r="608">
          <cell r="B608">
            <v>604</v>
          </cell>
          <cell r="C608">
            <v>1208.5899999999999</v>
          </cell>
          <cell r="D608">
            <v>1692.03</v>
          </cell>
          <cell r="F608">
            <v>725.25000000000546</v>
          </cell>
          <cell r="G608">
            <v>1015.35</v>
          </cell>
        </row>
        <row r="609">
          <cell r="B609">
            <v>605</v>
          </cell>
          <cell r="C609">
            <v>1210.5899999999999</v>
          </cell>
          <cell r="D609">
            <v>1694.83</v>
          </cell>
          <cell r="F609">
            <v>726.4500000000055</v>
          </cell>
          <cell r="G609">
            <v>1017.03</v>
          </cell>
        </row>
        <row r="610">
          <cell r="B610">
            <v>606</v>
          </cell>
          <cell r="C610">
            <v>1212.5899999999999</v>
          </cell>
          <cell r="D610">
            <v>1697.63</v>
          </cell>
          <cell r="F610">
            <v>727.65000000000555</v>
          </cell>
          <cell r="G610">
            <v>1018.71</v>
          </cell>
        </row>
        <row r="611">
          <cell r="B611">
            <v>607</v>
          </cell>
          <cell r="C611">
            <v>1214.5899999999999</v>
          </cell>
          <cell r="D611">
            <v>1700.43</v>
          </cell>
          <cell r="F611">
            <v>728.85000000000559</v>
          </cell>
          <cell r="G611">
            <v>1020.39</v>
          </cell>
        </row>
        <row r="612">
          <cell r="B612">
            <v>608</v>
          </cell>
          <cell r="C612">
            <v>1216.5899999999999</v>
          </cell>
          <cell r="D612">
            <v>1703.23</v>
          </cell>
          <cell r="F612">
            <v>730.05000000000564</v>
          </cell>
          <cell r="G612">
            <v>1022.07</v>
          </cell>
        </row>
        <row r="613">
          <cell r="B613">
            <v>609</v>
          </cell>
          <cell r="C613">
            <v>1218.5899999999999</v>
          </cell>
          <cell r="D613">
            <v>1706.03</v>
          </cell>
          <cell r="F613">
            <v>731.25000000000568</v>
          </cell>
          <cell r="G613">
            <v>1023.75</v>
          </cell>
        </row>
        <row r="614">
          <cell r="B614">
            <v>610</v>
          </cell>
          <cell r="C614">
            <v>1220.5899999999999</v>
          </cell>
          <cell r="D614">
            <v>1708.83</v>
          </cell>
          <cell r="F614">
            <v>732.45000000000573</v>
          </cell>
          <cell r="G614">
            <v>1025.43</v>
          </cell>
        </row>
        <row r="615">
          <cell r="B615">
            <v>611</v>
          </cell>
          <cell r="C615">
            <v>1222.5899999999999</v>
          </cell>
          <cell r="D615">
            <v>1711.63</v>
          </cell>
          <cell r="F615">
            <v>733.65000000000578</v>
          </cell>
          <cell r="G615">
            <v>1027.1099999999999</v>
          </cell>
        </row>
        <row r="616">
          <cell r="B616">
            <v>612</v>
          </cell>
          <cell r="C616">
            <v>1224.5899999999999</v>
          </cell>
          <cell r="D616">
            <v>1714.43</v>
          </cell>
          <cell r="F616">
            <v>734.85000000000582</v>
          </cell>
          <cell r="G616">
            <v>1028.79</v>
          </cell>
        </row>
        <row r="617">
          <cell r="B617">
            <v>613</v>
          </cell>
          <cell r="C617">
            <v>1226.5899999999999</v>
          </cell>
          <cell r="D617">
            <v>1717.23</v>
          </cell>
          <cell r="F617">
            <v>736.05000000000587</v>
          </cell>
          <cell r="G617">
            <v>1030.47</v>
          </cell>
        </row>
        <row r="618">
          <cell r="B618">
            <v>614</v>
          </cell>
          <cell r="C618">
            <v>1228.5899999999999</v>
          </cell>
          <cell r="D618">
            <v>1720.03</v>
          </cell>
          <cell r="F618">
            <v>737.25000000000591</v>
          </cell>
          <cell r="G618">
            <v>1032.1500000000001</v>
          </cell>
        </row>
        <row r="619">
          <cell r="B619">
            <v>615</v>
          </cell>
          <cell r="C619">
            <v>1230.5899999999999</v>
          </cell>
          <cell r="D619">
            <v>1722.83</v>
          </cell>
          <cell r="F619">
            <v>738.45000000000596</v>
          </cell>
          <cell r="G619">
            <v>1033.83</v>
          </cell>
        </row>
        <row r="620">
          <cell r="B620">
            <v>616</v>
          </cell>
          <cell r="C620">
            <v>1232.5899999999999</v>
          </cell>
          <cell r="D620">
            <v>1725.63</v>
          </cell>
          <cell r="F620">
            <v>739.650000000006</v>
          </cell>
          <cell r="G620">
            <v>1035.51</v>
          </cell>
        </row>
        <row r="621">
          <cell r="B621">
            <v>617</v>
          </cell>
          <cell r="C621">
            <v>1234.5899999999999</v>
          </cell>
          <cell r="D621">
            <v>1728.43</v>
          </cell>
          <cell r="F621">
            <v>740.85000000000605</v>
          </cell>
          <cell r="G621">
            <v>1037.19</v>
          </cell>
        </row>
        <row r="622">
          <cell r="B622">
            <v>618</v>
          </cell>
          <cell r="C622">
            <v>1236.5899999999999</v>
          </cell>
          <cell r="D622">
            <v>1731.23</v>
          </cell>
          <cell r="F622">
            <v>742.05000000000609</v>
          </cell>
          <cell r="G622">
            <v>1038.8699999999999</v>
          </cell>
        </row>
        <row r="623">
          <cell r="B623">
            <v>619</v>
          </cell>
          <cell r="C623">
            <v>1238.5899999999999</v>
          </cell>
          <cell r="D623">
            <v>1734.03</v>
          </cell>
          <cell r="F623">
            <v>743.25000000000614</v>
          </cell>
          <cell r="G623">
            <v>1040.55</v>
          </cell>
        </row>
        <row r="624">
          <cell r="B624">
            <v>620</v>
          </cell>
          <cell r="C624">
            <v>1240.5899999999999</v>
          </cell>
          <cell r="D624">
            <v>1736.83</v>
          </cell>
          <cell r="F624">
            <v>744.45000000000618</v>
          </cell>
          <cell r="G624">
            <v>1042.23</v>
          </cell>
        </row>
        <row r="625">
          <cell r="B625">
            <v>621</v>
          </cell>
          <cell r="C625">
            <v>1242.5899999999999</v>
          </cell>
          <cell r="D625">
            <v>1739.63</v>
          </cell>
          <cell r="F625">
            <v>745.65000000000623</v>
          </cell>
          <cell r="G625">
            <v>1043.9100000000001</v>
          </cell>
        </row>
        <row r="626">
          <cell r="B626">
            <v>622</v>
          </cell>
          <cell r="C626">
            <v>1244.5899999999999</v>
          </cell>
          <cell r="D626">
            <v>1742.43</v>
          </cell>
          <cell r="F626">
            <v>746.85000000000628</v>
          </cell>
          <cell r="G626">
            <v>1045.5899999999999</v>
          </cell>
        </row>
        <row r="627">
          <cell r="B627">
            <v>623</v>
          </cell>
          <cell r="C627">
            <v>1246.5899999999999</v>
          </cell>
          <cell r="D627">
            <v>1745.23</v>
          </cell>
          <cell r="F627">
            <v>748.05000000000632</v>
          </cell>
          <cell r="G627">
            <v>1047.27</v>
          </cell>
        </row>
        <row r="628">
          <cell r="B628">
            <v>624</v>
          </cell>
          <cell r="C628">
            <v>1248.5899999999999</v>
          </cell>
          <cell r="D628">
            <v>1748.03</v>
          </cell>
          <cell r="F628">
            <v>749.25000000000637</v>
          </cell>
          <cell r="G628">
            <v>1048.95</v>
          </cell>
        </row>
        <row r="629">
          <cell r="B629">
            <v>625</v>
          </cell>
          <cell r="C629">
            <v>1250.5899999999999</v>
          </cell>
          <cell r="D629">
            <v>1750.83</v>
          </cell>
          <cell r="F629">
            <v>750.45000000000641</v>
          </cell>
          <cell r="G629">
            <v>1050.6300000000001</v>
          </cell>
        </row>
        <row r="630">
          <cell r="B630">
            <v>626</v>
          </cell>
          <cell r="C630">
            <v>1252.5899999999999</v>
          </cell>
          <cell r="D630">
            <v>1753.63</v>
          </cell>
          <cell r="F630">
            <v>751.65000000000646</v>
          </cell>
          <cell r="G630">
            <v>1052.31</v>
          </cell>
        </row>
        <row r="631">
          <cell r="B631">
            <v>627</v>
          </cell>
          <cell r="C631">
            <v>1254.5899999999999</v>
          </cell>
          <cell r="D631">
            <v>1756.43</v>
          </cell>
          <cell r="F631">
            <v>752.8500000000065</v>
          </cell>
          <cell r="G631">
            <v>1053.99</v>
          </cell>
        </row>
        <row r="632">
          <cell r="B632">
            <v>628</v>
          </cell>
          <cell r="C632">
            <v>1256.5899999999999</v>
          </cell>
          <cell r="D632">
            <v>1759.23</v>
          </cell>
          <cell r="F632">
            <v>754.05000000000655</v>
          </cell>
          <cell r="G632">
            <v>1055.67</v>
          </cell>
        </row>
        <row r="633">
          <cell r="B633">
            <v>629</v>
          </cell>
          <cell r="C633">
            <v>1258.5899999999999</v>
          </cell>
          <cell r="D633">
            <v>1762.03</v>
          </cell>
          <cell r="F633">
            <v>755.25000000000659</v>
          </cell>
          <cell r="G633">
            <v>1057.3499999999999</v>
          </cell>
        </row>
        <row r="634">
          <cell r="B634">
            <v>630</v>
          </cell>
          <cell r="C634">
            <v>1260.5899999999999</v>
          </cell>
          <cell r="D634">
            <v>1764.83</v>
          </cell>
          <cell r="F634">
            <v>756.45000000000664</v>
          </cell>
          <cell r="G634">
            <v>1059.03</v>
          </cell>
        </row>
        <row r="635">
          <cell r="B635">
            <v>631</v>
          </cell>
          <cell r="C635">
            <v>1262.5899999999999</v>
          </cell>
          <cell r="D635">
            <v>1767.63</v>
          </cell>
          <cell r="F635">
            <v>757.65000000000668</v>
          </cell>
          <cell r="G635">
            <v>1060.71</v>
          </cell>
        </row>
        <row r="636">
          <cell r="B636">
            <v>632</v>
          </cell>
          <cell r="C636">
            <v>1264.5899999999999</v>
          </cell>
          <cell r="D636">
            <v>1770.43</v>
          </cell>
          <cell r="F636">
            <v>758.85000000000673</v>
          </cell>
          <cell r="G636">
            <v>1062.3900000000001</v>
          </cell>
        </row>
        <row r="637">
          <cell r="B637">
            <v>633</v>
          </cell>
          <cell r="C637">
            <v>1266.5899999999999</v>
          </cell>
          <cell r="D637">
            <v>1773.23</v>
          </cell>
          <cell r="F637">
            <v>760.05000000000678</v>
          </cell>
          <cell r="G637">
            <v>1064.07</v>
          </cell>
        </row>
        <row r="638">
          <cell r="B638">
            <v>634</v>
          </cell>
          <cell r="C638">
            <v>1268.5899999999999</v>
          </cell>
          <cell r="D638">
            <v>1776.03</v>
          </cell>
          <cell r="F638">
            <v>761.25000000000682</v>
          </cell>
          <cell r="G638">
            <v>1065.75</v>
          </cell>
        </row>
        <row r="639">
          <cell r="B639">
            <v>635</v>
          </cell>
          <cell r="C639">
            <v>1270.5899999999999</v>
          </cell>
          <cell r="D639">
            <v>1778.83</v>
          </cell>
          <cell r="F639">
            <v>762.45000000000687</v>
          </cell>
          <cell r="G639">
            <v>1067.43</v>
          </cell>
        </row>
        <row r="640">
          <cell r="B640">
            <v>636</v>
          </cell>
          <cell r="C640">
            <v>1272.5899999999999</v>
          </cell>
          <cell r="D640">
            <v>1781.63</v>
          </cell>
          <cell r="F640">
            <v>763.65000000000691</v>
          </cell>
          <cell r="G640">
            <v>1069.1099999999999</v>
          </cell>
        </row>
        <row r="641">
          <cell r="B641">
            <v>637</v>
          </cell>
          <cell r="C641">
            <v>1274.5899999999999</v>
          </cell>
          <cell r="D641">
            <v>1784.43</v>
          </cell>
          <cell r="F641">
            <v>764.85000000000696</v>
          </cell>
          <cell r="G641">
            <v>1070.79</v>
          </cell>
        </row>
        <row r="642">
          <cell r="B642">
            <v>638</v>
          </cell>
          <cell r="C642">
            <v>1276.5899999999999</v>
          </cell>
          <cell r="D642">
            <v>1787.23</v>
          </cell>
          <cell r="F642">
            <v>766.050000000007</v>
          </cell>
          <cell r="G642">
            <v>1072.47</v>
          </cell>
        </row>
        <row r="643">
          <cell r="B643">
            <v>639</v>
          </cell>
          <cell r="C643">
            <v>1278.5899999999999</v>
          </cell>
          <cell r="D643">
            <v>1790.03</v>
          </cell>
          <cell r="F643">
            <v>767.25000000000705</v>
          </cell>
          <cell r="G643">
            <v>1074.1500000000001</v>
          </cell>
        </row>
        <row r="644">
          <cell r="B644">
            <v>640</v>
          </cell>
          <cell r="C644">
            <v>1280.5899999999999</v>
          </cell>
          <cell r="D644">
            <v>1792.83</v>
          </cell>
          <cell r="F644">
            <v>768.45000000000709</v>
          </cell>
          <cell r="G644">
            <v>1075.83</v>
          </cell>
        </row>
        <row r="645">
          <cell r="B645">
            <v>641</v>
          </cell>
          <cell r="C645">
            <v>1282.5899999999999</v>
          </cell>
          <cell r="D645">
            <v>1795.63</v>
          </cell>
          <cell r="F645">
            <v>769.65000000000714</v>
          </cell>
          <cell r="G645">
            <v>1077.51</v>
          </cell>
        </row>
        <row r="646">
          <cell r="B646">
            <v>642</v>
          </cell>
          <cell r="C646">
            <v>1284.5899999999999</v>
          </cell>
          <cell r="D646">
            <v>1798.43</v>
          </cell>
          <cell r="F646">
            <v>770.85000000000719</v>
          </cell>
          <cell r="G646">
            <v>1079.19</v>
          </cell>
        </row>
        <row r="647">
          <cell r="B647">
            <v>643</v>
          </cell>
          <cell r="C647">
            <v>1286.5899999999999</v>
          </cell>
          <cell r="D647">
            <v>1801.23</v>
          </cell>
          <cell r="F647">
            <v>772.05000000000723</v>
          </cell>
          <cell r="G647">
            <v>1080.8699999999999</v>
          </cell>
        </row>
        <row r="648">
          <cell r="B648">
            <v>644</v>
          </cell>
          <cell r="C648">
            <v>1288.5899999999999</v>
          </cell>
          <cell r="D648">
            <v>1804.03</v>
          </cell>
          <cell r="F648">
            <v>773.25000000000728</v>
          </cell>
          <cell r="G648">
            <v>1082.55</v>
          </cell>
        </row>
        <row r="649">
          <cell r="B649">
            <v>645</v>
          </cell>
          <cell r="C649">
            <v>1290.5899999999999</v>
          </cell>
          <cell r="D649">
            <v>1806.83</v>
          </cell>
          <cell r="F649">
            <v>774.45000000000732</v>
          </cell>
          <cell r="G649">
            <v>1084.23</v>
          </cell>
        </row>
        <row r="650">
          <cell r="B650">
            <v>646</v>
          </cell>
          <cell r="C650">
            <v>1292.5899999999999</v>
          </cell>
          <cell r="D650">
            <v>1809.63</v>
          </cell>
          <cell r="F650">
            <v>775.65000000000737</v>
          </cell>
          <cell r="G650">
            <v>1085.9100000000001</v>
          </cell>
        </row>
        <row r="651">
          <cell r="B651">
            <v>647</v>
          </cell>
          <cell r="C651">
            <v>1294.5899999999999</v>
          </cell>
          <cell r="D651">
            <v>1812.43</v>
          </cell>
          <cell r="F651">
            <v>776.85000000000741</v>
          </cell>
          <cell r="G651">
            <v>1087.5899999999999</v>
          </cell>
        </row>
        <row r="652">
          <cell r="B652">
            <v>648</v>
          </cell>
          <cell r="C652">
            <v>1296.5899999999999</v>
          </cell>
          <cell r="D652">
            <v>1815.23</v>
          </cell>
          <cell r="F652">
            <v>778.05000000000746</v>
          </cell>
          <cell r="G652">
            <v>1089.27</v>
          </cell>
        </row>
        <row r="653">
          <cell r="B653">
            <v>649</v>
          </cell>
          <cell r="C653">
            <v>1298.5899999999999</v>
          </cell>
          <cell r="D653">
            <v>1818.03</v>
          </cell>
          <cell r="F653">
            <v>779.2500000000075</v>
          </cell>
          <cell r="G653">
            <v>1090.95</v>
          </cell>
        </row>
        <row r="654">
          <cell r="B654">
            <v>650</v>
          </cell>
          <cell r="C654">
            <v>1300.5899999999999</v>
          </cell>
          <cell r="D654">
            <v>1820.83</v>
          </cell>
          <cell r="F654">
            <v>780.45000000000755</v>
          </cell>
          <cell r="G654">
            <v>1092.6300000000001</v>
          </cell>
        </row>
        <row r="655">
          <cell r="B655">
            <v>651</v>
          </cell>
          <cell r="C655">
            <v>1302.5899999999999</v>
          </cell>
          <cell r="D655">
            <v>1823.63</v>
          </cell>
          <cell r="F655">
            <v>781.65000000000759</v>
          </cell>
          <cell r="G655">
            <v>1094.31</v>
          </cell>
        </row>
        <row r="656">
          <cell r="B656">
            <v>652</v>
          </cell>
          <cell r="C656">
            <v>1304.5899999999999</v>
          </cell>
          <cell r="D656">
            <v>1826.43</v>
          </cell>
          <cell r="F656">
            <v>782.85000000000764</v>
          </cell>
          <cell r="G656">
            <v>1095.99</v>
          </cell>
        </row>
        <row r="657">
          <cell r="B657">
            <v>653</v>
          </cell>
          <cell r="C657">
            <v>1306.5899999999999</v>
          </cell>
          <cell r="D657">
            <v>1829.23</v>
          </cell>
          <cell r="F657">
            <v>784.05000000000769</v>
          </cell>
          <cell r="G657">
            <v>1097.67</v>
          </cell>
        </row>
        <row r="658">
          <cell r="B658">
            <v>654</v>
          </cell>
          <cell r="C658">
            <v>1308.5899999999999</v>
          </cell>
          <cell r="D658">
            <v>1832.03</v>
          </cell>
          <cell r="F658">
            <v>785.25000000000773</v>
          </cell>
          <cell r="G658">
            <v>1099.3499999999999</v>
          </cell>
        </row>
        <row r="659">
          <cell r="B659">
            <v>655</v>
          </cell>
          <cell r="C659">
            <v>1310.5899999999999</v>
          </cell>
          <cell r="D659">
            <v>1834.83</v>
          </cell>
          <cell r="F659">
            <v>786.45000000000778</v>
          </cell>
          <cell r="G659">
            <v>1101.03</v>
          </cell>
        </row>
        <row r="660">
          <cell r="B660">
            <v>656</v>
          </cell>
          <cell r="C660">
            <v>1312.59</v>
          </cell>
          <cell r="D660">
            <v>1837.63</v>
          </cell>
          <cell r="F660">
            <v>787.65000000000782</v>
          </cell>
          <cell r="G660">
            <v>1102.71</v>
          </cell>
        </row>
        <row r="661">
          <cell r="B661">
            <v>657</v>
          </cell>
          <cell r="C661">
            <v>1314.59</v>
          </cell>
          <cell r="D661">
            <v>1840.43</v>
          </cell>
          <cell r="F661">
            <v>788.85000000000787</v>
          </cell>
          <cell r="G661">
            <v>1104.3900000000001</v>
          </cell>
        </row>
        <row r="662">
          <cell r="B662">
            <v>658</v>
          </cell>
          <cell r="C662">
            <v>1316.59</v>
          </cell>
          <cell r="D662">
            <v>1843.23</v>
          </cell>
          <cell r="F662">
            <v>790.05000000000791</v>
          </cell>
          <cell r="G662">
            <v>1106.07</v>
          </cell>
        </row>
        <row r="663">
          <cell r="B663">
            <v>659</v>
          </cell>
          <cell r="C663">
            <v>1318.59</v>
          </cell>
          <cell r="D663">
            <v>1846.03</v>
          </cell>
          <cell r="F663">
            <v>791.25000000000796</v>
          </cell>
          <cell r="G663">
            <v>1107.75</v>
          </cell>
        </row>
        <row r="664">
          <cell r="B664">
            <v>660</v>
          </cell>
          <cell r="C664">
            <v>1320.59</v>
          </cell>
          <cell r="D664">
            <v>1848.83</v>
          </cell>
          <cell r="F664">
            <v>792.450000000008</v>
          </cell>
          <cell r="G664">
            <v>1109.43</v>
          </cell>
        </row>
        <row r="665">
          <cell r="B665">
            <v>661</v>
          </cell>
          <cell r="C665">
            <v>1322.59</v>
          </cell>
          <cell r="D665">
            <v>1851.63</v>
          </cell>
          <cell r="F665">
            <v>793.65000000000805</v>
          </cell>
          <cell r="G665">
            <v>1111.1099999999999</v>
          </cell>
        </row>
        <row r="666">
          <cell r="B666">
            <v>662</v>
          </cell>
          <cell r="C666">
            <v>1324.59</v>
          </cell>
          <cell r="D666">
            <v>1854.43</v>
          </cell>
          <cell r="F666">
            <v>794.85000000000809</v>
          </cell>
          <cell r="G666">
            <v>1112.79</v>
          </cell>
        </row>
        <row r="667">
          <cell r="B667">
            <v>663</v>
          </cell>
          <cell r="C667">
            <v>1326.59</v>
          </cell>
          <cell r="D667">
            <v>1857.23</v>
          </cell>
          <cell r="F667">
            <v>796.05000000000814</v>
          </cell>
          <cell r="G667">
            <v>1114.47</v>
          </cell>
        </row>
        <row r="668">
          <cell r="B668">
            <v>664</v>
          </cell>
          <cell r="C668">
            <v>1328.59</v>
          </cell>
          <cell r="D668">
            <v>1860.03</v>
          </cell>
          <cell r="F668">
            <v>797.25000000000819</v>
          </cell>
          <cell r="G668">
            <v>1116.1500000000001</v>
          </cell>
        </row>
        <row r="669">
          <cell r="B669">
            <v>665</v>
          </cell>
          <cell r="C669">
            <v>1330.59</v>
          </cell>
          <cell r="D669">
            <v>1862.83</v>
          </cell>
          <cell r="F669">
            <v>798.45000000000823</v>
          </cell>
          <cell r="G669">
            <v>1117.83</v>
          </cell>
        </row>
        <row r="670">
          <cell r="B670">
            <v>666</v>
          </cell>
          <cell r="C670">
            <v>1332.59</v>
          </cell>
          <cell r="D670">
            <v>1865.63</v>
          </cell>
          <cell r="F670">
            <v>799.65000000000828</v>
          </cell>
          <cell r="G670">
            <v>1119.51</v>
          </cell>
        </row>
        <row r="671">
          <cell r="B671">
            <v>667</v>
          </cell>
          <cell r="C671">
            <v>1334.59</v>
          </cell>
          <cell r="D671">
            <v>1868.43</v>
          </cell>
          <cell r="F671">
            <v>800.85000000000832</v>
          </cell>
          <cell r="G671">
            <v>1121.19</v>
          </cell>
        </row>
        <row r="672">
          <cell r="B672">
            <v>668</v>
          </cell>
          <cell r="C672">
            <v>1336.59</v>
          </cell>
          <cell r="D672">
            <v>1871.23</v>
          </cell>
          <cell r="F672">
            <v>802.05000000000837</v>
          </cell>
          <cell r="G672">
            <v>1122.8699999999999</v>
          </cell>
        </row>
        <row r="673">
          <cell r="B673">
            <v>669</v>
          </cell>
          <cell r="C673">
            <v>1338.59</v>
          </cell>
          <cell r="D673">
            <v>1874.03</v>
          </cell>
          <cell r="F673">
            <v>803.25000000000841</v>
          </cell>
          <cell r="G673">
            <v>1124.55</v>
          </cell>
        </row>
        <row r="674">
          <cell r="B674">
            <v>670</v>
          </cell>
          <cell r="C674">
            <v>1340.59</v>
          </cell>
          <cell r="D674">
            <v>1876.83</v>
          </cell>
          <cell r="F674">
            <v>804.45000000000846</v>
          </cell>
          <cell r="G674">
            <v>1126.23</v>
          </cell>
        </row>
        <row r="675">
          <cell r="B675">
            <v>671</v>
          </cell>
          <cell r="C675">
            <v>1342.59</v>
          </cell>
          <cell r="D675">
            <v>1879.63</v>
          </cell>
          <cell r="F675">
            <v>805.6500000000085</v>
          </cell>
          <cell r="G675">
            <v>1127.9100000000001</v>
          </cell>
        </row>
        <row r="676">
          <cell r="B676">
            <v>672</v>
          </cell>
          <cell r="C676">
            <v>1344.59</v>
          </cell>
          <cell r="D676">
            <v>1882.43</v>
          </cell>
          <cell r="F676">
            <v>806.85000000000855</v>
          </cell>
          <cell r="G676">
            <v>1129.5899999999999</v>
          </cell>
        </row>
        <row r="677">
          <cell r="B677">
            <v>673</v>
          </cell>
          <cell r="C677">
            <v>1346.59</v>
          </cell>
          <cell r="D677">
            <v>1885.23</v>
          </cell>
          <cell r="F677">
            <v>808.05000000000859</v>
          </cell>
          <cell r="G677">
            <v>1131.27</v>
          </cell>
        </row>
        <row r="678">
          <cell r="B678">
            <v>674</v>
          </cell>
          <cell r="C678">
            <v>1348.59</v>
          </cell>
          <cell r="D678">
            <v>1888.03</v>
          </cell>
          <cell r="F678">
            <v>809.25000000000864</v>
          </cell>
          <cell r="G678">
            <v>1132.95</v>
          </cell>
        </row>
        <row r="679">
          <cell r="B679">
            <v>675</v>
          </cell>
          <cell r="C679">
            <v>1350.59</v>
          </cell>
          <cell r="D679">
            <v>1890.83</v>
          </cell>
          <cell r="F679">
            <v>810.45000000000869</v>
          </cell>
          <cell r="G679">
            <v>1134.6300000000001</v>
          </cell>
        </row>
        <row r="680">
          <cell r="B680">
            <v>676</v>
          </cell>
          <cell r="C680">
            <v>1352.59</v>
          </cell>
          <cell r="D680">
            <v>1893.63</v>
          </cell>
          <cell r="F680">
            <v>811.65000000000873</v>
          </cell>
          <cell r="G680">
            <v>1136.31</v>
          </cell>
        </row>
        <row r="681">
          <cell r="B681">
            <v>677</v>
          </cell>
          <cell r="C681">
            <v>1354.59</v>
          </cell>
          <cell r="D681">
            <v>1896.43</v>
          </cell>
          <cell r="F681">
            <v>812.85000000000878</v>
          </cell>
          <cell r="G681">
            <v>1137.99</v>
          </cell>
        </row>
        <row r="682">
          <cell r="B682">
            <v>678</v>
          </cell>
          <cell r="C682">
            <v>1356.59</v>
          </cell>
          <cell r="D682">
            <v>1899.23</v>
          </cell>
          <cell r="F682">
            <v>814.05000000000882</v>
          </cell>
          <cell r="G682">
            <v>1139.67</v>
          </cell>
        </row>
        <row r="683">
          <cell r="B683">
            <v>679</v>
          </cell>
          <cell r="C683">
            <v>1358.59</v>
          </cell>
          <cell r="D683">
            <v>1902.03</v>
          </cell>
          <cell r="F683">
            <v>815.25000000000887</v>
          </cell>
          <cell r="G683">
            <v>1141.3499999999999</v>
          </cell>
        </row>
        <row r="684">
          <cell r="B684">
            <v>680</v>
          </cell>
          <cell r="C684">
            <v>1360.59</v>
          </cell>
          <cell r="D684">
            <v>1904.83</v>
          </cell>
          <cell r="F684">
            <v>816.45000000000891</v>
          </cell>
          <cell r="G684">
            <v>1143.03</v>
          </cell>
        </row>
        <row r="685">
          <cell r="B685">
            <v>681</v>
          </cell>
          <cell r="C685">
            <v>1362.59</v>
          </cell>
          <cell r="D685">
            <v>1907.63</v>
          </cell>
          <cell r="F685">
            <v>817.65000000000896</v>
          </cell>
          <cell r="G685">
            <v>1144.71</v>
          </cell>
        </row>
        <row r="686">
          <cell r="B686">
            <v>682</v>
          </cell>
          <cell r="C686">
            <v>1364.59</v>
          </cell>
          <cell r="D686">
            <v>1910.43</v>
          </cell>
          <cell r="F686">
            <v>818.850000000009</v>
          </cell>
          <cell r="G686">
            <v>1146.3900000000001</v>
          </cell>
        </row>
        <row r="687">
          <cell r="B687">
            <v>683</v>
          </cell>
          <cell r="C687">
            <v>1366.59</v>
          </cell>
          <cell r="D687">
            <v>1913.23</v>
          </cell>
          <cell r="F687">
            <v>820.05000000000905</v>
          </cell>
          <cell r="G687">
            <v>1148.07</v>
          </cell>
        </row>
        <row r="688">
          <cell r="B688">
            <v>684</v>
          </cell>
          <cell r="C688">
            <v>1368.59</v>
          </cell>
          <cell r="D688">
            <v>1916.03</v>
          </cell>
          <cell r="F688">
            <v>821.25000000000909</v>
          </cell>
          <cell r="G688">
            <v>1149.75</v>
          </cell>
        </row>
        <row r="689">
          <cell r="B689">
            <v>685</v>
          </cell>
          <cell r="C689">
            <v>1370.59</v>
          </cell>
          <cell r="D689">
            <v>1918.83</v>
          </cell>
          <cell r="F689">
            <v>822.45000000000914</v>
          </cell>
          <cell r="G689">
            <v>1151.43</v>
          </cell>
        </row>
        <row r="690">
          <cell r="B690">
            <v>686</v>
          </cell>
          <cell r="C690">
            <v>1372.59</v>
          </cell>
          <cell r="D690">
            <v>1921.63</v>
          </cell>
          <cell r="F690">
            <v>823.65000000000919</v>
          </cell>
          <cell r="G690">
            <v>1153.1099999999999</v>
          </cell>
        </row>
        <row r="691">
          <cell r="B691">
            <v>687</v>
          </cell>
          <cell r="C691">
            <v>1374.59</v>
          </cell>
          <cell r="D691">
            <v>1924.43</v>
          </cell>
          <cell r="F691">
            <v>824.85000000000923</v>
          </cell>
          <cell r="G691">
            <v>1154.79</v>
          </cell>
        </row>
        <row r="692">
          <cell r="B692">
            <v>688</v>
          </cell>
          <cell r="C692">
            <v>1376.59</v>
          </cell>
          <cell r="D692">
            <v>1927.23</v>
          </cell>
          <cell r="F692">
            <v>826.05000000000928</v>
          </cell>
          <cell r="G692">
            <v>1156.47</v>
          </cell>
        </row>
        <row r="693">
          <cell r="B693">
            <v>689</v>
          </cell>
          <cell r="C693">
            <v>1378.59</v>
          </cell>
          <cell r="D693">
            <v>1930.03</v>
          </cell>
          <cell r="F693">
            <v>827.25000000000932</v>
          </cell>
          <cell r="G693">
            <v>1158.1500000000001</v>
          </cell>
        </row>
        <row r="694">
          <cell r="B694">
            <v>690</v>
          </cell>
          <cell r="C694">
            <v>1380.59</v>
          </cell>
          <cell r="D694">
            <v>1932.83</v>
          </cell>
          <cell r="F694">
            <v>828.45000000000937</v>
          </cell>
          <cell r="G694">
            <v>1159.83</v>
          </cell>
        </row>
        <row r="695">
          <cell r="B695">
            <v>691</v>
          </cell>
          <cell r="C695">
            <v>1382.59</v>
          </cell>
          <cell r="D695">
            <v>1935.63</v>
          </cell>
          <cell r="F695">
            <v>829.65000000000941</v>
          </cell>
          <cell r="G695">
            <v>1161.51</v>
          </cell>
        </row>
        <row r="696">
          <cell r="B696">
            <v>692</v>
          </cell>
          <cell r="C696">
            <v>1384.59</v>
          </cell>
          <cell r="D696">
            <v>1938.43</v>
          </cell>
          <cell r="F696">
            <v>830.85000000000946</v>
          </cell>
          <cell r="G696">
            <v>1163.19</v>
          </cell>
        </row>
        <row r="697">
          <cell r="B697">
            <v>693</v>
          </cell>
          <cell r="C697">
            <v>1386.59</v>
          </cell>
          <cell r="D697">
            <v>1941.23</v>
          </cell>
          <cell r="F697">
            <v>832.0500000000095</v>
          </cell>
          <cell r="G697">
            <v>1164.8699999999999</v>
          </cell>
        </row>
        <row r="698">
          <cell r="B698">
            <v>694</v>
          </cell>
          <cell r="C698">
            <v>1388.59</v>
          </cell>
          <cell r="D698">
            <v>1944.03</v>
          </cell>
          <cell r="F698">
            <v>833.25000000000955</v>
          </cell>
          <cell r="G698">
            <v>1166.55</v>
          </cell>
        </row>
        <row r="699">
          <cell r="B699">
            <v>695</v>
          </cell>
          <cell r="C699">
            <v>1390.59</v>
          </cell>
          <cell r="D699">
            <v>1946.83</v>
          </cell>
          <cell r="F699">
            <v>834.4500000000096</v>
          </cell>
          <cell r="G699">
            <v>1168.23</v>
          </cell>
        </row>
        <row r="700">
          <cell r="B700">
            <v>696</v>
          </cell>
          <cell r="C700">
            <v>1392.59</v>
          </cell>
          <cell r="D700">
            <v>1949.63</v>
          </cell>
          <cell r="F700">
            <v>835.65000000000964</v>
          </cell>
          <cell r="G700">
            <v>1169.9100000000001</v>
          </cell>
        </row>
        <row r="701">
          <cell r="B701">
            <v>697</v>
          </cell>
          <cell r="C701">
            <v>1394.59</v>
          </cell>
          <cell r="D701">
            <v>1952.43</v>
          </cell>
          <cell r="F701">
            <v>836.85000000000969</v>
          </cell>
          <cell r="G701">
            <v>1171.5899999999999</v>
          </cell>
        </row>
        <row r="702">
          <cell r="B702">
            <v>698</v>
          </cell>
          <cell r="C702">
            <v>1396.59</v>
          </cell>
          <cell r="D702">
            <v>1955.23</v>
          </cell>
          <cell r="F702">
            <v>838.05000000000973</v>
          </cell>
          <cell r="G702">
            <v>1173.27</v>
          </cell>
        </row>
        <row r="703">
          <cell r="B703">
            <v>699</v>
          </cell>
          <cell r="C703">
            <v>1398.59</v>
          </cell>
          <cell r="D703">
            <v>1958.03</v>
          </cell>
          <cell r="F703">
            <v>839.25000000000978</v>
          </cell>
          <cell r="G703">
            <v>1174.95</v>
          </cell>
        </row>
        <row r="704">
          <cell r="B704">
            <v>700</v>
          </cell>
          <cell r="C704">
            <v>1400.59</v>
          </cell>
          <cell r="D704">
            <v>1960.83</v>
          </cell>
          <cell r="F704">
            <v>840.45000000000982</v>
          </cell>
          <cell r="G704">
            <v>1176.6300000000001</v>
          </cell>
        </row>
        <row r="705">
          <cell r="B705">
            <v>701</v>
          </cell>
          <cell r="C705">
            <v>1402.59</v>
          </cell>
          <cell r="D705">
            <v>1963.63</v>
          </cell>
          <cell r="F705">
            <v>841.65000000000987</v>
          </cell>
          <cell r="G705">
            <v>1178.31</v>
          </cell>
        </row>
        <row r="706">
          <cell r="B706">
            <v>702</v>
          </cell>
          <cell r="C706">
            <v>1404.59</v>
          </cell>
          <cell r="D706">
            <v>1966.43</v>
          </cell>
          <cell r="F706">
            <v>842.85000000000991</v>
          </cell>
          <cell r="G706">
            <v>1179.99</v>
          </cell>
        </row>
        <row r="707">
          <cell r="B707">
            <v>703</v>
          </cell>
          <cell r="C707">
            <v>1406.59</v>
          </cell>
          <cell r="D707">
            <v>1969.23</v>
          </cell>
          <cell r="F707">
            <v>844.05000000000996</v>
          </cell>
          <cell r="G707">
            <v>1181.67</v>
          </cell>
        </row>
        <row r="708">
          <cell r="B708">
            <v>704</v>
          </cell>
          <cell r="C708">
            <v>1408.59</v>
          </cell>
          <cell r="D708">
            <v>1972.03</v>
          </cell>
          <cell r="F708">
            <v>845.25000000001</v>
          </cell>
          <cell r="G708">
            <v>1183.3499999999999</v>
          </cell>
        </row>
        <row r="709">
          <cell r="B709">
            <v>705</v>
          </cell>
          <cell r="C709">
            <v>1410.59</v>
          </cell>
          <cell r="D709">
            <v>1974.83</v>
          </cell>
          <cell r="F709">
            <v>846.45000000001005</v>
          </cell>
          <cell r="G709">
            <v>1185.03</v>
          </cell>
        </row>
        <row r="710">
          <cell r="B710">
            <v>706</v>
          </cell>
          <cell r="C710">
            <v>1412.59</v>
          </cell>
          <cell r="D710">
            <v>1977.63</v>
          </cell>
          <cell r="F710">
            <v>847.6500000000101</v>
          </cell>
          <cell r="G710">
            <v>1186.71</v>
          </cell>
        </row>
        <row r="711">
          <cell r="B711">
            <v>707</v>
          </cell>
          <cell r="C711">
            <v>1414.59</v>
          </cell>
          <cell r="D711">
            <v>1980.43</v>
          </cell>
          <cell r="F711">
            <v>848.85000000001014</v>
          </cell>
          <cell r="G711">
            <v>1188.3900000000001</v>
          </cell>
        </row>
        <row r="712">
          <cell r="B712">
            <v>708</v>
          </cell>
          <cell r="C712">
            <v>1416.59</v>
          </cell>
          <cell r="D712">
            <v>1983.23</v>
          </cell>
          <cell r="F712">
            <v>850.05000000001019</v>
          </cell>
          <cell r="G712">
            <v>1190.07</v>
          </cell>
        </row>
        <row r="713">
          <cell r="B713">
            <v>709</v>
          </cell>
          <cell r="C713">
            <v>1418.59</v>
          </cell>
          <cell r="D713">
            <v>1986.03</v>
          </cell>
          <cell r="F713">
            <v>851.25000000001023</v>
          </cell>
          <cell r="G713">
            <v>1191.75</v>
          </cell>
        </row>
        <row r="714">
          <cell r="B714">
            <v>710</v>
          </cell>
          <cell r="C714">
            <v>1420.59</v>
          </cell>
          <cell r="D714">
            <v>1988.83</v>
          </cell>
          <cell r="F714">
            <v>852.45000000001028</v>
          </cell>
          <cell r="G714">
            <v>1193.43</v>
          </cell>
        </row>
        <row r="715">
          <cell r="B715">
            <v>711</v>
          </cell>
          <cell r="C715">
            <v>1422.59</v>
          </cell>
          <cell r="D715">
            <v>1991.63</v>
          </cell>
          <cell r="F715">
            <v>853.65000000001032</v>
          </cell>
          <cell r="G715">
            <v>1195.1099999999999</v>
          </cell>
        </row>
        <row r="716">
          <cell r="B716">
            <v>712</v>
          </cell>
          <cell r="C716">
            <v>1424.59</v>
          </cell>
          <cell r="D716">
            <v>1994.43</v>
          </cell>
          <cell r="F716">
            <v>854.85000000001037</v>
          </cell>
          <cell r="G716">
            <v>1196.79</v>
          </cell>
        </row>
        <row r="717">
          <cell r="B717">
            <v>713</v>
          </cell>
          <cell r="C717">
            <v>1426.59</v>
          </cell>
          <cell r="D717">
            <v>1997.23</v>
          </cell>
          <cell r="F717">
            <v>856.05000000001041</v>
          </cell>
          <cell r="G717">
            <v>1198.47</v>
          </cell>
        </row>
        <row r="718">
          <cell r="B718">
            <v>714</v>
          </cell>
          <cell r="C718">
            <v>1428.59</v>
          </cell>
          <cell r="D718">
            <v>2000.03</v>
          </cell>
          <cell r="F718">
            <v>857.25000000001046</v>
          </cell>
          <cell r="G718">
            <v>1200.1500000000001</v>
          </cell>
        </row>
        <row r="719">
          <cell r="B719">
            <v>715</v>
          </cell>
          <cell r="C719">
            <v>1430.59</v>
          </cell>
          <cell r="D719">
            <v>2002.83</v>
          </cell>
          <cell r="F719">
            <v>858.4500000000105</v>
          </cell>
          <cell r="G719">
            <v>1201.83</v>
          </cell>
        </row>
        <row r="720">
          <cell r="B720">
            <v>716</v>
          </cell>
          <cell r="C720">
            <v>1432.59</v>
          </cell>
          <cell r="D720">
            <v>2005.63</v>
          </cell>
          <cell r="F720">
            <v>859.65000000001055</v>
          </cell>
          <cell r="G720">
            <v>1203.51</v>
          </cell>
        </row>
        <row r="721">
          <cell r="B721">
            <v>717</v>
          </cell>
          <cell r="C721">
            <v>1434.59</v>
          </cell>
          <cell r="D721">
            <v>2008.43</v>
          </cell>
          <cell r="F721">
            <v>860.8500000000106</v>
          </cell>
          <cell r="G721">
            <v>1205.19</v>
          </cell>
        </row>
        <row r="722">
          <cell r="B722">
            <v>718</v>
          </cell>
          <cell r="C722">
            <v>1436.59</v>
          </cell>
          <cell r="D722">
            <v>2011.23</v>
          </cell>
          <cell r="F722">
            <v>862.05000000001064</v>
          </cell>
          <cell r="G722">
            <v>1206.8699999999999</v>
          </cell>
        </row>
        <row r="723">
          <cell r="B723">
            <v>719</v>
          </cell>
          <cell r="C723">
            <v>1438.59</v>
          </cell>
          <cell r="D723">
            <v>2014.03</v>
          </cell>
          <cell r="F723">
            <v>863.25000000001069</v>
          </cell>
          <cell r="G723">
            <v>1208.55</v>
          </cell>
        </row>
        <row r="724">
          <cell r="B724">
            <v>720</v>
          </cell>
          <cell r="C724">
            <v>1440.59</v>
          </cell>
          <cell r="D724">
            <v>2016.83</v>
          </cell>
          <cell r="F724">
            <v>864.45000000001073</v>
          </cell>
          <cell r="G724">
            <v>1210.23</v>
          </cell>
        </row>
        <row r="725">
          <cell r="B725">
            <v>721</v>
          </cell>
          <cell r="C725">
            <v>1442.59</v>
          </cell>
          <cell r="D725">
            <v>2019.63</v>
          </cell>
          <cell r="F725">
            <v>865.65000000001078</v>
          </cell>
          <cell r="G725">
            <v>1211.9100000000001</v>
          </cell>
        </row>
        <row r="726">
          <cell r="B726">
            <v>722</v>
          </cell>
          <cell r="C726">
            <v>1444.59</v>
          </cell>
          <cell r="D726">
            <v>2022.43</v>
          </cell>
          <cell r="F726">
            <v>866.85000000001082</v>
          </cell>
          <cell r="G726">
            <v>1213.5899999999999</v>
          </cell>
        </row>
        <row r="727">
          <cell r="B727">
            <v>723</v>
          </cell>
          <cell r="C727">
            <v>1446.59</v>
          </cell>
          <cell r="D727">
            <v>2025.23</v>
          </cell>
          <cell r="F727">
            <v>868.05000000001087</v>
          </cell>
          <cell r="G727">
            <v>1215.27</v>
          </cell>
        </row>
        <row r="728">
          <cell r="B728">
            <v>724</v>
          </cell>
          <cell r="C728">
            <v>1448.59</v>
          </cell>
          <cell r="D728">
            <v>2028.03</v>
          </cell>
          <cell r="F728">
            <v>869.25000000001091</v>
          </cell>
          <cell r="G728">
            <v>1216.95</v>
          </cell>
        </row>
        <row r="729">
          <cell r="B729">
            <v>725</v>
          </cell>
          <cell r="C729">
            <v>1450.59</v>
          </cell>
          <cell r="D729">
            <v>2030.83</v>
          </cell>
          <cell r="F729">
            <v>870.45000000001096</v>
          </cell>
          <cell r="G729">
            <v>1218.6300000000001</v>
          </cell>
        </row>
        <row r="730">
          <cell r="B730">
            <v>726</v>
          </cell>
          <cell r="C730">
            <v>1452.59</v>
          </cell>
          <cell r="D730">
            <v>2033.63</v>
          </cell>
          <cell r="F730">
            <v>871.650000000011</v>
          </cell>
          <cell r="G730">
            <v>1220.31</v>
          </cell>
        </row>
        <row r="731">
          <cell r="B731">
            <v>727</v>
          </cell>
          <cell r="C731">
            <v>1454.59</v>
          </cell>
          <cell r="D731">
            <v>2036.43</v>
          </cell>
          <cell r="F731">
            <v>872.85000000001105</v>
          </cell>
          <cell r="G731">
            <v>1221.99</v>
          </cell>
        </row>
        <row r="732">
          <cell r="B732">
            <v>728</v>
          </cell>
          <cell r="C732">
            <v>1456.59</v>
          </cell>
          <cell r="D732">
            <v>2039.23</v>
          </cell>
          <cell r="F732">
            <v>874.0500000000111</v>
          </cell>
          <cell r="G732">
            <v>1223.67</v>
          </cell>
        </row>
        <row r="733">
          <cell r="B733">
            <v>729</v>
          </cell>
          <cell r="C733">
            <v>1458.59</v>
          </cell>
          <cell r="D733">
            <v>2042.03</v>
          </cell>
          <cell r="F733">
            <v>875.25000000001114</v>
          </cell>
          <cell r="G733">
            <v>1225.3499999999999</v>
          </cell>
        </row>
        <row r="734">
          <cell r="B734">
            <v>730</v>
          </cell>
          <cell r="C734">
            <v>1460.59</v>
          </cell>
          <cell r="D734">
            <v>2044.83</v>
          </cell>
          <cell r="F734">
            <v>876.45000000001119</v>
          </cell>
          <cell r="G734">
            <v>1227.03</v>
          </cell>
        </row>
        <row r="735">
          <cell r="B735">
            <v>731</v>
          </cell>
          <cell r="C735">
            <v>1462.59</v>
          </cell>
          <cell r="D735">
            <v>2047.63</v>
          </cell>
          <cell r="F735">
            <v>877.65000000001123</v>
          </cell>
          <cell r="G735">
            <v>1228.71</v>
          </cell>
        </row>
        <row r="736">
          <cell r="B736">
            <v>732</v>
          </cell>
          <cell r="C736">
            <v>1464.59</v>
          </cell>
          <cell r="D736">
            <v>2050.4299999999998</v>
          </cell>
          <cell r="F736">
            <v>878.85000000001128</v>
          </cell>
          <cell r="G736">
            <v>1230.3900000000001</v>
          </cell>
        </row>
        <row r="737">
          <cell r="B737">
            <v>733</v>
          </cell>
          <cell r="C737">
            <v>1466.59</v>
          </cell>
          <cell r="D737">
            <v>2053.23</v>
          </cell>
          <cell r="F737">
            <v>880.05000000001132</v>
          </cell>
          <cell r="G737">
            <v>1232.07</v>
          </cell>
        </row>
        <row r="738">
          <cell r="B738">
            <v>734</v>
          </cell>
          <cell r="C738">
            <v>1468.59</v>
          </cell>
          <cell r="D738">
            <v>2056.0300000000002</v>
          </cell>
          <cell r="F738">
            <v>881.25000000001137</v>
          </cell>
          <cell r="G738">
            <v>1233.75</v>
          </cell>
        </row>
        <row r="739">
          <cell r="B739">
            <v>735</v>
          </cell>
          <cell r="C739">
            <v>1470.59</v>
          </cell>
          <cell r="D739">
            <v>2058.83</v>
          </cell>
          <cell r="F739">
            <v>882.45000000001141</v>
          </cell>
          <cell r="G739">
            <v>1235.43</v>
          </cell>
        </row>
        <row r="740">
          <cell r="B740">
            <v>736</v>
          </cell>
          <cell r="C740">
            <v>1472.59</v>
          </cell>
          <cell r="D740">
            <v>2061.63</v>
          </cell>
          <cell r="F740">
            <v>883.65000000001146</v>
          </cell>
          <cell r="G740">
            <v>1237.1099999999999</v>
          </cell>
        </row>
        <row r="741">
          <cell r="B741">
            <v>737</v>
          </cell>
          <cell r="C741">
            <v>1474.59</v>
          </cell>
          <cell r="D741">
            <v>2064.4299999999998</v>
          </cell>
          <cell r="F741">
            <v>884.85000000001151</v>
          </cell>
          <cell r="G741">
            <v>1238.79</v>
          </cell>
        </row>
        <row r="742">
          <cell r="B742">
            <v>738</v>
          </cell>
          <cell r="C742">
            <v>1476.59</v>
          </cell>
          <cell r="D742">
            <v>2067.23</v>
          </cell>
          <cell r="F742">
            <v>886.05000000001155</v>
          </cell>
          <cell r="G742">
            <v>1240.47</v>
          </cell>
        </row>
        <row r="743">
          <cell r="B743">
            <v>739</v>
          </cell>
          <cell r="C743">
            <v>1478.59</v>
          </cell>
          <cell r="D743">
            <v>2070.0300000000002</v>
          </cell>
          <cell r="F743">
            <v>887.2500000000116</v>
          </cell>
          <cell r="G743">
            <v>1242.1500000000001</v>
          </cell>
        </row>
        <row r="744">
          <cell r="B744">
            <v>740</v>
          </cell>
          <cell r="C744">
            <v>1480.59</v>
          </cell>
          <cell r="D744">
            <v>2072.83</v>
          </cell>
          <cell r="F744">
            <v>888.45000000001164</v>
          </cell>
          <cell r="G744">
            <v>1243.83</v>
          </cell>
        </row>
        <row r="745">
          <cell r="B745">
            <v>741</v>
          </cell>
          <cell r="C745">
            <v>1482.59</v>
          </cell>
          <cell r="D745">
            <v>2075.63</v>
          </cell>
          <cell r="F745">
            <v>889.65000000001169</v>
          </cell>
          <cell r="G745">
            <v>1245.51</v>
          </cell>
        </row>
        <row r="746">
          <cell r="B746">
            <v>742</v>
          </cell>
          <cell r="C746">
            <v>1484.59</v>
          </cell>
          <cell r="D746">
            <v>2078.4299999999998</v>
          </cell>
          <cell r="F746">
            <v>890.85000000001173</v>
          </cell>
          <cell r="G746">
            <v>1247.19</v>
          </cell>
        </row>
        <row r="747">
          <cell r="B747">
            <v>743</v>
          </cell>
          <cell r="C747">
            <v>1486.59</v>
          </cell>
          <cell r="D747">
            <v>2081.23</v>
          </cell>
          <cell r="F747">
            <v>892.05000000001178</v>
          </cell>
          <cell r="G747">
            <v>1248.8699999999999</v>
          </cell>
        </row>
        <row r="748">
          <cell r="B748">
            <v>744</v>
          </cell>
          <cell r="C748">
            <v>1488.59</v>
          </cell>
          <cell r="D748">
            <v>2084.0300000000002</v>
          </cell>
          <cell r="F748">
            <v>893.25000000001182</v>
          </cell>
          <cell r="G748">
            <v>1250.55</v>
          </cell>
        </row>
        <row r="749">
          <cell r="B749">
            <v>745</v>
          </cell>
          <cell r="C749">
            <v>1490.59</v>
          </cell>
          <cell r="D749">
            <v>2086.83</v>
          </cell>
          <cell r="F749">
            <v>894.45000000001187</v>
          </cell>
          <cell r="G749">
            <v>1252.23</v>
          </cell>
        </row>
        <row r="750">
          <cell r="B750">
            <v>746</v>
          </cell>
          <cell r="C750">
            <v>1492.59</v>
          </cell>
          <cell r="D750">
            <v>2089.63</v>
          </cell>
          <cell r="F750">
            <v>895.65000000001191</v>
          </cell>
          <cell r="G750">
            <v>1253.9100000000001</v>
          </cell>
        </row>
        <row r="751">
          <cell r="B751">
            <v>747</v>
          </cell>
          <cell r="C751">
            <v>1494.59</v>
          </cell>
          <cell r="D751">
            <v>2092.4299999999998</v>
          </cell>
          <cell r="F751">
            <v>896.85000000001196</v>
          </cell>
          <cell r="G751">
            <v>1255.5899999999999</v>
          </cell>
        </row>
        <row r="752">
          <cell r="B752">
            <v>748</v>
          </cell>
          <cell r="C752">
            <v>1496.59</v>
          </cell>
          <cell r="D752">
            <v>2095.23</v>
          </cell>
          <cell r="F752">
            <v>898.05000000001201</v>
          </cell>
          <cell r="G752">
            <v>1257.27</v>
          </cell>
        </row>
        <row r="753">
          <cell r="B753">
            <v>749</v>
          </cell>
          <cell r="C753">
            <v>1498.59</v>
          </cell>
          <cell r="D753">
            <v>2098.0300000000002</v>
          </cell>
          <cell r="F753">
            <v>899.25000000001205</v>
          </cell>
          <cell r="G753">
            <v>1258.95</v>
          </cell>
        </row>
        <row r="754">
          <cell r="B754">
            <v>750</v>
          </cell>
          <cell r="C754">
            <v>1500.59</v>
          </cell>
          <cell r="D754">
            <v>2100.83</v>
          </cell>
          <cell r="F754">
            <v>900.4500000000121</v>
          </cell>
          <cell r="G754">
            <v>1260.6300000000001</v>
          </cell>
        </row>
        <row r="755">
          <cell r="B755">
            <v>751</v>
          </cell>
          <cell r="C755">
            <v>1502.59</v>
          </cell>
          <cell r="D755">
            <v>2103.63</v>
          </cell>
          <cell r="F755">
            <v>901.65000000001214</v>
          </cell>
          <cell r="G755">
            <v>1262.31</v>
          </cell>
        </row>
        <row r="756">
          <cell r="B756">
            <v>752</v>
          </cell>
          <cell r="C756">
            <v>1504.59</v>
          </cell>
          <cell r="D756">
            <v>2106.4299999999998</v>
          </cell>
          <cell r="F756">
            <v>902.85000000001219</v>
          </cell>
          <cell r="G756">
            <v>1263.99</v>
          </cell>
        </row>
        <row r="757">
          <cell r="B757">
            <v>753</v>
          </cell>
          <cell r="C757">
            <v>1506.59</v>
          </cell>
          <cell r="D757">
            <v>2109.23</v>
          </cell>
          <cell r="F757">
            <v>904.05000000001223</v>
          </cell>
          <cell r="G757">
            <v>1265.67</v>
          </cell>
        </row>
        <row r="758">
          <cell r="B758">
            <v>754</v>
          </cell>
          <cell r="C758">
            <v>1508.59</v>
          </cell>
          <cell r="D758">
            <v>2112.0300000000002</v>
          </cell>
          <cell r="F758">
            <v>905.25000000001228</v>
          </cell>
          <cell r="G758">
            <v>1267.3499999999999</v>
          </cell>
        </row>
        <row r="759">
          <cell r="B759">
            <v>755</v>
          </cell>
          <cell r="C759">
            <v>1510.59</v>
          </cell>
          <cell r="D759">
            <v>2114.83</v>
          </cell>
          <cell r="F759">
            <v>906.45000000001232</v>
          </cell>
          <cell r="G759">
            <v>1269.03</v>
          </cell>
        </row>
        <row r="760">
          <cell r="B760">
            <v>756</v>
          </cell>
          <cell r="C760">
            <v>1512.59</v>
          </cell>
          <cell r="D760">
            <v>2117.63</v>
          </cell>
          <cell r="F760">
            <v>907.65000000001237</v>
          </cell>
          <cell r="G760">
            <v>1270.71</v>
          </cell>
        </row>
        <row r="761">
          <cell r="B761">
            <v>757</v>
          </cell>
          <cell r="C761">
            <v>1514.59</v>
          </cell>
          <cell r="D761">
            <v>2120.4299999999998</v>
          </cell>
          <cell r="F761">
            <v>908.85000000001241</v>
          </cell>
          <cell r="G761">
            <v>1272.3900000000001</v>
          </cell>
        </row>
        <row r="762">
          <cell r="B762">
            <v>758</v>
          </cell>
          <cell r="C762">
            <v>1516.59</v>
          </cell>
          <cell r="D762">
            <v>2123.23</v>
          </cell>
          <cell r="F762">
            <v>910.05000000001246</v>
          </cell>
          <cell r="G762">
            <v>1274.07</v>
          </cell>
        </row>
        <row r="763">
          <cell r="B763">
            <v>759</v>
          </cell>
          <cell r="C763">
            <v>1518.59</v>
          </cell>
          <cell r="D763">
            <v>2126.0300000000002</v>
          </cell>
          <cell r="F763">
            <v>911.25000000001251</v>
          </cell>
          <cell r="G763">
            <v>1275.75</v>
          </cell>
        </row>
        <row r="764">
          <cell r="B764">
            <v>760</v>
          </cell>
          <cell r="C764">
            <v>1520.59</v>
          </cell>
          <cell r="D764">
            <v>2128.83</v>
          </cell>
          <cell r="F764">
            <v>912.45000000001255</v>
          </cell>
          <cell r="G764">
            <v>1277.43</v>
          </cell>
        </row>
        <row r="765">
          <cell r="B765">
            <v>761</v>
          </cell>
          <cell r="C765">
            <v>1522.59</v>
          </cell>
          <cell r="D765">
            <v>2131.63</v>
          </cell>
          <cell r="F765">
            <v>913.6500000000126</v>
          </cell>
          <cell r="G765">
            <v>1279.1099999999999</v>
          </cell>
        </row>
        <row r="766">
          <cell r="B766">
            <v>762</v>
          </cell>
          <cell r="C766">
            <v>1524.59</v>
          </cell>
          <cell r="D766">
            <v>2134.4299999999998</v>
          </cell>
          <cell r="F766">
            <v>914.85000000001264</v>
          </cell>
          <cell r="G766">
            <v>1280.79</v>
          </cell>
        </row>
        <row r="767">
          <cell r="B767">
            <v>763</v>
          </cell>
          <cell r="C767">
            <v>1526.59</v>
          </cell>
          <cell r="D767">
            <v>2137.23</v>
          </cell>
          <cell r="F767">
            <v>916.05000000001269</v>
          </cell>
          <cell r="G767">
            <v>1282.47</v>
          </cell>
        </row>
        <row r="768">
          <cell r="B768">
            <v>764</v>
          </cell>
          <cell r="C768">
            <v>1528.59</v>
          </cell>
          <cell r="D768">
            <v>2140.0300000000002</v>
          </cell>
          <cell r="F768">
            <v>917.25000000001273</v>
          </cell>
          <cell r="G768">
            <v>1284.1500000000001</v>
          </cell>
        </row>
        <row r="769">
          <cell r="B769">
            <v>765</v>
          </cell>
          <cell r="C769">
            <v>1530.59</v>
          </cell>
          <cell r="D769">
            <v>2142.83</v>
          </cell>
          <cell r="F769">
            <v>918.45000000001278</v>
          </cell>
          <cell r="G769">
            <v>1285.83</v>
          </cell>
        </row>
        <row r="770">
          <cell r="B770">
            <v>766</v>
          </cell>
          <cell r="C770">
            <v>1532.59</v>
          </cell>
          <cell r="D770">
            <v>2145.63</v>
          </cell>
          <cell r="F770">
            <v>919.65000000001282</v>
          </cell>
          <cell r="G770">
            <v>1287.51</v>
          </cell>
        </row>
        <row r="771">
          <cell r="B771">
            <v>767</v>
          </cell>
          <cell r="C771">
            <v>1534.59</v>
          </cell>
          <cell r="D771">
            <v>2148.4299999999998</v>
          </cell>
          <cell r="F771">
            <v>920.85000000001287</v>
          </cell>
          <cell r="G771">
            <v>1289.19</v>
          </cell>
        </row>
        <row r="772">
          <cell r="B772">
            <v>768</v>
          </cell>
          <cell r="C772">
            <v>1536.59</v>
          </cell>
          <cell r="D772">
            <v>2151.23</v>
          </cell>
          <cell r="F772">
            <v>922.05000000001291</v>
          </cell>
          <cell r="G772">
            <v>1290.8699999999999</v>
          </cell>
        </row>
        <row r="773">
          <cell r="B773">
            <v>769</v>
          </cell>
          <cell r="C773">
            <v>1538.59</v>
          </cell>
          <cell r="D773">
            <v>2154.0300000000002</v>
          </cell>
          <cell r="F773">
            <v>923.25000000001296</v>
          </cell>
          <cell r="G773">
            <v>1292.55</v>
          </cell>
        </row>
        <row r="774">
          <cell r="B774">
            <v>770</v>
          </cell>
          <cell r="C774">
            <v>1540.59</v>
          </cell>
          <cell r="D774">
            <v>2156.83</v>
          </cell>
          <cell r="F774">
            <v>924.45000000001301</v>
          </cell>
          <cell r="G774">
            <v>1294.23</v>
          </cell>
        </row>
        <row r="775">
          <cell r="B775">
            <v>771</v>
          </cell>
          <cell r="C775">
            <v>1542.59</v>
          </cell>
          <cell r="D775">
            <v>2159.63</v>
          </cell>
          <cell r="F775">
            <v>925.65000000001305</v>
          </cell>
          <cell r="G775">
            <v>1295.9100000000001</v>
          </cell>
        </row>
        <row r="776">
          <cell r="B776">
            <v>772</v>
          </cell>
          <cell r="C776">
            <v>1544.59</v>
          </cell>
          <cell r="D776">
            <v>2162.4299999999998</v>
          </cell>
          <cell r="F776">
            <v>926.8500000000131</v>
          </cell>
          <cell r="G776">
            <v>1297.5899999999999</v>
          </cell>
        </row>
        <row r="777">
          <cell r="B777">
            <v>773</v>
          </cell>
          <cell r="C777">
            <v>1546.59</v>
          </cell>
          <cell r="D777">
            <v>2165.23</v>
          </cell>
          <cell r="F777">
            <v>928.05000000001314</v>
          </cell>
          <cell r="G777">
            <v>1299.27</v>
          </cell>
        </row>
        <row r="778">
          <cell r="B778">
            <v>774</v>
          </cell>
          <cell r="C778">
            <v>1548.59</v>
          </cell>
          <cell r="D778">
            <v>2168.0300000000002</v>
          </cell>
          <cell r="F778">
            <v>929.25000000001319</v>
          </cell>
          <cell r="G778">
            <v>1300.95</v>
          </cell>
        </row>
        <row r="779">
          <cell r="B779">
            <v>775</v>
          </cell>
          <cell r="C779">
            <v>1550.59</v>
          </cell>
          <cell r="D779">
            <v>2170.83</v>
          </cell>
          <cell r="F779">
            <v>930.45000000001323</v>
          </cell>
          <cell r="G779">
            <v>1302.6300000000001</v>
          </cell>
        </row>
        <row r="780">
          <cell r="B780">
            <v>776</v>
          </cell>
          <cell r="C780">
            <v>1552.59</v>
          </cell>
          <cell r="D780">
            <v>2173.63</v>
          </cell>
          <cell r="F780">
            <v>931.65000000001328</v>
          </cell>
          <cell r="G780">
            <v>1304.31</v>
          </cell>
        </row>
        <row r="781">
          <cell r="B781">
            <v>777</v>
          </cell>
          <cell r="C781">
            <v>1554.59</v>
          </cell>
          <cell r="D781">
            <v>2176.4299999999998</v>
          </cell>
          <cell r="F781">
            <v>932.85000000001332</v>
          </cell>
          <cell r="G781">
            <v>1305.99</v>
          </cell>
        </row>
        <row r="782">
          <cell r="B782">
            <v>778</v>
          </cell>
          <cell r="C782">
            <v>1556.59</v>
          </cell>
          <cell r="D782">
            <v>2179.23</v>
          </cell>
          <cell r="F782">
            <v>934.05000000001337</v>
          </cell>
          <cell r="G782">
            <v>1307.67</v>
          </cell>
        </row>
        <row r="783">
          <cell r="B783">
            <v>779</v>
          </cell>
          <cell r="C783">
            <v>1558.59</v>
          </cell>
          <cell r="D783">
            <v>2182.0300000000002</v>
          </cell>
          <cell r="F783">
            <v>935.25000000001342</v>
          </cell>
          <cell r="G783">
            <v>1309.3499999999999</v>
          </cell>
        </row>
        <row r="784">
          <cell r="B784">
            <v>780</v>
          </cell>
          <cell r="C784">
            <v>1560.59</v>
          </cell>
          <cell r="D784">
            <v>2184.83</v>
          </cell>
          <cell r="F784">
            <v>936.45000000001346</v>
          </cell>
          <cell r="G784">
            <v>1311.03</v>
          </cell>
        </row>
        <row r="785">
          <cell r="B785">
            <v>781</v>
          </cell>
          <cell r="C785">
            <v>1562.59</v>
          </cell>
          <cell r="D785">
            <v>2187.63</v>
          </cell>
          <cell r="F785">
            <v>937.65000000001351</v>
          </cell>
          <cell r="G785">
            <v>1312.71</v>
          </cell>
        </row>
        <row r="786">
          <cell r="B786">
            <v>782</v>
          </cell>
          <cell r="C786">
            <v>1564.59</v>
          </cell>
          <cell r="D786">
            <v>2190.4299999999998</v>
          </cell>
          <cell r="F786">
            <v>938.85000000001355</v>
          </cell>
          <cell r="G786">
            <v>1314.39</v>
          </cell>
        </row>
        <row r="787">
          <cell r="B787">
            <v>783</v>
          </cell>
          <cell r="C787">
            <v>1566.59</v>
          </cell>
          <cell r="D787">
            <v>2193.23</v>
          </cell>
          <cell r="F787">
            <v>940.0500000000136</v>
          </cell>
          <cell r="G787">
            <v>1316.07</v>
          </cell>
        </row>
        <row r="788">
          <cell r="B788">
            <v>784</v>
          </cell>
          <cell r="C788">
            <v>1568.59</v>
          </cell>
          <cell r="D788">
            <v>2196.0300000000002</v>
          </cell>
          <cell r="F788">
            <v>941.25000000001364</v>
          </cell>
          <cell r="G788">
            <v>1317.75</v>
          </cell>
        </row>
        <row r="789">
          <cell r="B789">
            <v>785</v>
          </cell>
          <cell r="C789">
            <v>1570.59</v>
          </cell>
          <cell r="D789">
            <v>2198.83</v>
          </cell>
          <cell r="F789">
            <v>942.45000000001369</v>
          </cell>
          <cell r="G789">
            <v>1319.43</v>
          </cell>
        </row>
        <row r="790">
          <cell r="B790">
            <v>786</v>
          </cell>
          <cell r="C790">
            <v>1572.59</v>
          </cell>
          <cell r="D790">
            <v>2201.63</v>
          </cell>
          <cell r="F790">
            <v>943.65000000001373</v>
          </cell>
          <cell r="G790">
            <v>1321.11</v>
          </cell>
        </row>
        <row r="791">
          <cell r="B791">
            <v>787</v>
          </cell>
          <cell r="C791">
            <v>1574.59</v>
          </cell>
          <cell r="D791">
            <v>2204.4299999999998</v>
          </cell>
          <cell r="F791">
            <v>944.85000000001378</v>
          </cell>
          <cell r="G791">
            <v>1322.79</v>
          </cell>
        </row>
        <row r="792">
          <cell r="B792">
            <v>788</v>
          </cell>
          <cell r="C792">
            <v>1576.59</v>
          </cell>
          <cell r="D792">
            <v>2207.23</v>
          </cell>
          <cell r="F792">
            <v>946.05000000001382</v>
          </cell>
          <cell r="G792">
            <v>1324.47</v>
          </cell>
        </row>
        <row r="793">
          <cell r="B793">
            <v>789</v>
          </cell>
          <cell r="C793">
            <v>1578.59</v>
          </cell>
          <cell r="D793">
            <v>2210.0300000000002</v>
          </cell>
          <cell r="F793">
            <v>947.25000000001387</v>
          </cell>
          <cell r="G793">
            <v>1326.15</v>
          </cell>
        </row>
        <row r="794">
          <cell r="B794">
            <v>790</v>
          </cell>
          <cell r="C794">
            <v>1580.59</v>
          </cell>
          <cell r="D794">
            <v>2212.83</v>
          </cell>
          <cell r="F794">
            <v>948.45000000001392</v>
          </cell>
          <cell r="G794">
            <v>1327.83</v>
          </cell>
        </row>
        <row r="795">
          <cell r="B795">
            <v>791</v>
          </cell>
          <cell r="C795">
            <v>1582.59</v>
          </cell>
          <cell r="D795">
            <v>2215.63</v>
          </cell>
          <cell r="F795">
            <v>949.65000000001396</v>
          </cell>
          <cell r="G795">
            <v>1329.51</v>
          </cell>
        </row>
        <row r="796">
          <cell r="B796">
            <v>792</v>
          </cell>
          <cell r="C796">
            <v>1584.59</v>
          </cell>
          <cell r="D796">
            <v>2218.4299999999998</v>
          </cell>
          <cell r="F796">
            <v>950.85000000001401</v>
          </cell>
          <cell r="G796">
            <v>1331.19</v>
          </cell>
        </row>
        <row r="797">
          <cell r="B797">
            <v>793</v>
          </cell>
          <cell r="C797">
            <v>1586.59</v>
          </cell>
          <cell r="D797">
            <v>2221.23</v>
          </cell>
          <cell r="F797">
            <v>952.05000000001405</v>
          </cell>
          <cell r="G797">
            <v>1332.87</v>
          </cell>
        </row>
        <row r="798">
          <cell r="B798">
            <v>794</v>
          </cell>
          <cell r="C798">
            <v>1588.59</v>
          </cell>
          <cell r="D798">
            <v>2224.0300000000002</v>
          </cell>
          <cell r="F798">
            <v>953.2500000000141</v>
          </cell>
          <cell r="G798">
            <v>1334.55</v>
          </cell>
        </row>
        <row r="799">
          <cell r="B799">
            <v>795</v>
          </cell>
          <cell r="C799">
            <v>1590.59</v>
          </cell>
          <cell r="D799">
            <v>2226.83</v>
          </cell>
          <cell r="F799">
            <v>954.45000000001414</v>
          </cell>
          <cell r="G799">
            <v>1336.23</v>
          </cell>
        </row>
        <row r="800">
          <cell r="B800">
            <v>796</v>
          </cell>
          <cell r="C800">
            <v>1592.59</v>
          </cell>
          <cell r="D800">
            <v>2229.63</v>
          </cell>
          <cell r="F800">
            <v>955.65000000001419</v>
          </cell>
          <cell r="G800">
            <v>1337.91</v>
          </cell>
        </row>
        <row r="801">
          <cell r="B801">
            <v>797</v>
          </cell>
          <cell r="C801">
            <v>1594.59</v>
          </cell>
          <cell r="D801">
            <v>2232.4299999999998</v>
          </cell>
          <cell r="F801">
            <v>956.85000000001423</v>
          </cell>
          <cell r="G801">
            <v>1339.59</v>
          </cell>
        </row>
        <row r="802">
          <cell r="B802">
            <v>798</v>
          </cell>
          <cell r="C802">
            <v>1596.59</v>
          </cell>
          <cell r="D802">
            <v>2235.23</v>
          </cell>
          <cell r="F802">
            <v>958.05000000001428</v>
          </cell>
          <cell r="G802">
            <v>1341.27</v>
          </cell>
        </row>
        <row r="803">
          <cell r="B803">
            <v>799</v>
          </cell>
          <cell r="C803">
            <v>1598.59</v>
          </cell>
          <cell r="D803">
            <v>2238.0300000000002</v>
          </cell>
          <cell r="F803">
            <v>959.25000000001432</v>
          </cell>
          <cell r="G803">
            <v>1342.95</v>
          </cell>
        </row>
        <row r="804">
          <cell r="B804">
            <v>800</v>
          </cell>
          <cell r="C804">
            <v>1600.59</v>
          </cell>
          <cell r="D804">
            <v>2240.83</v>
          </cell>
          <cell r="F804">
            <v>960.45000000001437</v>
          </cell>
          <cell r="G804">
            <v>1344.63</v>
          </cell>
        </row>
        <row r="805">
          <cell r="B805">
            <v>801</v>
          </cell>
          <cell r="C805">
            <v>1602.59</v>
          </cell>
          <cell r="D805">
            <v>2243.63</v>
          </cell>
          <cell r="F805">
            <v>961.65000000001442</v>
          </cell>
          <cell r="G805">
            <v>1346.31</v>
          </cell>
        </row>
        <row r="806">
          <cell r="B806">
            <v>802</v>
          </cell>
          <cell r="C806">
            <v>1604.59</v>
          </cell>
          <cell r="D806">
            <v>2246.4299999999998</v>
          </cell>
          <cell r="F806">
            <v>962.85000000001446</v>
          </cell>
          <cell r="G806">
            <v>1347.99</v>
          </cell>
        </row>
        <row r="807">
          <cell r="B807">
            <v>803</v>
          </cell>
          <cell r="C807">
            <v>1606.59</v>
          </cell>
          <cell r="D807">
            <v>2249.23</v>
          </cell>
          <cell r="F807">
            <v>964.05000000001451</v>
          </cell>
          <cell r="G807">
            <v>1349.67</v>
          </cell>
        </row>
        <row r="808">
          <cell r="B808">
            <v>804</v>
          </cell>
          <cell r="C808">
            <v>1608.59</v>
          </cell>
          <cell r="D808">
            <v>2252.0300000000002</v>
          </cell>
          <cell r="F808">
            <v>965.25000000001455</v>
          </cell>
          <cell r="G808">
            <v>1351.35</v>
          </cell>
        </row>
        <row r="809">
          <cell r="B809">
            <v>805</v>
          </cell>
          <cell r="C809">
            <v>1610.59</v>
          </cell>
          <cell r="D809">
            <v>2254.83</v>
          </cell>
          <cell r="F809">
            <v>966.4500000000146</v>
          </cell>
          <cell r="G809">
            <v>1353.03</v>
          </cell>
        </row>
        <row r="810">
          <cell r="B810">
            <v>806</v>
          </cell>
          <cell r="C810">
            <v>1612.59</v>
          </cell>
          <cell r="D810">
            <v>2257.63</v>
          </cell>
          <cell r="F810">
            <v>967.65000000001464</v>
          </cell>
          <cell r="G810">
            <v>1354.71</v>
          </cell>
        </row>
        <row r="811">
          <cell r="B811">
            <v>807</v>
          </cell>
          <cell r="C811">
            <v>1614.59</v>
          </cell>
          <cell r="D811">
            <v>2260.4299999999998</v>
          </cell>
          <cell r="F811">
            <v>968.85000000001469</v>
          </cell>
          <cell r="G811">
            <v>1356.39</v>
          </cell>
        </row>
        <row r="812">
          <cell r="B812">
            <v>808</v>
          </cell>
          <cell r="C812">
            <v>1616.59</v>
          </cell>
          <cell r="D812">
            <v>2263.23</v>
          </cell>
          <cell r="F812">
            <v>970.05000000001473</v>
          </cell>
          <cell r="G812">
            <v>1358.07</v>
          </cell>
        </row>
        <row r="813">
          <cell r="B813">
            <v>809</v>
          </cell>
          <cell r="C813">
            <v>1618.59</v>
          </cell>
          <cell r="D813">
            <v>2266.0300000000002</v>
          </cell>
          <cell r="F813">
            <v>971.25000000001478</v>
          </cell>
          <cell r="G813">
            <v>1359.75</v>
          </cell>
        </row>
        <row r="814">
          <cell r="B814">
            <v>810</v>
          </cell>
          <cell r="C814">
            <v>1620.59</v>
          </cell>
          <cell r="D814">
            <v>2268.83</v>
          </cell>
          <cell r="F814">
            <v>972.45000000001482</v>
          </cell>
          <cell r="G814">
            <v>1361.43</v>
          </cell>
        </row>
        <row r="815">
          <cell r="B815">
            <v>811</v>
          </cell>
          <cell r="C815">
            <v>1622.59</v>
          </cell>
          <cell r="D815">
            <v>2271.63</v>
          </cell>
          <cell r="F815">
            <v>973.65000000001487</v>
          </cell>
          <cell r="G815">
            <v>1363.11</v>
          </cell>
        </row>
        <row r="816">
          <cell r="B816">
            <v>812</v>
          </cell>
          <cell r="C816">
            <v>1624.59</v>
          </cell>
          <cell r="D816">
            <v>2274.4299999999998</v>
          </cell>
          <cell r="F816">
            <v>974.85000000001492</v>
          </cell>
          <cell r="G816">
            <v>1364.79</v>
          </cell>
        </row>
        <row r="817">
          <cell r="B817">
            <v>813</v>
          </cell>
          <cell r="C817">
            <v>1626.59</v>
          </cell>
          <cell r="D817">
            <v>2277.23</v>
          </cell>
          <cell r="F817">
            <v>976.05000000001496</v>
          </cell>
          <cell r="G817">
            <v>1366.47</v>
          </cell>
        </row>
        <row r="818">
          <cell r="B818">
            <v>814</v>
          </cell>
          <cell r="C818">
            <v>1628.59</v>
          </cell>
          <cell r="D818">
            <v>2280.0300000000002</v>
          </cell>
          <cell r="F818">
            <v>977.25000000001501</v>
          </cell>
          <cell r="G818">
            <v>1368.15</v>
          </cell>
        </row>
        <row r="819">
          <cell r="B819">
            <v>815</v>
          </cell>
          <cell r="C819">
            <v>1630.59</v>
          </cell>
          <cell r="D819">
            <v>2282.83</v>
          </cell>
          <cell r="F819">
            <v>978.45000000001505</v>
          </cell>
          <cell r="G819">
            <v>1369.83</v>
          </cell>
        </row>
        <row r="820">
          <cell r="B820">
            <v>816</v>
          </cell>
          <cell r="C820">
            <v>1632.59</v>
          </cell>
          <cell r="D820">
            <v>2285.63</v>
          </cell>
          <cell r="F820">
            <v>979.6500000000151</v>
          </cell>
          <cell r="G820">
            <v>1371.51</v>
          </cell>
        </row>
        <row r="821">
          <cell r="B821">
            <v>817</v>
          </cell>
          <cell r="C821">
            <v>1634.59</v>
          </cell>
          <cell r="D821">
            <v>2288.4299999999998</v>
          </cell>
          <cell r="F821">
            <v>980.85000000001514</v>
          </cell>
          <cell r="G821">
            <v>1373.19</v>
          </cell>
        </row>
        <row r="822">
          <cell r="B822">
            <v>818</v>
          </cell>
          <cell r="C822">
            <v>1636.59</v>
          </cell>
          <cell r="D822">
            <v>2291.23</v>
          </cell>
          <cell r="F822">
            <v>982.05000000001519</v>
          </cell>
          <cell r="G822">
            <v>1374.87</v>
          </cell>
        </row>
        <row r="823">
          <cell r="B823">
            <v>819</v>
          </cell>
          <cell r="C823">
            <v>1638.59</v>
          </cell>
          <cell r="D823">
            <v>2294.0300000000002</v>
          </cell>
          <cell r="F823">
            <v>983.25000000001523</v>
          </cell>
          <cell r="G823">
            <v>1376.55</v>
          </cell>
        </row>
        <row r="824">
          <cell r="B824">
            <v>820</v>
          </cell>
          <cell r="C824">
            <v>1640.59</v>
          </cell>
          <cell r="D824">
            <v>2296.83</v>
          </cell>
          <cell r="F824">
            <v>984.45000000001528</v>
          </cell>
          <cell r="G824">
            <v>1378.23</v>
          </cell>
        </row>
        <row r="825">
          <cell r="B825">
            <v>821</v>
          </cell>
          <cell r="C825">
            <v>1642.59</v>
          </cell>
          <cell r="D825">
            <v>2299.63</v>
          </cell>
          <cell r="F825">
            <v>985.65000000001532</v>
          </cell>
          <cell r="G825">
            <v>1379.91</v>
          </cell>
        </row>
        <row r="826">
          <cell r="B826">
            <v>822</v>
          </cell>
          <cell r="C826">
            <v>1644.59</v>
          </cell>
          <cell r="D826">
            <v>2302.4299999999998</v>
          </cell>
          <cell r="F826">
            <v>986.85000000001537</v>
          </cell>
          <cell r="G826">
            <v>1381.59</v>
          </cell>
        </row>
        <row r="827">
          <cell r="B827">
            <v>823</v>
          </cell>
          <cell r="C827">
            <v>1646.59</v>
          </cell>
          <cell r="D827">
            <v>2305.23</v>
          </cell>
          <cell r="F827">
            <v>988.05000000001542</v>
          </cell>
          <cell r="G827">
            <v>1383.27</v>
          </cell>
        </row>
        <row r="828">
          <cell r="B828">
            <v>824</v>
          </cell>
          <cell r="C828">
            <v>1648.59</v>
          </cell>
          <cell r="D828">
            <v>2308.0300000000002</v>
          </cell>
          <cell r="F828">
            <v>989.25000000001546</v>
          </cell>
          <cell r="G828">
            <v>1384.95</v>
          </cell>
        </row>
        <row r="829">
          <cell r="B829">
            <v>825</v>
          </cell>
          <cell r="C829">
            <v>1650.59</v>
          </cell>
          <cell r="D829">
            <v>2310.83</v>
          </cell>
          <cell r="F829">
            <v>990.45000000001551</v>
          </cell>
          <cell r="G829">
            <v>1386.63</v>
          </cell>
        </row>
        <row r="830">
          <cell r="B830">
            <v>826</v>
          </cell>
          <cell r="C830">
            <v>1652.59</v>
          </cell>
          <cell r="D830">
            <v>2313.63</v>
          </cell>
          <cell r="F830">
            <v>991.65000000001555</v>
          </cell>
          <cell r="G830">
            <v>1388.31</v>
          </cell>
        </row>
        <row r="831">
          <cell r="B831">
            <v>827</v>
          </cell>
          <cell r="C831">
            <v>1654.59</v>
          </cell>
          <cell r="D831">
            <v>2316.4299999999998</v>
          </cell>
          <cell r="F831">
            <v>992.8500000000156</v>
          </cell>
          <cell r="G831">
            <v>1389.99</v>
          </cell>
        </row>
        <row r="832">
          <cell r="B832">
            <v>828</v>
          </cell>
          <cell r="C832">
            <v>1656.59</v>
          </cell>
          <cell r="D832">
            <v>2319.23</v>
          </cell>
          <cell r="F832">
            <v>994.05000000001564</v>
          </cell>
          <cell r="G832">
            <v>1391.67</v>
          </cell>
        </row>
        <row r="833">
          <cell r="B833">
            <v>829</v>
          </cell>
          <cell r="C833">
            <v>1658.59</v>
          </cell>
          <cell r="D833">
            <v>2322.0300000000002</v>
          </cell>
          <cell r="F833">
            <v>995.25000000001569</v>
          </cell>
          <cell r="G833">
            <v>1393.35</v>
          </cell>
        </row>
        <row r="834">
          <cell r="B834">
            <v>830</v>
          </cell>
          <cell r="C834">
            <v>1660.59</v>
          </cell>
          <cell r="D834">
            <v>2324.83</v>
          </cell>
          <cell r="F834">
            <v>996.45000000001573</v>
          </cell>
          <cell r="G834">
            <v>1395.03</v>
          </cell>
        </row>
        <row r="835">
          <cell r="B835">
            <v>831</v>
          </cell>
          <cell r="C835">
            <v>1662.59</v>
          </cell>
          <cell r="D835">
            <v>2327.63</v>
          </cell>
          <cell r="F835">
            <v>997.65000000001578</v>
          </cell>
          <cell r="G835">
            <v>1396.71</v>
          </cell>
        </row>
        <row r="836">
          <cell r="B836">
            <v>832</v>
          </cell>
          <cell r="C836">
            <v>1664.59</v>
          </cell>
          <cell r="D836">
            <v>2330.4299999999998</v>
          </cell>
          <cell r="F836">
            <v>998.85000000001583</v>
          </cell>
          <cell r="G836">
            <v>1398.39</v>
          </cell>
        </row>
        <row r="837">
          <cell r="B837">
            <v>833</v>
          </cell>
          <cell r="C837">
            <v>1666.59</v>
          </cell>
          <cell r="D837">
            <v>2333.23</v>
          </cell>
          <cell r="F837">
            <v>1000.0500000000159</v>
          </cell>
          <cell r="G837">
            <v>1400.07</v>
          </cell>
        </row>
        <row r="838">
          <cell r="B838">
            <v>834</v>
          </cell>
          <cell r="C838">
            <v>1668.59</v>
          </cell>
          <cell r="D838">
            <v>2336.0300000000002</v>
          </cell>
          <cell r="F838">
            <v>1001.2500000000159</v>
          </cell>
          <cell r="G838">
            <v>1401.75</v>
          </cell>
        </row>
        <row r="839">
          <cell r="B839">
            <v>835</v>
          </cell>
          <cell r="C839">
            <v>1670.59</v>
          </cell>
          <cell r="D839">
            <v>2338.83</v>
          </cell>
          <cell r="F839">
            <v>1002.450000000016</v>
          </cell>
          <cell r="G839">
            <v>1403.43</v>
          </cell>
        </row>
        <row r="840">
          <cell r="B840">
            <v>836</v>
          </cell>
          <cell r="C840">
            <v>1672.59</v>
          </cell>
          <cell r="D840">
            <v>2341.63</v>
          </cell>
          <cell r="F840">
            <v>1003.650000000016</v>
          </cell>
          <cell r="G840">
            <v>1405.11</v>
          </cell>
        </row>
        <row r="841">
          <cell r="B841">
            <v>837</v>
          </cell>
          <cell r="C841">
            <v>1674.59</v>
          </cell>
          <cell r="D841">
            <v>2344.4299999999998</v>
          </cell>
          <cell r="F841">
            <v>1004.8500000000161</v>
          </cell>
          <cell r="G841">
            <v>1406.79</v>
          </cell>
        </row>
        <row r="842">
          <cell r="B842">
            <v>838</v>
          </cell>
          <cell r="C842">
            <v>1676.59</v>
          </cell>
          <cell r="D842">
            <v>2347.23</v>
          </cell>
          <cell r="F842">
            <v>1006.0500000000161</v>
          </cell>
          <cell r="G842">
            <v>1408.47</v>
          </cell>
        </row>
        <row r="843">
          <cell r="B843">
            <v>839</v>
          </cell>
          <cell r="C843">
            <v>1678.59</v>
          </cell>
          <cell r="D843">
            <v>2350.0300000000002</v>
          </cell>
          <cell r="F843">
            <v>1007.2500000000161</v>
          </cell>
          <cell r="G843">
            <v>1410.15</v>
          </cell>
        </row>
        <row r="844">
          <cell r="B844">
            <v>840</v>
          </cell>
          <cell r="C844">
            <v>1680.59</v>
          </cell>
          <cell r="D844">
            <v>2352.83</v>
          </cell>
          <cell r="F844">
            <v>1008.4500000000162</v>
          </cell>
          <cell r="G844">
            <v>1411.83</v>
          </cell>
        </row>
        <row r="845">
          <cell r="B845">
            <v>841</v>
          </cell>
          <cell r="C845">
            <v>1682.59</v>
          </cell>
          <cell r="D845">
            <v>2355.63</v>
          </cell>
          <cell r="F845">
            <v>1009.6500000000162</v>
          </cell>
          <cell r="G845">
            <v>1413.51</v>
          </cell>
        </row>
        <row r="846">
          <cell r="B846">
            <v>842</v>
          </cell>
          <cell r="C846">
            <v>1684.59</v>
          </cell>
          <cell r="D846">
            <v>2358.4299999999998</v>
          </cell>
          <cell r="F846">
            <v>1010.8500000000163</v>
          </cell>
          <cell r="G846">
            <v>1415.19</v>
          </cell>
        </row>
        <row r="847">
          <cell r="B847">
            <v>843</v>
          </cell>
          <cell r="C847">
            <v>1686.59</v>
          </cell>
          <cell r="D847">
            <v>2361.23</v>
          </cell>
          <cell r="F847">
            <v>1012.0500000000163</v>
          </cell>
          <cell r="G847">
            <v>1416.87</v>
          </cell>
        </row>
        <row r="848">
          <cell r="B848">
            <v>844</v>
          </cell>
          <cell r="C848">
            <v>1688.59</v>
          </cell>
          <cell r="D848">
            <v>2364.0300000000002</v>
          </cell>
          <cell r="F848">
            <v>1013.2500000000164</v>
          </cell>
          <cell r="G848">
            <v>1418.55</v>
          </cell>
        </row>
        <row r="849">
          <cell r="B849">
            <v>845</v>
          </cell>
          <cell r="C849">
            <v>1690.59</v>
          </cell>
          <cell r="D849">
            <v>2366.83</v>
          </cell>
          <cell r="F849">
            <v>1014.4500000000164</v>
          </cell>
          <cell r="G849">
            <v>1420.23</v>
          </cell>
        </row>
        <row r="850">
          <cell r="B850">
            <v>846</v>
          </cell>
          <cell r="C850">
            <v>1692.59</v>
          </cell>
          <cell r="D850">
            <v>2369.63</v>
          </cell>
          <cell r="F850">
            <v>1015.6500000000165</v>
          </cell>
          <cell r="G850">
            <v>1421.91</v>
          </cell>
        </row>
        <row r="851">
          <cell r="B851">
            <v>847</v>
          </cell>
          <cell r="C851">
            <v>1694.59</v>
          </cell>
          <cell r="D851">
            <v>2372.4299999999998</v>
          </cell>
          <cell r="F851">
            <v>1016.8500000000165</v>
          </cell>
          <cell r="G851">
            <v>1423.59</v>
          </cell>
        </row>
        <row r="852">
          <cell r="B852">
            <v>848</v>
          </cell>
          <cell r="C852">
            <v>1696.59</v>
          </cell>
          <cell r="D852">
            <v>2375.23</v>
          </cell>
          <cell r="F852">
            <v>1018.0500000000166</v>
          </cell>
          <cell r="G852">
            <v>1425.27</v>
          </cell>
        </row>
        <row r="853">
          <cell r="B853">
            <v>849</v>
          </cell>
          <cell r="C853">
            <v>1698.59</v>
          </cell>
          <cell r="D853">
            <v>2378.0300000000002</v>
          </cell>
          <cell r="F853">
            <v>1019.2500000000166</v>
          </cell>
          <cell r="G853">
            <v>1426.95</v>
          </cell>
        </row>
        <row r="854">
          <cell r="B854">
            <v>850</v>
          </cell>
          <cell r="C854">
            <v>1700.59</v>
          </cell>
          <cell r="D854">
            <v>2380.83</v>
          </cell>
          <cell r="F854">
            <v>1020.4500000000166</v>
          </cell>
          <cell r="G854">
            <v>1428.63</v>
          </cell>
        </row>
        <row r="855">
          <cell r="B855">
            <v>851</v>
          </cell>
          <cell r="C855">
            <v>1702.59</v>
          </cell>
          <cell r="D855">
            <v>2383.63</v>
          </cell>
          <cell r="F855">
            <v>1021.6500000000167</v>
          </cell>
          <cell r="G855">
            <v>1430.31</v>
          </cell>
        </row>
        <row r="856">
          <cell r="B856">
            <v>852</v>
          </cell>
          <cell r="C856">
            <v>1704.59</v>
          </cell>
          <cell r="D856">
            <v>2386.4299999999998</v>
          </cell>
          <cell r="F856">
            <v>1022.8500000000167</v>
          </cell>
          <cell r="G856">
            <v>1431.99</v>
          </cell>
        </row>
        <row r="857">
          <cell r="B857">
            <v>853</v>
          </cell>
          <cell r="C857">
            <v>1706.59</v>
          </cell>
          <cell r="D857">
            <v>2389.23</v>
          </cell>
          <cell r="F857">
            <v>1024.0500000000168</v>
          </cell>
          <cell r="G857">
            <v>1433.67</v>
          </cell>
        </row>
        <row r="858">
          <cell r="B858">
            <v>854</v>
          </cell>
          <cell r="C858">
            <v>1708.59</v>
          </cell>
          <cell r="D858">
            <v>2392.0300000000002</v>
          </cell>
          <cell r="F858">
            <v>1025.2500000000168</v>
          </cell>
          <cell r="G858">
            <v>1435.35</v>
          </cell>
        </row>
        <row r="859">
          <cell r="B859">
            <v>855</v>
          </cell>
          <cell r="C859">
            <v>1710.59</v>
          </cell>
          <cell r="D859">
            <v>2394.83</v>
          </cell>
          <cell r="F859">
            <v>1026.4500000000169</v>
          </cell>
          <cell r="G859">
            <v>1437.03</v>
          </cell>
        </row>
        <row r="860">
          <cell r="B860">
            <v>856</v>
          </cell>
          <cell r="C860">
            <v>1712.59</v>
          </cell>
          <cell r="D860">
            <v>2397.63</v>
          </cell>
          <cell r="F860">
            <v>1027.6500000000169</v>
          </cell>
          <cell r="G860">
            <v>1438.71</v>
          </cell>
        </row>
        <row r="861">
          <cell r="B861">
            <v>857</v>
          </cell>
          <cell r="C861">
            <v>1714.59</v>
          </cell>
          <cell r="D861">
            <v>2400.4299999999998</v>
          </cell>
          <cell r="F861">
            <v>1028.850000000017</v>
          </cell>
          <cell r="G861">
            <v>1440.39</v>
          </cell>
        </row>
        <row r="862">
          <cell r="B862">
            <v>858</v>
          </cell>
          <cell r="C862">
            <v>1716.59</v>
          </cell>
          <cell r="D862">
            <v>2403.23</v>
          </cell>
          <cell r="F862">
            <v>1030.050000000017</v>
          </cell>
          <cell r="G862">
            <v>1442.07</v>
          </cell>
        </row>
        <row r="863">
          <cell r="B863">
            <v>859</v>
          </cell>
          <cell r="C863">
            <v>1718.59</v>
          </cell>
          <cell r="D863">
            <v>2406.0300000000002</v>
          </cell>
          <cell r="F863">
            <v>1031.2500000000171</v>
          </cell>
          <cell r="G863">
            <v>1443.75</v>
          </cell>
        </row>
        <row r="864">
          <cell r="B864">
            <v>860</v>
          </cell>
          <cell r="C864">
            <v>1720.59</v>
          </cell>
          <cell r="D864">
            <v>2408.83</v>
          </cell>
          <cell r="F864">
            <v>1032.4500000000171</v>
          </cell>
          <cell r="G864">
            <v>1445.43</v>
          </cell>
        </row>
        <row r="865">
          <cell r="B865">
            <v>861</v>
          </cell>
          <cell r="C865">
            <v>1722.59</v>
          </cell>
          <cell r="D865">
            <v>2411.63</v>
          </cell>
          <cell r="F865">
            <v>1033.6500000000171</v>
          </cell>
          <cell r="G865">
            <v>1447.11</v>
          </cell>
        </row>
        <row r="866">
          <cell r="B866">
            <v>862</v>
          </cell>
          <cell r="C866">
            <v>1724.59</v>
          </cell>
          <cell r="D866">
            <v>2414.4299999999998</v>
          </cell>
          <cell r="F866">
            <v>1034.8500000000172</v>
          </cell>
          <cell r="G866">
            <v>1448.79</v>
          </cell>
        </row>
        <row r="867">
          <cell r="B867">
            <v>863</v>
          </cell>
          <cell r="C867">
            <v>1726.59</v>
          </cell>
          <cell r="D867">
            <v>2417.23</v>
          </cell>
          <cell r="F867">
            <v>1036.0500000000172</v>
          </cell>
          <cell r="G867">
            <v>1450.47</v>
          </cell>
        </row>
        <row r="868">
          <cell r="B868">
            <v>864</v>
          </cell>
          <cell r="C868">
            <v>1728.59</v>
          </cell>
          <cell r="D868">
            <v>2420.0300000000002</v>
          </cell>
          <cell r="F868">
            <v>1037.2500000000173</v>
          </cell>
          <cell r="G868">
            <v>1452.15</v>
          </cell>
        </row>
        <row r="869">
          <cell r="B869">
            <v>865</v>
          </cell>
          <cell r="C869">
            <v>1730.59</v>
          </cell>
          <cell r="D869">
            <v>2422.83</v>
          </cell>
          <cell r="F869">
            <v>1038.4500000000173</v>
          </cell>
          <cell r="G869">
            <v>1453.83</v>
          </cell>
        </row>
        <row r="870">
          <cell r="B870">
            <v>866</v>
          </cell>
          <cell r="C870">
            <v>1732.59</v>
          </cell>
          <cell r="D870">
            <v>2425.63</v>
          </cell>
          <cell r="F870">
            <v>1039.6500000000174</v>
          </cell>
          <cell r="G870">
            <v>1455.51</v>
          </cell>
        </row>
        <row r="871">
          <cell r="B871">
            <v>867</v>
          </cell>
          <cell r="C871">
            <v>1734.59</v>
          </cell>
          <cell r="D871">
            <v>2428.4299999999998</v>
          </cell>
          <cell r="F871">
            <v>1040.8500000000174</v>
          </cell>
          <cell r="G871">
            <v>1457.19</v>
          </cell>
        </row>
        <row r="872">
          <cell r="B872">
            <v>868</v>
          </cell>
          <cell r="C872">
            <v>1736.59</v>
          </cell>
          <cell r="D872">
            <v>2431.23</v>
          </cell>
          <cell r="F872">
            <v>1042.0500000000175</v>
          </cell>
          <cell r="G872">
            <v>1458.87</v>
          </cell>
        </row>
        <row r="873">
          <cell r="B873">
            <v>869</v>
          </cell>
          <cell r="C873">
            <v>1738.59</v>
          </cell>
          <cell r="D873">
            <v>2434.0300000000002</v>
          </cell>
          <cell r="F873">
            <v>1043.2500000000175</v>
          </cell>
          <cell r="G873">
            <v>1460.55</v>
          </cell>
        </row>
        <row r="874">
          <cell r="B874">
            <v>870</v>
          </cell>
          <cell r="C874">
            <v>1740.59</v>
          </cell>
          <cell r="D874">
            <v>2436.83</v>
          </cell>
          <cell r="F874">
            <v>1044.4500000000176</v>
          </cell>
          <cell r="G874">
            <v>1462.23</v>
          </cell>
        </row>
        <row r="875">
          <cell r="B875">
            <v>871</v>
          </cell>
          <cell r="C875">
            <v>1742.59</v>
          </cell>
          <cell r="D875">
            <v>2439.63</v>
          </cell>
          <cell r="F875">
            <v>1045.6500000000176</v>
          </cell>
          <cell r="G875">
            <v>1463.91</v>
          </cell>
        </row>
        <row r="876">
          <cell r="B876">
            <v>872</v>
          </cell>
          <cell r="C876">
            <v>1744.59</v>
          </cell>
          <cell r="D876">
            <v>2442.4299999999998</v>
          </cell>
          <cell r="F876">
            <v>1046.8500000000176</v>
          </cell>
          <cell r="G876">
            <v>1465.59</v>
          </cell>
        </row>
        <row r="877">
          <cell r="B877">
            <v>873</v>
          </cell>
          <cell r="C877">
            <v>1746.59</v>
          </cell>
          <cell r="D877">
            <v>2445.23</v>
          </cell>
          <cell r="F877">
            <v>1048.0500000000177</v>
          </cell>
          <cell r="G877">
            <v>1467.27</v>
          </cell>
        </row>
        <row r="878">
          <cell r="B878">
            <v>874</v>
          </cell>
          <cell r="C878">
            <v>1748.59</v>
          </cell>
          <cell r="D878">
            <v>2448.0300000000002</v>
          </cell>
          <cell r="F878">
            <v>1049.2500000000177</v>
          </cell>
          <cell r="G878">
            <v>1468.95</v>
          </cell>
        </row>
        <row r="879">
          <cell r="B879">
            <v>875</v>
          </cell>
          <cell r="C879">
            <v>1750.59</v>
          </cell>
          <cell r="D879">
            <v>2450.83</v>
          </cell>
          <cell r="F879">
            <v>1050.4500000000178</v>
          </cell>
          <cell r="G879">
            <v>1470.63</v>
          </cell>
        </row>
        <row r="880">
          <cell r="B880">
            <v>876</v>
          </cell>
          <cell r="C880">
            <v>1752.59</v>
          </cell>
          <cell r="D880">
            <v>2453.63</v>
          </cell>
          <cell r="F880">
            <v>1051.6500000000178</v>
          </cell>
          <cell r="G880">
            <v>1472.31</v>
          </cell>
        </row>
        <row r="881">
          <cell r="B881">
            <v>877</v>
          </cell>
          <cell r="C881">
            <v>1754.59</v>
          </cell>
          <cell r="D881">
            <v>2456.4299999999998</v>
          </cell>
          <cell r="F881">
            <v>1052.8500000000179</v>
          </cell>
          <cell r="G881">
            <v>1473.99</v>
          </cell>
        </row>
        <row r="882">
          <cell r="B882">
            <v>878</v>
          </cell>
          <cell r="C882">
            <v>1756.59</v>
          </cell>
          <cell r="D882">
            <v>2459.23</v>
          </cell>
          <cell r="F882">
            <v>1054.0500000000179</v>
          </cell>
          <cell r="G882">
            <v>1475.67</v>
          </cell>
        </row>
        <row r="883">
          <cell r="B883">
            <v>879</v>
          </cell>
          <cell r="C883">
            <v>1758.59</v>
          </cell>
          <cell r="D883">
            <v>2462.0300000000002</v>
          </cell>
          <cell r="F883">
            <v>1055.250000000018</v>
          </cell>
          <cell r="G883">
            <v>1477.35</v>
          </cell>
        </row>
        <row r="884">
          <cell r="B884">
            <v>880</v>
          </cell>
          <cell r="C884">
            <v>1760.59</v>
          </cell>
          <cell r="D884">
            <v>2464.83</v>
          </cell>
          <cell r="F884">
            <v>1056.450000000018</v>
          </cell>
          <cell r="G884">
            <v>1479.03</v>
          </cell>
        </row>
        <row r="885">
          <cell r="B885">
            <v>881</v>
          </cell>
          <cell r="C885">
            <v>1762.59</v>
          </cell>
          <cell r="D885">
            <v>2467.63</v>
          </cell>
          <cell r="F885">
            <v>1057.6500000000181</v>
          </cell>
          <cell r="G885">
            <v>1480.71</v>
          </cell>
        </row>
        <row r="886">
          <cell r="B886">
            <v>882</v>
          </cell>
          <cell r="C886">
            <v>1764.59</v>
          </cell>
          <cell r="D886">
            <v>2470.4299999999998</v>
          </cell>
          <cell r="F886">
            <v>1058.8500000000181</v>
          </cell>
          <cell r="G886">
            <v>1482.39</v>
          </cell>
        </row>
        <row r="887">
          <cell r="B887">
            <v>883</v>
          </cell>
          <cell r="C887">
            <v>1766.59</v>
          </cell>
          <cell r="D887">
            <v>2473.23</v>
          </cell>
          <cell r="F887">
            <v>1060.0500000000181</v>
          </cell>
          <cell r="G887">
            <v>1484.07</v>
          </cell>
        </row>
        <row r="888">
          <cell r="B888">
            <v>884</v>
          </cell>
          <cell r="C888">
            <v>1768.59</v>
          </cell>
          <cell r="D888">
            <v>2476.0300000000002</v>
          </cell>
          <cell r="F888">
            <v>1061.2500000000182</v>
          </cell>
          <cell r="G888">
            <v>1485.75</v>
          </cell>
        </row>
        <row r="889">
          <cell r="B889">
            <v>885</v>
          </cell>
          <cell r="C889">
            <v>1770.59</v>
          </cell>
          <cell r="D889">
            <v>2478.83</v>
          </cell>
          <cell r="F889">
            <v>1062.4500000000182</v>
          </cell>
          <cell r="G889">
            <v>1487.43</v>
          </cell>
        </row>
        <row r="890">
          <cell r="B890">
            <v>886</v>
          </cell>
          <cell r="C890">
            <v>1772.59</v>
          </cell>
          <cell r="D890">
            <v>2481.63</v>
          </cell>
          <cell r="F890">
            <v>1063.6500000000183</v>
          </cell>
          <cell r="G890">
            <v>1489.11</v>
          </cell>
        </row>
        <row r="891">
          <cell r="B891">
            <v>887</v>
          </cell>
          <cell r="C891">
            <v>1774.59</v>
          </cell>
          <cell r="D891">
            <v>2484.4299999999998</v>
          </cell>
          <cell r="F891">
            <v>1064.8500000000183</v>
          </cell>
          <cell r="G891">
            <v>1490.79</v>
          </cell>
        </row>
        <row r="892">
          <cell r="B892">
            <v>888</v>
          </cell>
          <cell r="C892">
            <v>1776.59</v>
          </cell>
          <cell r="D892">
            <v>2487.23</v>
          </cell>
          <cell r="F892">
            <v>1066.0500000000184</v>
          </cell>
          <cell r="G892">
            <v>1492.47</v>
          </cell>
        </row>
        <row r="893">
          <cell r="B893">
            <v>889</v>
          </cell>
          <cell r="C893">
            <v>1778.59</v>
          </cell>
          <cell r="D893">
            <v>2490.0300000000002</v>
          </cell>
          <cell r="F893">
            <v>1067.2500000000184</v>
          </cell>
          <cell r="G893">
            <v>1494.15</v>
          </cell>
        </row>
        <row r="894">
          <cell r="B894">
            <v>890</v>
          </cell>
          <cell r="C894">
            <v>1780.59</v>
          </cell>
          <cell r="D894">
            <v>2492.83</v>
          </cell>
          <cell r="F894">
            <v>1068.4500000000185</v>
          </cell>
          <cell r="G894">
            <v>1495.83</v>
          </cell>
        </row>
        <row r="895">
          <cell r="B895">
            <v>891</v>
          </cell>
          <cell r="C895">
            <v>1782.59</v>
          </cell>
          <cell r="D895">
            <v>2495.63</v>
          </cell>
          <cell r="F895">
            <v>1069.6500000000185</v>
          </cell>
          <cell r="G895">
            <v>1497.51</v>
          </cell>
        </row>
        <row r="896">
          <cell r="B896">
            <v>892</v>
          </cell>
          <cell r="C896">
            <v>1784.59</v>
          </cell>
          <cell r="D896">
            <v>2498.4299999999998</v>
          </cell>
          <cell r="F896">
            <v>1070.8500000000186</v>
          </cell>
          <cell r="G896">
            <v>1499.19</v>
          </cell>
        </row>
        <row r="897">
          <cell r="B897">
            <v>893</v>
          </cell>
          <cell r="C897">
            <v>1786.59</v>
          </cell>
          <cell r="D897">
            <v>2501.23</v>
          </cell>
          <cell r="F897">
            <v>1072.0500000000186</v>
          </cell>
          <cell r="G897">
            <v>1500.87</v>
          </cell>
        </row>
        <row r="898">
          <cell r="B898">
            <v>894</v>
          </cell>
          <cell r="C898">
            <v>1788.59</v>
          </cell>
          <cell r="D898">
            <v>2504.0300000000002</v>
          </cell>
          <cell r="F898">
            <v>1073.2500000000186</v>
          </cell>
          <cell r="G898">
            <v>1502.55</v>
          </cell>
        </row>
        <row r="899">
          <cell r="B899">
            <v>895</v>
          </cell>
          <cell r="C899">
            <v>1790.59</v>
          </cell>
          <cell r="D899">
            <v>2506.83</v>
          </cell>
          <cell r="F899">
            <v>1074.4500000000187</v>
          </cell>
          <cell r="G899">
            <v>1504.23</v>
          </cell>
        </row>
        <row r="900">
          <cell r="B900">
            <v>896</v>
          </cell>
          <cell r="C900">
            <v>1792.59</v>
          </cell>
          <cell r="D900">
            <v>2509.63</v>
          </cell>
          <cell r="F900">
            <v>1075.6500000000187</v>
          </cell>
          <cell r="G900">
            <v>1505.91</v>
          </cell>
        </row>
        <row r="901">
          <cell r="B901">
            <v>897</v>
          </cell>
          <cell r="C901">
            <v>1794.59</v>
          </cell>
          <cell r="D901">
            <v>2512.4299999999998</v>
          </cell>
          <cell r="F901">
            <v>1076.8500000000188</v>
          </cell>
          <cell r="G901">
            <v>1507.59</v>
          </cell>
        </row>
        <row r="902">
          <cell r="B902">
            <v>898</v>
          </cell>
          <cell r="C902">
            <v>1796.59</v>
          </cell>
          <cell r="D902">
            <v>2515.23</v>
          </cell>
          <cell r="F902">
            <v>1078.0500000000188</v>
          </cell>
          <cell r="G902">
            <v>1509.27</v>
          </cell>
        </row>
        <row r="903">
          <cell r="B903">
            <v>899</v>
          </cell>
          <cell r="C903">
            <v>1798.59</v>
          </cell>
          <cell r="D903">
            <v>2518.0300000000002</v>
          </cell>
          <cell r="F903">
            <v>1079.2500000000189</v>
          </cell>
          <cell r="G903">
            <v>1510.95</v>
          </cell>
        </row>
        <row r="904">
          <cell r="B904">
            <v>900</v>
          </cell>
          <cell r="C904">
            <v>1800.59</v>
          </cell>
          <cell r="D904">
            <v>2520.83</v>
          </cell>
          <cell r="F904">
            <v>1080.4500000000189</v>
          </cell>
          <cell r="G904">
            <v>1512.63</v>
          </cell>
        </row>
        <row r="905">
          <cell r="B905">
            <v>901</v>
          </cell>
          <cell r="C905">
            <v>1802.59</v>
          </cell>
          <cell r="D905">
            <v>2523.63</v>
          </cell>
          <cell r="F905">
            <v>1081.650000000019</v>
          </cell>
          <cell r="G905">
            <v>1514.31</v>
          </cell>
        </row>
        <row r="906">
          <cell r="B906">
            <v>902</v>
          </cell>
          <cell r="C906">
            <v>1804.59</v>
          </cell>
          <cell r="D906">
            <v>2526.4299999999998</v>
          </cell>
          <cell r="F906">
            <v>1082.850000000019</v>
          </cell>
          <cell r="G906">
            <v>1515.99</v>
          </cell>
        </row>
        <row r="907">
          <cell r="B907">
            <v>903</v>
          </cell>
          <cell r="C907">
            <v>1806.59</v>
          </cell>
          <cell r="D907">
            <v>2529.23</v>
          </cell>
          <cell r="F907">
            <v>1084.0500000000191</v>
          </cell>
          <cell r="G907">
            <v>1517.67</v>
          </cell>
        </row>
        <row r="908">
          <cell r="B908">
            <v>904</v>
          </cell>
          <cell r="C908">
            <v>1808.59</v>
          </cell>
          <cell r="D908">
            <v>2532.0300000000002</v>
          </cell>
          <cell r="F908">
            <v>1085.2500000000191</v>
          </cell>
          <cell r="G908">
            <v>1519.35</v>
          </cell>
        </row>
        <row r="909">
          <cell r="B909">
            <v>905</v>
          </cell>
          <cell r="C909">
            <v>1810.59</v>
          </cell>
          <cell r="D909">
            <v>2534.83</v>
          </cell>
          <cell r="F909">
            <v>1086.4500000000191</v>
          </cell>
          <cell r="G909">
            <v>1521.03</v>
          </cell>
        </row>
        <row r="910">
          <cell r="B910">
            <v>906</v>
          </cell>
          <cell r="C910">
            <v>1812.59</v>
          </cell>
          <cell r="D910">
            <v>2537.63</v>
          </cell>
          <cell r="F910">
            <v>1087.6500000000192</v>
          </cell>
          <cell r="G910">
            <v>1522.71</v>
          </cell>
        </row>
        <row r="911">
          <cell r="B911">
            <v>907</v>
          </cell>
          <cell r="C911">
            <v>1814.59</v>
          </cell>
          <cell r="D911">
            <v>2540.4299999999998</v>
          </cell>
          <cell r="F911">
            <v>1088.8500000000192</v>
          </cell>
          <cell r="G911">
            <v>1524.39</v>
          </cell>
        </row>
        <row r="912">
          <cell r="B912">
            <v>908</v>
          </cell>
          <cell r="C912">
            <v>1816.59</v>
          </cell>
          <cell r="D912">
            <v>2543.23</v>
          </cell>
          <cell r="F912">
            <v>1090.0500000000193</v>
          </cell>
          <cell r="G912">
            <v>1526.07</v>
          </cell>
        </row>
        <row r="913">
          <cell r="B913">
            <v>909</v>
          </cell>
          <cell r="C913">
            <v>1818.59</v>
          </cell>
          <cell r="D913">
            <v>2546.0300000000002</v>
          </cell>
          <cell r="F913">
            <v>1091.2500000000193</v>
          </cell>
          <cell r="G913">
            <v>1527.75</v>
          </cell>
        </row>
        <row r="914">
          <cell r="B914">
            <v>910</v>
          </cell>
          <cell r="C914">
            <v>1820.59</v>
          </cell>
          <cell r="D914">
            <v>2548.83</v>
          </cell>
          <cell r="F914">
            <v>1092.4500000000194</v>
          </cell>
          <cell r="G914">
            <v>1529.43</v>
          </cell>
        </row>
        <row r="915">
          <cell r="B915">
            <v>911</v>
          </cell>
          <cell r="C915">
            <v>1822.59</v>
          </cell>
          <cell r="D915">
            <v>2551.63</v>
          </cell>
          <cell r="F915">
            <v>1093.6500000000194</v>
          </cell>
          <cell r="G915">
            <v>1531.11</v>
          </cell>
        </row>
        <row r="916">
          <cell r="B916">
            <v>912</v>
          </cell>
          <cell r="C916">
            <v>1824.59</v>
          </cell>
          <cell r="D916">
            <v>2554.4299999999998</v>
          </cell>
          <cell r="F916">
            <v>1094.8500000000195</v>
          </cell>
          <cell r="G916">
            <v>1532.79</v>
          </cell>
        </row>
        <row r="917">
          <cell r="B917">
            <v>913</v>
          </cell>
          <cell r="C917">
            <v>1826.59</v>
          </cell>
          <cell r="D917">
            <v>2557.23</v>
          </cell>
          <cell r="F917">
            <v>1096.0500000000195</v>
          </cell>
          <cell r="G917">
            <v>1534.47</v>
          </cell>
        </row>
        <row r="918">
          <cell r="B918">
            <v>914</v>
          </cell>
          <cell r="C918">
            <v>1828.59</v>
          </cell>
          <cell r="D918">
            <v>2560.0300000000002</v>
          </cell>
          <cell r="F918">
            <v>1097.2500000000196</v>
          </cell>
          <cell r="G918">
            <v>1536.15</v>
          </cell>
        </row>
        <row r="919">
          <cell r="B919">
            <v>915</v>
          </cell>
          <cell r="C919">
            <v>1830.59</v>
          </cell>
          <cell r="D919">
            <v>2562.83</v>
          </cell>
          <cell r="F919">
            <v>1098.4500000000196</v>
          </cell>
          <cell r="G919">
            <v>1537.83</v>
          </cell>
        </row>
        <row r="920">
          <cell r="B920">
            <v>916</v>
          </cell>
          <cell r="C920">
            <v>1832.59</v>
          </cell>
          <cell r="D920">
            <v>2565.63</v>
          </cell>
          <cell r="F920">
            <v>1099.6500000000196</v>
          </cell>
          <cell r="G920">
            <v>1539.51</v>
          </cell>
        </row>
        <row r="921">
          <cell r="B921">
            <v>917</v>
          </cell>
          <cell r="C921">
            <v>1834.59</v>
          </cell>
          <cell r="D921">
            <v>2568.4299999999998</v>
          </cell>
          <cell r="F921">
            <v>1100.8500000000197</v>
          </cell>
          <cell r="G921">
            <v>1541.19</v>
          </cell>
        </row>
        <row r="922">
          <cell r="B922">
            <v>918</v>
          </cell>
          <cell r="C922">
            <v>1836.59</v>
          </cell>
          <cell r="D922">
            <v>2571.23</v>
          </cell>
          <cell r="F922">
            <v>1102.0500000000197</v>
          </cell>
          <cell r="G922">
            <v>1542.87</v>
          </cell>
        </row>
        <row r="923">
          <cell r="B923">
            <v>919</v>
          </cell>
          <cell r="C923">
            <v>1838.59</v>
          </cell>
          <cell r="D923">
            <v>2574.0300000000002</v>
          </cell>
          <cell r="F923">
            <v>1103.2500000000198</v>
          </cell>
          <cell r="G923">
            <v>1544.55</v>
          </cell>
        </row>
        <row r="924">
          <cell r="B924">
            <v>920</v>
          </cell>
          <cell r="C924">
            <v>1840.59</v>
          </cell>
          <cell r="D924">
            <v>2576.83</v>
          </cell>
          <cell r="F924">
            <v>1104.4500000000198</v>
          </cell>
          <cell r="G924">
            <v>1546.23</v>
          </cell>
        </row>
        <row r="925">
          <cell r="B925">
            <v>921</v>
          </cell>
          <cell r="C925">
            <v>1842.59</v>
          </cell>
          <cell r="D925">
            <v>2579.63</v>
          </cell>
          <cell r="F925">
            <v>1105.6500000000199</v>
          </cell>
          <cell r="G925">
            <v>1547.91</v>
          </cell>
        </row>
        <row r="926">
          <cell r="B926">
            <v>922</v>
          </cell>
          <cell r="C926">
            <v>1844.59</v>
          </cell>
          <cell r="D926">
            <v>2582.4299999999998</v>
          </cell>
          <cell r="F926">
            <v>1106.8500000000199</v>
          </cell>
          <cell r="G926">
            <v>1549.59</v>
          </cell>
        </row>
        <row r="927">
          <cell r="B927">
            <v>923</v>
          </cell>
          <cell r="C927">
            <v>1846.59</v>
          </cell>
          <cell r="D927">
            <v>2585.23</v>
          </cell>
          <cell r="F927">
            <v>1108.05000000002</v>
          </cell>
          <cell r="G927">
            <v>1551.27</v>
          </cell>
        </row>
        <row r="928">
          <cell r="B928">
            <v>924</v>
          </cell>
          <cell r="C928">
            <v>1848.59</v>
          </cell>
          <cell r="D928">
            <v>2588.0300000000002</v>
          </cell>
          <cell r="F928">
            <v>1109.25000000002</v>
          </cell>
          <cell r="G928">
            <v>1552.95</v>
          </cell>
        </row>
        <row r="929">
          <cell r="B929">
            <v>925</v>
          </cell>
          <cell r="C929">
            <v>1850.59</v>
          </cell>
          <cell r="D929">
            <v>2590.83</v>
          </cell>
          <cell r="F929">
            <v>1110.4500000000201</v>
          </cell>
          <cell r="G929">
            <v>1554.63</v>
          </cell>
        </row>
        <row r="930">
          <cell r="B930">
            <v>926</v>
          </cell>
          <cell r="C930">
            <v>1852.59</v>
          </cell>
          <cell r="D930">
            <v>2593.63</v>
          </cell>
          <cell r="F930">
            <v>1111.6500000000201</v>
          </cell>
          <cell r="G930">
            <v>1556.31</v>
          </cell>
        </row>
        <row r="931">
          <cell r="B931">
            <v>927</v>
          </cell>
          <cell r="C931">
            <v>1854.59</v>
          </cell>
          <cell r="D931">
            <v>2596.4299999999998</v>
          </cell>
          <cell r="F931">
            <v>1112.8500000000201</v>
          </cell>
          <cell r="G931">
            <v>1557.99</v>
          </cell>
        </row>
        <row r="932">
          <cell r="B932">
            <v>928</v>
          </cell>
          <cell r="C932">
            <v>1856.59</v>
          </cell>
          <cell r="D932">
            <v>2599.23</v>
          </cell>
          <cell r="F932">
            <v>1114.0500000000202</v>
          </cell>
          <cell r="G932">
            <v>1559.67</v>
          </cell>
        </row>
        <row r="933">
          <cell r="B933">
            <v>929</v>
          </cell>
          <cell r="C933">
            <v>1858.59</v>
          </cell>
          <cell r="D933">
            <v>2602.0300000000002</v>
          </cell>
          <cell r="F933">
            <v>1115.2500000000202</v>
          </cell>
          <cell r="G933">
            <v>1561.35</v>
          </cell>
        </row>
        <row r="934">
          <cell r="B934">
            <v>930</v>
          </cell>
          <cell r="C934">
            <v>1860.59</v>
          </cell>
          <cell r="D934">
            <v>2604.83</v>
          </cell>
          <cell r="F934">
            <v>1116.4500000000203</v>
          </cell>
          <cell r="G934">
            <v>1563.03</v>
          </cell>
        </row>
        <row r="935">
          <cell r="B935">
            <v>931</v>
          </cell>
          <cell r="C935">
            <v>1862.59</v>
          </cell>
          <cell r="D935">
            <v>2607.63</v>
          </cell>
          <cell r="F935">
            <v>1117.6500000000203</v>
          </cell>
          <cell r="G935">
            <v>1564.71</v>
          </cell>
        </row>
        <row r="936">
          <cell r="B936">
            <v>932</v>
          </cell>
          <cell r="C936">
            <v>1864.59</v>
          </cell>
          <cell r="D936">
            <v>2610.4299999999998</v>
          </cell>
          <cell r="F936">
            <v>1118.8500000000204</v>
          </cell>
          <cell r="G936">
            <v>1566.39</v>
          </cell>
        </row>
        <row r="937">
          <cell r="B937">
            <v>933</v>
          </cell>
          <cell r="C937">
            <v>1866.59</v>
          </cell>
          <cell r="D937">
            <v>2613.23</v>
          </cell>
          <cell r="F937">
            <v>1120.0500000000204</v>
          </cell>
          <cell r="G937">
            <v>1568.07</v>
          </cell>
        </row>
        <row r="938">
          <cell r="B938">
            <v>934</v>
          </cell>
          <cell r="C938">
            <v>1868.59</v>
          </cell>
          <cell r="D938">
            <v>2616.0300000000002</v>
          </cell>
          <cell r="F938">
            <v>1121.2500000000205</v>
          </cell>
          <cell r="G938">
            <v>1569.75</v>
          </cell>
        </row>
        <row r="939">
          <cell r="B939">
            <v>935</v>
          </cell>
          <cell r="C939">
            <v>1870.59</v>
          </cell>
          <cell r="D939">
            <v>2618.83</v>
          </cell>
          <cell r="F939">
            <v>1122.4500000000205</v>
          </cell>
          <cell r="G939">
            <v>1571.43</v>
          </cell>
        </row>
        <row r="940">
          <cell r="B940">
            <v>936</v>
          </cell>
          <cell r="C940">
            <v>1872.59</v>
          </cell>
          <cell r="D940">
            <v>2621.63</v>
          </cell>
          <cell r="F940">
            <v>1123.6500000000206</v>
          </cell>
          <cell r="G940">
            <v>1573.11</v>
          </cell>
        </row>
        <row r="941">
          <cell r="B941">
            <v>937</v>
          </cell>
          <cell r="C941">
            <v>1874.59</v>
          </cell>
          <cell r="D941">
            <v>2624.43</v>
          </cell>
          <cell r="F941">
            <v>1124.8500000000206</v>
          </cell>
          <cell r="G941">
            <v>1574.79</v>
          </cell>
        </row>
        <row r="942">
          <cell r="B942">
            <v>938</v>
          </cell>
          <cell r="C942">
            <v>1876.59</v>
          </cell>
          <cell r="D942">
            <v>2627.23</v>
          </cell>
          <cell r="F942">
            <v>1126.0500000000206</v>
          </cell>
          <cell r="G942">
            <v>1576.47</v>
          </cell>
        </row>
        <row r="943">
          <cell r="B943">
            <v>939</v>
          </cell>
          <cell r="C943">
            <v>1878.59</v>
          </cell>
          <cell r="D943">
            <v>2630.03</v>
          </cell>
          <cell r="F943">
            <v>1127.2500000000207</v>
          </cell>
          <cell r="G943">
            <v>1578.15</v>
          </cell>
        </row>
        <row r="944">
          <cell r="B944">
            <v>940</v>
          </cell>
          <cell r="C944">
            <v>1880.59</v>
          </cell>
          <cell r="D944">
            <v>2632.83</v>
          </cell>
          <cell r="F944">
            <v>1128.4500000000207</v>
          </cell>
          <cell r="G944">
            <v>1579.83</v>
          </cell>
        </row>
        <row r="945">
          <cell r="B945">
            <v>941</v>
          </cell>
          <cell r="C945">
            <v>1882.59</v>
          </cell>
          <cell r="D945">
            <v>2635.63</v>
          </cell>
          <cell r="F945">
            <v>1129.6500000000208</v>
          </cell>
          <cell r="G945">
            <v>1581.51</v>
          </cell>
        </row>
        <row r="946">
          <cell r="B946">
            <v>942</v>
          </cell>
          <cell r="C946">
            <v>1884.59</v>
          </cell>
          <cell r="D946">
            <v>2638.43</v>
          </cell>
          <cell r="F946">
            <v>1130.8500000000208</v>
          </cell>
          <cell r="G946">
            <v>1583.19</v>
          </cell>
        </row>
        <row r="947">
          <cell r="B947">
            <v>943</v>
          </cell>
          <cell r="C947">
            <v>1886.59</v>
          </cell>
          <cell r="D947">
            <v>2641.23</v>
          </cell>
          <cell r="F947">
            <v>1132.0500000000209</v>
          </cell>
          <cell r="G947">
            <v>1584.87</v>
          </cell>
        </row>
        <row r="948">
          <cell r="B948">
            <v>944</v>
          </cell>
          <cell r="C948">
            <v>1888.59</v>
          </cell>
          <cell r="D948">
            <v>2644.03</v>
          </cell>
          <cell r="F948">
            <v>1133.2500000000209</v>
          </cell>
          <cell r="G948">
            <v>1586.55</v>
          </cell>
        </row>
        <row r="949">
          <cell r="B949">
            <v>945</v>
          </cell>
          <cell r="C949">
            <v>1890.59</v>
          </cell>
          <cell r="D949">
            <v>2646.83</v>
          </cell>
          <cell r="F949">
            <v>1134.450000000021</v>
          </cell>
          <cell r="G949">
            <v>1588.23</v>
          </cell>
        </row>
        <row r="950">
          <cell r="B950">
            <v>946</v>
          </cell>
          <cell r="C950">
            <v>1892.59</v>
          </cell>
          <cell r="D950">
            <v>2649.63</v>
          </cell>
          <cell r="F950">
            <v>1135.650000000021</v>
          </cell>
          <cell r="G950">
            <v>1589.91</v>
          </cell>
        </row>
        <row r="951">
          <cell r="B951">
            <v>947</v>
          </cell>
          <cell r="C951">
            <v>1894.59</v>
          </cell>
          <cell r="D951">
            <v>2652.43</v>
          </cell>
          <cell r="F951">
            <v>1136.8500000000211</v>
          </cell>
          <cell r="G951">
            <v>1591.59</v>
          </cell>
        </row>
        <row r="952">
          <cell r="B952">
            <v>948</v>
          </cell>
          <cell r="C952">
            <v>1896.59</v>
          </cell>
          <cell r="D952">
            <v>2655.23</v>
          </cell>
          <cell r="F952">
            <v>1138.0500000000211</v>
          </cell>
          <cell r="G952">
            <v>1593.27</v>
          </cell>
        </row>
        <row r="953">
          <cell r="B953">
            <v>949</v>
          </cell>
          <cell r="C953">
            <v>1898.59</v>
          </cell>
          <cell r="D953">
            <v>2658.03</v>
          </cell>
          <cell r="F953">
            <v>1139.2500000000211</v>
          </cell>
          <cell r="G953">
            <v>1594.95</v>
          </cell>
        </row>
        <row r="954">
          <cell r="B954">
            <v>950</v>
          </cell>
          <cell r="C954">
            <v>1900.59</v>
          </cell>
          <cell r="D954">
            <v>2660.83</v>
          </cell>
          <cell r="F954">
            <v>1140.4500000000212</v>
          </cell>
          <cell r="G954">
            <v>1596.63</v>
          </cell>
        </row>
        <row r="955">
          <cell r="B955">
            <v>951</v>
          </cell>
          <cell r="C955">
            <v>1902.59</v>
          </cell>
          <cell r="D955">
            <v>2663.63</v>
          </cell>
          <cell r="F955">
            <v>1141.6500000000212</v>
          </cell>
          <cell r="G955">
            <v>1598.31</v>
          </cell>
        </row>
        <row r="956">
          <cell r="B956">
            <v>952</v>
          </cell>
          <cell r="C956">
            <v>1904.59</v>
          </cell>
          <cell r="D956">
            <v>2666.43</v>
          </cell>
          <cell r="F956">
            <v>1142.8500000000213</v>
          </cell>
          <cell r="G956">
            <v>1599.99</v>
          </cell>
        </row>
        <row r="957">
          <cell r="B957">
            <v>953</v>
          </cell>
          <cell r="C957">
            <v>1906.59</v>
          </cell>
          <cell r="D957">
            <v>2669.23</v>
          </cell>
          <cell r="F957">
            <v>1144.0500000000213</v>
          </cell>
          <cell r="G957">
            <v>1601.67</v>
          </cell>
        </row>
        <row r="958">
          <cell r="B958">
            <v>954</v>
          </cell>
          <cell r="C958">
            <v>1908.59</v>
          </cell>
          <cell r="D958">
            <v>2672.03</v>
          </cell>
          <cell r="F958">
            <v>1145.2500000000214</v>
          </cell>
          <cell r="G958">
            <v>1603.35</v>
          </cell>
        </row>
        <row r="959">
          <cell r="B959">
            <v>955</v>
          </cell>
          <cell r="C959">
            <v>1910.59</v>
          </cell>
          <cell r="D959">
            <v>2674.83</v>
          </cell>
          <cell r="F959">
            <v>1146.4500000000214</v>
          </cell>
          <cell r="G959">
            <v>1605.03</v>
          </cell>
        </row>
        <row r="960">
          <cell r="B960">
            <v>956</v>
          </cell>
          <cell r="C960">
            <v>1912.59</v>
          </cell>
          <cell r="D960">
            <v>2677.63</v>
          </cell>
          <cell r="F960">
            <v>1147.6500000000215</v>
          </cell>
          <cell r="G960">
            <v>1606.71</v>
          </cell>
        </row>
        <row r="961">
          <cell r="B961">
            <v>957</v>
          </cell>
          <cell r="C961">
            <v>1914.59</v>
          </cell>
          <cell r="D961">
            <v>2680.43</v>
          </cell>
          <cell r="F961">
            <v>1148.8500000000215</v>
          </cell>
          <cell r="G961">
            <v>1608.39</v>
          </cell>
        </row>
        <row r="962">
          <cell r="B962">
            <v>958</v>
          </cell>
          <cell r="C962">
            <v>1916.59</v>
          </cell>
          <cell r="D962">
            <v>2683.23</v>
          </cell>
          <cell r="F962">
            <v>1150.0500000000216</v>
          </cell>
          <cell r="G962">
            <v>1610.07</v>
          </cell>
        </row>
        <row r="963">
          <cell r="B963">
            <v>959</v>
          </cell>
          <cell r="C963">
            <v>1918.59</v>
          </cell>
          <cell r="D963">
            <v>2686.03</v>
          </cell>
          <cell r="F963">
            <v>1151.2500000000216</v>
          </cell>
          <cell r="G963">
            <v>1611.75</v>
          </cell>
        </row>
        <row r="964">
          <cell r="B964">
            <v>960</v>
          </cell>
          <cell r="C964">
            <v>1920.59</v>
          </cell>
          <cell r="D964">
            <v>2688.83</v>
          </cell>
          <cell r="F964">
            <v>1152.4500000000216</v>
          </cell>
          <cell r="G964">
            <v>1613.43</v>
          </cell>
        </row>
        <row r="965">
          <cell r="B965">
            <v>961</v>
          </cell>
          <cell r="C965">
            <v>1922.59</v>
          </cell>
          <cell r="D965">
            <v>2691.63</v>
          </cell>
          <cell r="F965">
            <v>1153.6500000000217</v>
          </cell>
          <cell r="G965">
            <v>1615.11</v>
          </cell>
        </row>
        <row r="966">
          <cell r="B966">
            <v>962</v>
          </cell>
          <cell r="C966">
            <v>1924.59</v>
          </cell>
          <cell r="D966">
            <v>2694.43</v>
          </cell>
          <cell r="F966">
            <v>1154.8500000000217</v>
          </cell>
          <cell r="G966">
            <v>1616.79</v>
          </cell>
        </row>
        <row r="967">
          <cell r="B967">
            <v>963</v>
          </cell>
          <cell r="C967">
            <v>1926.59</v>
          </cell>
          <cell r="D967">
            <v>2697.23</v>
          </cell>
          <cell r="F967">
            <v>1156.0500000000218</v>
          </cell>
          <cell r="G967">
            <v>1618.47</v>
          </cell>
        </row>
        <row r="968">
          <cell r="B968">
            <v>964</v>
          </cell>
          <cell r="C968">
            <v>1928.59</v>
          </cell>
          <cell r="D968">
            <v>2700.03</v>
          </cell>
          <cell r="F968">
            <v>1157.2500000000218</v>
          </cell>
          <cell r="G968">
            <v>1620.15</v>
          </cell>
        </row>
        <row r="969">
          <cell r="B969">
            <v>965</v>
          </cell>
          <cell r="C969">
            <v>1930.59</v>
          </cell>
          <cell r="D969">
            <v>2702.83</v>
          </cell>
          <cell r="F969">
            <v>1158.4500000000219</v>
          </cell>
          <cell r="G969">
            <v>1621.83</v>
          </cell>
        </row>
        <row r="970">
          <cell r="B970">
            <v>966</v>
          </cell>
          <cell r="C970">
            <v>1932.59</v>
          </cell>
          <cell r="D970">
            <v>2705.63</v>
          </cell>
          <cell r="F970">
            <v>1159.6500000000219</v>
          </cell>
          <cell r="G970">
            <v>1623.51</v>
          </cell>
        </row>
        <row r="971">
          <cell r="B971">
            <v>967</v>
          </cell>
          <cell r="C971">
            <v>1934.59</v>
          </cell>
          <cell r="D971">
            <v>2708.43</v>
          </cell>
          <cell r="F971">
            <v>1160.850000000022</v>
          </cell>
          <cell r="G971">
            <v>1625.19</v>
          </cell>
        </row>
        <row r="972">
          <cell r="B972">
            <v>968</v>
          </cell>
          <cell r="C972">
            <v>1936.59</v>
          </cell>
          <cell r="D972">
            <v>2711.23</v>
          </cell>
          <cell r="F972">
            <v>1162.050000000022</v>
          </cell>
          <cell r="G972">
            <v>1626.87</v>
          </cell>
        </row>
        <row r="973">
          <cell r="B973">
            <v>969</v>
          </cell>
          <cell r="C973">
            <v>1938.59</v>
          </cell>
          <cell r="D973">
            <v>2714.03</v>
          </cell>
          <cell r="F973">
            <v>1163.2500000000221</v>
          </cell>
          <cell r="G973">
            <v>1628.55</v>
          </cell>
        </row>
        <row r="974">
          <cell r="B974">
            <v>970</v>
          </cell>
          <cell r="C974">
            <v>1940.59</v>
          </cell>
          <cell r="D974">
            <v>2716.83</v>
          </cell>
          <cell r="F974">
            <v>1164.4500000000221</v>
          </cell>
          <cell r="G974">
            <v>1630.23</v>
          </cell>
        </row>
        <row r="975">
          <cell r="B975">
            <v>971</v>
          </cell>
          <cell r="C975">
            <v>1942.59</v>
          </cell>
          <cell r="D975">
            <v>2719.63</v>
          </cell>
          <cell r="F975">
            <v>1165.6500000000221</v>
          </cell>
          <cell r="G975">
            <v>1631.91</v>
          </cell>
        </row>
        <row r="976">
          <cell r="B976">
            <v>972</v>
          </cell>
          <cell r="C976">
            <v>1944.59</v>
          </cell>
          <cell r="D976">
            <v>2722.43</v>
          </cell>
          <cell r="F976">
            <v>1166.8500000000222</v>
          </cell>
          <cell r="G976">
            <v>1633.59</v>
          </cell>
        </row>
        <row r="977">
          <cell r="B977">
            <v>973</v>
          </cell>
          <cell r="C977">
            <v>1946.59</v>
          </cell>
          <cell r="D977">
            <v>2725.23</v>
          </cell>
          <cell r="F977">
            <v>1168.0500000000222</v>
          </cell>
          <cell r="G977">
            <v>1635.27</v>
          </cell>
        </row>
        <row r="978">
          <cell r="B978">
            <v>974</v>
          </cell>
          <cell r="C978">
            <v>1948.59</v>
          </cell>
          <cell r="D978">
            <v>2728.03</v>
          </cell>
          <cell r="F978">
            <v>1169.2500000000223</v>
          </cell>
          <cell r="G978">
            <v>1636.95</v>
          </cell>
        </row>
        <row r="979">
          <cell r="B979">
            <v>975</v>
          </cell>
          <cell r="C979">
            <v>1950.59</v>
          </cell>
          <cell r="D979">
            <v>2730.83</v>
          </cell>
          <cell r="F979">
            <v>1170.4500000000223</v>
          </cell>
          <cell r="G979">
            <v>1638.63</v>
          </cell>
        </row>
        <row r="980">
          <cell r="B980">
            <v>976</v>
          </cell>
          <cell r="C980">
            <v>1952.59</v>
          </cell>
          <cell r="D980">
            <v>2733.63</v>
          </cell>
          <cell r="F980">
            <v>1171.6500000000224</v>
          </cell>
          <cell r="G980">
            <v>1640.31</v>
          </cell>
        </row>
        <row r="981">
          <cell r="B981">
            <v>977</v>
          </cell>
          <cell r="C981">
            <v>1954.59</v>
          </cell>
          <cell r="D981">
            <v>2736.43</v>
          </cell>
          <cell r="F981">
            <v>1172.8500000000224</v>
          </cell>
          <cell r="G981">
            <v>1641.99</v>
          </cell>
        </row>
        <row r="982">
          <cell r="B982">
            <v>978</v>
          </cell>
          <cell r="C982">
            <v>1956.59</v>
          </cell>
          <cell r="D982">
            <v>2739.23</v>
          </cell>
          <cell r="F982">
            <v>1174.0500000000225</v>
          </cell>
          <cell r="G982">
            <v>1643.67</v>
          </cell>
        </row>
        <row r="983">
          <cell r="B983">
            <v>979</v>
          </cell>
          <cell r="C983">
            <v>1958.59</v>
          </cell>
          <cell r="D983">
            <v>2742.03</v>
          </cell>
          <cell r="F983">
            <v>1175.2500000000225</v>
          </cell>
          <cell r="G983">
            <v>1645.35</v>
          </cell>
        </row>
        <row r="984">
          <cell r="B984">
            <v>980</v>
          </cell>
          <cell r="C984">
            <v>1960.59</v>
          </cell>
          <cell r="D984">
            <v>2744.83</v>
          </cell>
          <cell r="F984">
            <v>1176.4500000000226</v>
          </cell>
          <cell r="G984">
            <v>1647.03</v>
          </cell>
        </row>
        <row r="985">
          <cell r="B985">
            <v>981</v>
          </cell>
          <cell r="C985">
            <v>1962.59</v>
          </cell>
          <cell r="D985">
            <v>2747.63</v>
          </cell>
          <cell r="F985">
            <v>1177.6500000000226</v>
          </cell>
          <cell r="G985">
            <v>1648.71</v>
          </cell>
        </row>
        <row r="986">
          <cell r="B986">
            <v>982</v>
          </cell>
          <cell r="C986">
            <v>1964.59</v>
          </cell>
          <cell r="D986">
            <v>2750.43</v>
          </cell>
          <cell r="F986">
            <v>1178.8500000000226</v>
          </cell>
          <cell r="G986">
            <v>1650.39</v>
          </cell>
        </row>
        <row r="987">
          <cell r="B987">
            <v>983</v>
          </cell>
          <cell r="C987">
            <v>1966.59</v>
          </cell>
          <cell r="D987">
            <v>2753.23</v>
          </cell>
          <cell r="F987">
            <v>1180.0500000000227</v>
          </cell>
          <cell r="G987">
            <v>1652.07</v>
          </cell>
        </row>
        <row r="988">
          <cell r="B988">
            <v>984</v>
          </cell>
          <cell r="C988">
            <v>1968.59</v>
          </cell>
          <cell r="D988">
            <v>2756.03</v>
          </cell>
          <cell r="F988">
            <v>1181.2500000000227</v>
          </cell>
          <cell r="G988">
            <v>1653.75</v>
          </cell>
        </row>
        <row r="989">
          <cell r="B989">
            <v>985</v>
          </cell>
          <cell r="C989">
            <v>1970.59</v>
          </cell>
          <cell r="D989">
            <v>2758.83</v>
          </cell>
          <cell r="F989">
            <v>1182.4500000000228</v>
          </cell>
          <cell r="G989">
            <v>1655.43</v>
          </cell>
        </row>
        <row r="990">
          <cell r="B990">
            <v>986</v>
          </cell>
          <cell r="C990">
            <v>1972.59</v>
          </cell>
          <cell r="D990">
            <v>2761.63</v>
          </cell>
          <cell r="F990">
            <v>1183.6500000000228</v>
          </cell>
          <cell r="G990">
            <v>1657.11</v>
          </cell>
        </row>
        <row r="991">
          <cell r="B991">
            <v>987</v>
          </cell>
          <cell r="C991">
            <v>1974.59</v>
          </cell>
          <cell r="D991">
            <v>2764.43</v>
          </cell>
          <cell r="F991">
            <v>1184.8500000000229</v>
          </cell>
          <cell r="G991">
            <v>1658.79</v>
          </cell>
        </row>
        <row r="992">
          <cell r="B992">
            <v>988</v>
          </cell>
          <cell r="C992">
            <v>1976.59</v>
          </cell>
          <cell r="D992">
            <v>2767.23</v>
          </cell>
          <cell r="F992">
            <v>1186.0500000000229</v>
          </cell>
          <cell r="G992">
            <v>1660.47</v>
          </cell>
        </row>
        <row r="993">
          <cell r="B993">
            <v>989</v>
          </cell>
          <cell r="C993">
            <v>1978.59</v>
          </cell>
          <cell r="D993">
            <v>2770.03</v>
          </cell>
          <cell r="F993">
            <v>1187.250000000023</v>
          </cell>
          <cell r="G993">
            <v>1662.15</v>
          </cell>
        </row>
        <row r="994">
          <cell r="B994">
            <v>990</v>
          </cell>
          <cell r="C994">
            <v>1980.59</v>
          </cell>
          <cell r="D994">
            <v>2772.83</v>
          </cell>
          <cell r="F994">
            <v>1188.450000000023</v>
          </cell>
          <cell r="G994">
            <v>1663.83</v>
          </cell>
        </row>
        <row r="995">
          <cell r="B995">
            <v>991</v>
          </cell>
          <cell r="C995">
            <v>1982.59</v>
          </cell>
          <cell r="D995">
            <v>2775.63</v>
          </cell>
          <cell r="F995">
            <v>1189.6500000000231</v>
          </cell>
          <cell r="G995">
            <v>1665.51</v>
          </cell>
        </row>
        <row r="996">
          <cell r="B996">
            <v>992</v>
          </cell>
          <cell r="C996">
            <v>1984.59</v>
          </cell>
          <cell r="D996">
            <v>2778.43</v>
          </cell>
          <cell r="F996">
            <v>1190.8500000000231</v>
          </cell>
          <cell r="G996">
            <v>1667.19</v>
          </cell>
        </row>
        <row r="997">
          <cell r="B997">
            <v>993</v>
          </cell>
          <cell r="C997">
            <v>1986.59</v>
          </cell>
          <cell r="D997">
            <v>2781.23</v>
          </cell>
          <cell r="F997">
            <v>1192.0500000000231</v>
          </cell>
          <cell r="G997">
            <v>1668.87</v>
          </cell>
        </row>
        <row r="998">
          <cell r="B998">
            <v>994</v>
          </cell>
          <cell r="C998">
            <v>1988.59</v>
          </cell>
          <cell r="D998">
            <v>2784.03</v>
          </cell>
          <cell r="F998">
            <v>1193.2500000000232</v>
          </cell>
          <cell r="G998">
            <v>1670.55</v>
          </cell>
        </row>
        <row r="999">
          <cell r="B999">
            <v>995</v>
          </cell>
          <cell r="C999">
            <v>1990.59</v>
          </cell>
          <cell r="D999">
            <v>2786.83</v>
          </cell>
          <cell r="F999">
            <v>1194.4500000000232</v>
          </cell>
          <cell r="G999">
            <v>1672.23</v>
          </cell>
        </row>
        <row r="1000">
          <cell r="B1000">
            <v>996</v>
          </cell>
          <cell r="C1000">
            <v>1992.59</v>
          </cell>
          <cell r="D1000">
            <v>2789.63</v>
          </cell>
          <cell r="F1000">
            <v>1195.6500000000233</v>
          </cell>
          <cell r="G1000">
            <v>1673.91</v>
          </cell>
        </row>
        <row r="1001">
          <cell r="B1001">
            <v>997</v>
          </cell>
          <cell r="C1001">
            <v>1994.59</v>
          </cell>
          <cell r="D1001">
            <v>2792.43</v>
          </cell>
          <cell r="F1001">
            <v>1196.8500000000233</v>
          </cell>
          <cell r="G1001">
            <v>1675.59</v>
          </cell>
        </row>
        <row r="1002">
          <cell r="B1002">
            <v>998</v>
          </cell>
          <cell r="C1002">
            <v>1996.59</v>
          </cell>
          <cell r="D1002">
            <v>2795.23</v>
          </cell>
          <cell r="F1002">
            <v>1198.0500000000234</v>
          </cell>
          <cell r="G1002">
            <v>1677.27</v>
          </cell>
        </row>
        <row r="1003">
          <cell r="B1003">
            <v>999</v>
          </cell>
          <cell r="C1003">
            <v>1998.59</v>
          </cell>
          <cell r="D1003">
            <v>2798.03</v>
          </cell>
          <cell r="F1003">
            <v>1199.2500000000234</v>
          </cell>
          <cell r="G1003">
            <v>1678.95</v>
          </cell>
        </row>
        <row r="1004">
          <cell r="B1004">
            <v>1000</v>
          </cell>
          <cell r="C1004">
            <v>2000.59</v>
          </cell>
          <cell r="D1004">
            <v>2800.83</v>
          </cell>
          <cell r="F1004">
            <v>1200.4500000000235</v>
          </cell>
          <cell r="G1004">
            <v>1680.63</v>
          </cell>
        </row>
        <row r="1006">
          <cell r="C1006" t="str">
            <v>2</v>
          </cell>
          <cell r="F1006" t="str">
            <v>1.2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>
        <row r="5">
          <cell r="A5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คำนวณ"/>
      <sheetName val="ข้อมูลดิบ"/>
      <sheetName val="ข้อมูลสะพาน"/>
      <sheetName val="ปร.5 road"/>
      <sheetName val="ปร.4 road"/>
      <sheetName val="ปร.5 box"/>
      <sheetName val="ปร.5 สะพาน"/>
      <sheetName val="ปร.4 สะพาน"/>
      <sheetName val="FACTOR F"/>
      <sheetName val="ดอกเบี้ย,กำไร"/>
      <sheetName val="อำนวยการ"/>
      <sheetName val="ค่างานต้นทุนสะพาน"/>
      <sheetName val="ปร.4 box1"/>
      <sheetName val="ปร.4 box2"/>
      <sheetName val="บ่อพัก"/>
      <sheetName val="ข้อมูลประมาณราคา"/>
      <sheetName val="ค่างานต้นทุน"/>
      <sheetName val="งานดิน"/>
      <sheetName val="ท่อระบายน้ำ"/>
      <sheetName val="กำแพงปากท่อ"/>
      <sheetName val="ป้ายจราจร"/>
      <sheetName val="Winฯ-ทางเชื่อม "/>
      <sheetName val="ค่าขนส่ง1"/>
      <sheetName val="ค่าขนส่ง"/>
      <sheetName val="ค่าเสื่อมราคา"/>
      <sheetName val="งานกำแพงปากท่อ"/>
      <sheetName val="ขนาด ท่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46">
          <cell r="H146">
            <v>1275.98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วัสดุในเสาเข็มsay"/>
      <sheetName val="ปริมาณวัสดุในเสาเข็ม"/>
      <sheetName val="วัสดุตอม่อตับริมกว้าง9ม_1"/>
      <sheetName val="วัสดุตอม่อตับริมกว้าง9ม_2"/>
      <sheetName val="วัสดุตอม่อตับริมกว้าง9มแผ่_1"/>
      <sheetName val="วัสดุตอม่อตับริมกว้าง9มแผ่_ 2"/>
      <sheetName val="วัสดุตอม่อตับกลางกว้าง9ม_1"/>
      <sheetName val="วัสดุตอม่อตับกลางกว้าง9ม_2"/>
      <sheetName val="วัสดุตอม่อตับกลางกว้าง9มแผ่_1"/>
      <sheetName val="วัสดุตอม่อตับกลางกว้าง9มแผ่_2"/>
      <sheetName val="วัสดุพื้นslabtype9ม."/>
      <sheetName val="วัสดุPlankgirderตัวริม9ม."/>
      <sheetName val="วัสดุPlankgirderตัวใน9ม."/>
      <sheetName val="วัสดุTOPPINGบนPG9ม."/>
      <sheetName val="วัสดุราวสะพาน4-9ม_ทถ_1"/>
      <sheetName val="วัสดุราวสะพาน9ม_ชิดริมทช_1"/>
      <sheetName val="วัสดุราวสะพาน9ม_ช่วงในทช_1"/>
      <sheetName val="วัสดุราวสะพาน9ม_ช่วงเดียวทช_1"/>
      <sheetName val="วัสดุราวสะพาน8ม_ชิดริมทช_2"/>
      <sheetName val="วัสดุราวสะพาน8ม_ช่วงในทช_2"/>
      <sheetName val="วัสดุราวสะพาน8ม_ช่วงเดียวทช_2"/>
      <sheetName val="วัสดุราวสะพาน8ม_ชิดริมทถ_2"/>
      <sheetName val="วัสดุราวสะพาน8ม_ช่วงในทถ_2"/>
      <sheetName val="วัสดุราวสะพาน8ม_ช่วงเดียวทถ_2"/>
      <sheetName val="วัสดุทางเท้าสะพาน1.00-1.50_ทช_1"/>
      <sheetName val="วัสดุทางเท้าสะพาน1.00-1.50_ทช_2"/>
      <sheetName val="สะพาน4ม.วัสดุทางเท้า0.75_ทถ"/>
      <sheetName val="สะพาน7ม.วัสดุทางเท้า0.75_ทถ"/>
      <sheetName val="สะพาน7ม.วัสดุทางเท้า1.00_ทถ_1"/>
      <sheetName val="สะพาน7ม.วัสดุทางเท้า1.00_ทถ_2"/>
      <sheetName val="วัสดุแท่นไฟ_ทชไม่มีทางเท้า"/>
      <sheetName val="วัสดุแท่นไฟ_ทถไม่มีทางเท้า"/>
      <sheetName val="8มวัสดุแท่นไฟ_ทชมีทางเท้า1-1.5"/>
      <sheetName val="7มวัสดุแท่นไฟ_ทถมีทางเท้า0.75-1"/>
      <sheetName val="วัสดุAPPROACH9.00ทชไม่มีทางเท้า"/>
      <sheetName val="วัสดุAPPROACH4,7,9ทถไม่มีทาง"/>
      <sheetName val="วัสดุAPPROACH8.00ทชมีทางเท้า"/>
      <sheetName val="วัสดุAPPROACH8.00ทถมีทางเท้า"/>
      <sheetName val="วัสดุAPPROACH4,7ทถมีทางเท้า"/>
      <sheetName val="รายการประมาณราคาต่อหน่วย (2)"/>
      <sheetName val="ตารางถอดแบบสะพาน (2)"/>
      <sheetName val="ปร.5ทช (2)"/>
      <sheetName val="ปร4.1ส"/>
      <sheetName val="ปร.4 สะพาน (3)"/>
      <sheetName val="ราคาต่อหน่วยงานสะพาน"/>
      <sheetName val="ปร4.2ส"/>
      <sheetName val="ราคาต่อหน่วยงานทาง"/>
      <sheetName val="ปร4.3ส"/>
      <sheetName val="ข้อมูลราคาและแหล่งวัสดุ"/>
      <sheetName val="Sheet1"/>
      <sheetName val="เมนู"/>
      <sheetName val="ปร.4"/>
      <sheetName val="ปร.5ทช"/>
      <sheetName val="ปกทช (2)"/>
      <sheetName val="ปกทช"/>
      <sheetName val="ข้อมูลประกอบการประมาณราคา"/>
      <sheetName val="รายการประมาณราคาต่อหน่วย"/>
      <sheetName val="ข้อมูลโครงการ"/>
      <sheetName val="ข้อมูลโครงสร้างทาง"/>
      <sheetName val="เลือกชนิดวัสดุมวลรวม"/>
      <sheetName val="เลือกวิธีหาราคาต้นทุน CS"/>
      <sheetName val="ตัวแปรค่าดำเนินการปูลาดAC"/>
      <sheetName val="ปร.4 สะพาน (2)"/>
      <sheetName val="ปร.4 สะพาน"/>
      <sheetName val="ปร.4 box"/>
      <sheetName val="ตัวแปรสภาพผิวทาง"/>
      <sheetName val="ค่าขนส่ง"/>
      <sheetName val="ค่าขนส่งปูนเมนต์"/>
      <sheetName val="ค่าขนส่งทราย"/>
      <sheetName val="ค่าขนส่งหิน"/>
      <sheetName val="ค่าขนส่งกรวดโม่"/>
      <sheetName val="ค่าขนส่งยาง"/>
      <sheetName val="ค่าขนส่งหินผสมAC"/>
      <sheetName val="ค่าขนส่งHM"/>
      <sheetName val="ค่าขนส่งเครืองจักร 80"/>
      <sheetName val="ค่าขนส่งacในสายทาง"/>
      <sheetName val="ค่าขนส่งเหล็ก"/>
      <sheetName val="ค่าขนส่งเหล็กรูปพรรณ"/>
      <sheetName val="ค่าขนส่งไม้แบบ"/>
      <sheetName val="ค่าขนส่งดินถม"/>
      <sheetName val="ค่าขนส่งลูกรังและวัสดุคัดเลือก"/>
      <sheetName val="ค่าขนส่งดินทิ้ง"/>
      <sheetName val="ค่าขนส่งไม้โครงสร้าง"/>
      <sheetName val="ค่าขนส่งท่อลอดกลม คสล."/>
      <sheetName val="กรอกข้อมูลประเมินราคาชุดที่2"/>
      <sheetName val="ประเภทงาน"/>
      <sheetName val="ถางป่าขุดตอขนาดเบา"/>
      <sheetName val="ถางป่าขุดตอขนาดกลาง"/>
      <sheetName val="ถางป่าขุดตอขนาดหนัก"/>
      <sheetName val="ดินคันทางขุดขน"/>
      <sheetName val="ดินคันทางบดทับ"/>
      <sheetName val="ดินขุดตัด"/>
      <sheetName val="ดินตัก"/>
      <sheetName val="หินผุขัดตัด"/>
      <sheetName val="หินผุดันตัก"/>
      <sheetName val="หินแข็งเจาะระเบิด"/>
      <sheetName val="หินแข็งดันตัก"/>
      <sheetName val="รองพื้นทางขุดขน"/>
      <sheetName val="รองพื้นทางผสมกับวัสดุอื่น"/>
      <sheetName val="รองพื้นทางบดทับ"/>
      <sheetName val="ไหล่ทางลูกรังผสมกับวัสดุอื่น"/>
      <sheetName val="ไหล่ทางลูกรังบดทับ"/>
      <sheetName val="พื้นทางผสมกับวัสดุอื่น"/>
      <sheetName val="พื้นทางบดทับ"/>
      <sheetName val="ตัดแต่งขั้นบันได"/>
      <sheetName val="ขุดรื้อลูกรัง10"/>
      <sheetName val="ขุดรื้อหินคลุก10"/>
      <sheetName val="ขุดรื้อผิวAC5"/>
      <sheetName val="ลาดยางPrimecoat"/>
      <sheetName val="ลาดยางTackcoat"/>
      <sheetName val="ชั้นเดียว(0.5)"/>
      <sheetName val="ชั้นเดียว(0.75)"/>
      <sheetName val="สองชั้น(0.75-0.375)"/>
      <sheetName val="สองชั้น(1-0.5)"/>
      <sheetName val="ชั้นเดียวเคลือบ(0.5)"/>
      <sheetName val="ชั้นเดียวเคลือบ(0.75)"/>
      <sheetName val="สองชั้นเคลือบ(0.75-0.375)"/>
      <sheetName val="สองชั้นเคลือบ(1-0.5)"/>
      <sheetName val="ค่าผสมAC"/>
      <sheetName val="ค่าปูผิวACบนPC"/>
      <sheetName val="ค่าปูผิวACบนTC"/>
      <sheetName val="ค่าผสมconc"/>
      <sheetName val="ค่าขนส่งconc"/>
      <sheetName val="ค่าแบบข้าง2ข้าง"/>
      <sheetName val="ค่าปูผิวconc"/>
      <sheetName val="ค่าตัดรอยต่อและหยอดยาง"/>
      <sheetName val="ค่าหยอดยางรอยต่อ"/>
      <sheetName val="ค่าบ่มผิวconc"/>
      <sheetName val="ค่าผสมวัสดุลูกรัง"/>
      <sheetName val="ค่าบ่มวัสดุลูกรัง"/>
      <sheetName val="ค่าผสมวัสดุหินคลุก"/>
      <sheetName val="ค่าบ่มวัสดุหินคลุก"/>
      <sheetName val="ค่าpipr15"/>
      <sheetName val="ค่าpipr20"/>
      <sheetName val="ค่าpipr25"/>
      <sheetName val="Slurry"/>
      <sheetName val="fogspray"/>
      <sheetName val="Sheet6"/>
      <sheetName val="ค่าดำเนินการและค่าเสื่อม"/>
      <sheetName val="สรุปค่าดำเนินการและค่าเสื่อม"/>
      <sheetName val="ปร.4สะพานคสล."/>
      <sheetName val="ปร.5สะพานคสล."/>
      <sheetName val="บัญชีแสดงปริมาณวัสดุชุดที่ 1"/>
      <sheetName val="บัญชีแสดงปริมาณวัสดุชุดที่ 2"/>
      <sheetName val="บัญชีแสดงปริมาณวัสดุชุดที่ 2.2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บันทึกประเมิน"/>
      <sheetName val="กรอกข้อมูลประเมินราคาชุดที1"/>
      <sheetName val="การแบ่งงวดงานCS"/>
      <sheetName val="รายละเอียดงวดงานที่แนบตามประกาศ"/>
      <sheetName val="รายละเอียดงวดงานใช้แนบสัญญาจ้าง"/>
      <sheetName val="SLOPE PROTECT"/>
      <sheetName val="ตารางถอดแบบสะพาน"/>
      <sheetName val="ตารางถอดแบบbox"/>
      <sheetName val="ตารางถอดแบบกำแพงปากท่อ"/>
      <sheetName val="สรุปถอดแบบสะพาน"/>
      <sheetName val="FACTORFงานทาง"/>
      <sheetName val="FACTORFชุก1งานทาง"/>
      <sheetName val="FACTORFชุก2งานทาง"/>
      <sheetName val="สรุปFACTORFงานทาง"/>
      <sheetName val="FACTORFงานสะพาน"/>
      <sheetName val="DATA1_1"/>
      <sheetName val="DATA1_2"/>
      <sheetName val="DATA1_3"/>
      <sheetName val="DATA1_4"/>
      <sheetName val="DATA1_5"/>
      <sheetName val="DATA1_6"/>
      <sheetName val="DATA1_7"/>
      <sheetName val="DATA1_8"/>
      <sheetName val="DATA2"/>
      <sheetName val="DATA6"/>
      <sheetName val="DATA3"/>
      <sheetName val="DATA4"/>
      <sheetName val="DATA5"/>
      <sheetName val="ปริมาณวัสดุสะพา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>
        <row r="37">
          <cell r="Q37">
            <v>2449</v>
          </cell>
        </row>
        <row r="53">
          <cell r="Q53">
            <v>95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INPUT"/>
      <sheetName val="สารบัญ"/>
      <sheetName val="กั้นหน้า"/>
      <sheetName val="ปร5_FLY"/>
      <sheetName val="ปร4_FLY"/>
      <sheetName val="หา FACTORF_FLY"/>
      <sheetName val="unitcost_Fly"/>
      <sheetName val="unitcostรวม"/>
      <sheetName val="กราฟทำงาน_FLY"/>
      <sheetName val="Worktime_FLY"/>
      <sheetName val="ปร5Uturn"/>
      <sheetName val="ปร4Uturn"/>
      <sheetName val="หา FACTORF_UT"/>
      <sheetName val="unitcost_Uturn"/>
      <sheetName val="กราฟทำงาน_Uturn"/>
      <sheetName val="Worktime_UTurn"/>
      <sheetName val="sorce"/>
      <sheetName val="สรุปOHCทาง"/>
      <sheetName val="สรุปOHCโครงสร้าง"/>
      <sheetName val="อัตราทำงาน"/>
      <sheetName val="Factor ดิน"/>
      <sheetName val="ค่าขนส่ง"/>
      <sheetName val="ตารางขนส่ง1"/>
      <sheetName val="ตารางFACTOR Fทาง"/>
      <sheetName val="ตารางFACTOR Fสะพาน"/>
      <sheetName val="ค่าเครื่องจักร"/>
      <sheetName val="สรุปค่าเครื่องจักร+อะไหล่สึกหรอ"/>
      <sheetName val="เริ่มต้น"/>
      <sheetName val="บทที่1"/>
      <sheetName val="DetailOHCโครงสร้าง"/>
      <sheetName val="ตารางขนส่ง"/>
      <sheetName val="วิธีคิดค่าขนส่ง"/>
      <sheetName val="Detailค่าเครื่องจักร"/>
      <sheetName val="บทที่3"/>
      <sheetName val="บทที่3(2)"/>
      <sheetName val="บทที่2(3)"/>
      <sheetName val="DetailOHCทาง"/>
      <sheetName val="จัดเครื่องจักรทาง"/>
      <sheetName val="อ้างอิง"/>
      <sheetName val="Bid3_2"/>
      <sheetName val="Bid3_1"/>
      <sheetName val="เปรียบเทียบราคาไฟฟ้า"/>
      <sheetName val="คำนำ"/>
      <sheetName val="หัวเรื่อง"/>
      <sheetName val="ปก"/>
      <sheetName val="เอกสารสัมพันธ์"/>
      <sheetName val="ขั้นตอ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>
        <row r="121">
          <cell r="C121">
            <v>1</v>
          </cell>
          <cell r="D121">
            <v>4.5599999999999996</v>
          </cell>
          <cell r="F121">
            <v>3.26</v>
          </cell>
          <cell r="H121">
            <v>4.25</v>
          </cell>
          <cell r="J121">
            <v>5.95</v>
          </cell>
          <cell r="L121">
            <v>3.07</v>
          </cell>
          <cell r="N121">
            <v>2.19</v>
          </cell>
        </row>
        <row r="122">
          <cell r="C122">
            <v>2</v>
          </cell>
          <cell r="D122">
            <v>6.51</v>
          </cell>
          <cell r="F122">
            <v>4.6500000000000004</v>
          </cell>
          <cell r="H122">
            <v>5.24</v>
          </cell>
          <cell r="J122">
            <v>7.34</v>
          </cell>
          <cell r="L122">
            <v>3.82</v>
          </cell>
          <cell r="N122">
            <v>2.73</v>
          </cell>
        </row>
        <row r="123">
          <cell r="C123">
            <v>3</v>
          </cell>
          <cell r="D123">
            <v>7.55</v>
          </cell>
          <cell r="F123">
            <v>5.39</v>
          </cell>
          <cell r="H123">
            <v>6.24</v>
          </cell>
          <cell r="J123">
            <v>8.74</v>
          </cell>
          <cell r="L123">
            <v>4.22</v>
          </cell>
          <cell r="N123">
            <v>3.01</v>
          </cell>
        </row>
        <row r="124">
          <cell r="C124">
            <v>4</v>
          </cell>
          <cell r="D124">
            <v>9.1999999999999993</v>
          </cell>
          <cell r="F124">
            <v>6.57</v>
          </cell>
          <cell r="H124">
            <v>7.23</v>
          </cell>
          <cell r="J124">
            <v>10.119999999999999</v>
          </cell>
          <cell r="L124">
            <v>4.8600000000000003</v>
          </cell>
          <cell r="N124">
            <v>3.47</v>
          </cell>
        </row>
        <row r="125">
          <cell r="C125">
            <v>5</v>
          </cell>
          <cell r="D125">
            <v>10.84</v>
          </cell>
          <cell r="F125">
            <v>7.74</v>
          </cell>
          <cell r="H125">
            <v>8.2200000000000006</v>
          </cell>
          <cell r="J125">
            <v>11.51</v>
          </cell>
          <cell r="L125">
            <v>5.49</v>
          </cell>
          <cell r="N125">
            <v>3.92</v>
          </cell>
        </row>
        <row r="126">
          <cell r="C126">
            <v>6</v>
          </cell>
          <cell r="D126">
            <v>12.49</v>
          </cell>
          <cell r="F126">
            <v>8.92</v>
          </cell>
          <cell r="H126">
            <v>9.2200000000000006</v>
          </cell>
          <cell r="J126">
            <v>12.91</v>
          </cell>
          <cell r="L126">
            <v>6.13</v>
          </cell>
          <cell r="N126">
            <v>4.38</v>
          </cell>
        </row>
        <row r="127">
          <cell r="C127">
            <v>7</v>
          </cell>
          <cell r="D127">
            <v>14.13</v>
          </cell>
          <cell r="F127">
            <v>10.09</v>
          </cell>
          <cell r="H127">
            <v>10.210000000000001</v>
          </cell>
          <cell r="J127">
            <v>14.29</v>
          </cell>
          <cell r="L127">
            <v>6.77</v>
          </cell>
          <cell r="N127">
            <v>4.84</v>
          </cell>
        </row>
        <row r="128">
          <cell r="C128">
            <v>8</v>
          </cell>
          <cell r="D128">
            <v>15.78</v>
          </cell>
          <cell r="F128">
            <v>11.27</v>
          </cell>
          <cell r="H128">
            <v>11.44</v>
          </cell>
          <cell r="J128">
            <v>16.02</v>
          </cell>
          <cell r="L128">
            <v>7.4</v>
          </cell>
          <cell r="N128">
            <v>5.29</v>
          </cell>
        </row>
        <row r="129">
          <cell r="C129">
            <v>9</v>
          </cell>
          <cell r="D129">
            <v>17.43</v>
          </cell>
          <cell r="F129">
            <v>12.45</v>
          </cell>
          <cell r="H129">
            <v>12.79</v>
          </cell>
          <cell r="J129">
            <v>17.91</v>
          </cell>
          <cell r="L129">
            <v>8.0399999999999991</v>
          </cell>
          <cell r="N129">
            <v>5.74</v>
          </cell>
        </row>
        <row r="130">
          <cell r="C130">
            <v>10</v>
          </cell>
          <cell r="D130">
            <v>19.07</v>
          </cell>
          <cell r="F130">
            <v>13.62</v>
          </cell>
          <cell r="H130">
            <v>14.14</v>
          </cell>
          <cell r="J130">
            <v>19.8</v>
          </cell>
          <cell r="L130">
            <v>8.67</v>
          </cell>
          <cell r="N130">
            <v>6.19</v>
          </cell>
        </row>
        <row r="131">
          <cell r="C131">
            <v>11</v>
          </cell>
          <cell r="D131">
            <v>20.72</v>
          </cell>
          <cell r="F131">
            <v>14.8</v>
          </cell>
          <cell r="H131">
            <v>15.48</v>
          </cell>
          <cell r="J131">
            <v>21.67</v>
          </cell>
          <cell r="L131">
            <v>9.31</v>
          </cell>
          <cell r="N131">
            <v>6.65</v>
          </cell>
        </row>
        <row r="132">
          <cell r="C132">
            <v>12</v>
          </cell>
          <cell r="D132">
            <v>22.36</v>
          </cell>
          <cell r="F132">
            <v>15.97</v>
          </cell>
          <cell r="H132">
            <v>16.829999999999998</v>
          </cell>
          <cell r="J132">
            <v>23.56</v>
          </cell>
          <cell r="L132">
            <v>9.9499999999999993</v>
          </cell>
          <cell r="N132">
            <v>7.11</v>
          </cell>
        </row>
        <row r="133">
          <cell r="C133">
            <v>13</v>
          </cell>
          <cell r="D133">
            <v>24.01</v>
          </cell>
          <cell r="F133">
            <v>17.149999999999999</v>
          </cell>
          <cell r="H133">
            <v>18.18</v>
          </cell>
          <cell r="J133">
            <v>25.45</v>
          </cell>
          <cell r="L133">
            <v>10.58</v>
          </cell>
          <cell r="N133">
            <v>7.56</v>
          </cell>
        </row>
        <row r="134">
          <cell r="C134">
            <v>14</v>
          </cell>
          <cell r="D134">
            <v>25.65</v>
          </cell>
          <cell r="F134">
            <v>18.32</v>
          </cell>
          <cell r="H134">
            <v>19.53</v>
          </cell>
          <cell r="J134">
            <v>27.34</v>
          </cell>
          <cell r="L134">
            <v>11.22</v>
          </cell>
          <cell r="N134">
            <v>8.01</v>
          </cell>
        </row>
        <row r="135">
          <cell r="C135">
            <v>15</v>
          </cell>
          <cell r="D135">
            <v>27.3</v>
          </cell>
          <cell r="F135">
            <v>19.5</v>
          </cell>
          <cell r="H135">
            <v>20.88</v>
          </cell>
          <cell r="J135">
            <v>29.23</v>
          </cell>
          <cell r="L135">
            <v>11.86</v>
          </cell>
          <cell r="N135">
            <v>8.4700000000000006</v>
          </cell>
        </row>
        <row r="136">
          <cell r="C136">
            <v>16</v>
          </cell>
          <cell r="D136">
            <v>28.95</v>
          </cell>
          <cell r="F136">
            <v>20.68</v>
          </cell>
          <cell r="H136">
            <v>22.23</v>
          </cell>
          <cell r="J136">
            <v>31.12</v>
          </cell>
          <cell r="L136">
            <v>12.49</v>
          </cell>
          <cell r="N136">
            <v>8.92</v>
          </cell>
        </row>
        <row r="137">
          <cell r="C137">
            <v>17</v>
          </cell>
          <cell r="D137">
            <v>30.59</v>
          </cell>
          <cell r="F137">
            <v>21.85</v>
          </cell>
          <cell r="H137">
            <v>23.57</v>
          </cell>
          <cell r="J137">
            <v>33</v>
          </cell>
          <cell r="L137">
            <v>13.13</v>
          </cell>
          <cell r="N137">
            <v>9.3800000000000008</v>
          </cell>
        </row>
        <row r="138">
          <cell r="C138">
            <v>18</v>
          </cell>
          <cell r="D138">
            <v>32.24</v>
          </cell>
          <cell r="F138">
            <v>23.03</v>
          </cell>
          <cell r="H138">
            <v>24.92</v>
          </cell>
          <cell r="J138">
            <v>34.89</v>
          </cell>
          <cell r="L138">
            <v>13.76</v>
          </cell>
          <cell r="N138">
            <v>9.83</v>
          </cell>
        </row>
        <row r="139">
          <cell r="C139">
            <v>19</v>
          </cell>
          <cell r="D139">
            <v>33.880000000000003</v>
          </cell>
          <cell r="F139">
            <v>24.2</v>
          </cell>
          <cell r="H139">
            <v>26.27</v>
          </cell>
          <cell r="J139">
            <v>36.78</v>
          </cell>
          <cell r="L139">
            <v>14.4</v>
          </cell>
          <cell r="N139">
            <v>10.29</v>
          </cell>
        </row>
        <row r="140">
          <cell r="C140">
            <v>20</v>
          </cell>
          <cell r="D140">
            <v>35.53</v>
          </cell>
          <cell r="F140">
            <v>25.38</v>
          </cell>
          <cell r="H140">
            <v>27.62</v>
          </cell>
          <cell r="J140">
            <v>38.67</v>
          </cell>
          <cell r="L140">
            <v>15.04</v>
          </cell>
          <cell r="N140">
            <v>10.74</v>
          </cell>
        </row>
        <row r="141">
          <cell r="C141">
            <v>21</v>
          </cell>
          <cell r="D141">
            <v>37.17</v>
          </cell>
          <cell r="F141">
            <v>26.55</v>
          </cell>
          <cell r="H141">
            <v>28.97</v>
          </cell>
          <cell r="J141">
            <v>40.56</v>
          </cell>
          <cell r="L141">
            <v>15.67</v>
          </cell>
          <cell r="N141">
            <v>11.19</v>
          </cell>
        </row>
        <row r="142">
          <cell r="C142">
            <v>22</v>
          </cell>
          <cell r="D142">
            <v>38.82</v>
          </cell>
          <cell r="F142">
            <v>27.73</v>
          </cell>
          <cell r="H142">
            <v>30.32</v>
          </cell>
          <cell r="J142">
            <v>42.45</v>
          </cell>
          <cell r="L142">
            <v>16.309999999999999</v>
          </cell>
          <cell r="N142">
            <v>11.65</v>
          </cell>
        </row>
        <row r="143">
          <cell r="C143">
            <v>23</v>
          </cell>
          <cell r="D143">
            <v>40.47</v>
          </cell>
          <cell r="F143">
            <v>28.91</v>
          </cell>
          <cell r="H143">
            <v>31.66</v>
          </cell>
          <cell r="J143">
            <v>44.32</v>
          </cell>
          <cell r="L143">
            <v>16.95</v>
          </cell>
          <cell r="N143">
            <v>12.11</v>
          </cell>
        </row>
        <row r="144">
          <cell r="C144">
            <v>24</v>
          </cell>
          <cell r="D144">
            <v>42.11</v>
          </cell>
          <cell r="F144">
            <v>30.08</v>
          </cell>
          <cell r="H144">
            <v>33.01</v>
          </cell>
          <cell r="J144">
            <v>46.21</v>
          </cell>
          <cell r="L144">
            <v>17.579999999999998</v>
          </cell>
          <cell r="N144">
            <v>12.56</v>
          </cell>
        </row>
        <row r="145">
          <cell r="C145">
            <v>25</v>
          </cell>
          <cell r="D145">
            <v>43.76</v>
          </cell>
          <cell r="F145">
            <v>31.26</v>
          </cell>
          <cell r="H145">
            <v>34.36</v>
          </cell>
          <cell r="J145">
            <v>48.1</v>
          </cell>
          <cell r="L145">
            <v>18.22</v>
          </cell>
          <cell r="N145">
            <v>13.01</v>
          </cell>
        </row>
        <row r="146">
          <cell r="C146">
            <v>26</v>
          </cell>
          <cell r="D146">
            <v>45.4</v>
          </cell>
          <cell r="F146">
            <v>32.43</v>
          </cell>
          <cell r="H146">
            <v>35.71</v>
          </cell>
          <cell r="J146">
            <v>49.99</v>
          </cell>
          <cell r="L146">
            <v>18.850000000000001</v>
          </cell>
          <cell r="N146">
            <v>13.46</v>
          </cell>
        </row>
        <row r="147">
          <cell r="C147">
            <v>27</v>
          </cell>
          <cell r="D147">
            <v>47.05</v>
          </cell>
          <cell r="F147">
            <v>33.61</v>
          </cell>
          <cell r="H147">
            <v>37.06</v>
          </cell>
          <cell r="J147">
            <v>51.88</v>
          </cell>
          <cell r="L147">
            <v>19.489999999999998</v>
          </cell>
          <cell r="N147">
            <v>13.92</v>
          </cell>
        </row>
        <row r="148">
          <cell r="C148">
            <v>28</v>
          </cell>
          <cell r="D148">
            <v>48.69</v>
          </cell>
          <cell r="F148">
            <v>34.78</v>
          </cell>
          <cell r="H148">
            <v>38.409999999999997</v>
          </cell>
          <cell r="J148">
            <v>53.77</v>
          </cell>
          <cell r="L148">
            <v>20.13</v>
          </cell>
          <cell r="N148">
            <v>14.38</v>
          </cell>
        </row>
        <row r="149">
          <cell r="C149">
            <v>29</v>
          </cell>
          <cell r="D149">
            <v>50.34</v>
          </cell>
          <cell r="F149">
            <v>35.96</v>
          </cell>
          <cell r="H149">
            <v>39.76</v>
          </cell>
          <cell r="J149">
            <v>55.66</v>
          </cell>
          <cell r="L149">
            <v>20.76</v>
          </cell>
          <cell r="N149">
            <v>14.83</v>
          </cell>
        </row>
        <row r="150">
          <cell r="C150">
            <v>30</v>
          </cell>
          <cell r="D150">
            <v>51.99</v>
          </cell>
          <cell r="F150">
            <v>37.14</v>
          </cell>
          <cell r="H150">
            <v>41.1</v>
          </cell>
          <cell r="J150">
            <v>57.54</v>
          </cell>
          <cell r="L150">
            <v>21.4</v>
          </cell>
          <cell r="N150">
            <v>15.29</v>
          </cell>
        </row>
        <row r="151">
          <cell r="C151">
            <v>31</v>
          </cell>
          <cell r="D151">
            <v>53.63</v>
          </cell>
          <cell r="F151">
            <v>38.31</v>
          </cell>
          <cell r="H151">
            <v>42.45</v>
          </cell>
          <cell r="J151">
            <v>59.43</v>
          </cell>
          <cell r="L151">
            <v>22.04</v>
          </cell>
          <cell r="N151">
            <v>15.74</v>
          </cell>
        </row>
        <row r="152">
          <cell r="C152">
            <v>32</v>
          </cell>
          <cell r="D152">
            <v>55.28</v>
          </cell>
          <cell r="F152">
            <v>39.49</v>
          </cell>
          <cell r="H152">
            <v>43.8</v>
          </cell>
          <cell r="J152">
            <v>61.32</v>
          </cell>
          <cell r="L152">
            <v>22.67</v>
          </cell>
          <cell r="N152">
            <v>16.190000000000001</v>
          </cell>
        </row>
        <row r="153">
          <cell r="C153">
            <v>33</v>
          </cell>
          <cell r="D153">
            <v>56.92</v>
          </cell>
          <cell r="F153">
            <v>40.659999999999997</v>
          </cell>
          <cell r="H153">
            <v>45.15</v>
          </cell>
          <cell r="J153">
            <v>63.21</v>
          </cell>
          <cell r="L153">
            <v>23.31</v>
          </cell>
          <cell r="N153">
            <v>16.649999999999999</v>
          </cell>
        </row>
        <row r="154">
          <cell r="C154">
            <v>34</v>
          </cell>
          <cell r="D154">
            <v>58.57</v>
          </cell>
          <cell r="F154">
            <v>41.84</v>
          </cell>
          <cell r="H154">
            <v>46.5</v>
          </cell>
          <cell r="J154">
            <v>65.099999999999994</v>
          </cell>
          <cell r="L154">
            <v>23.94</v>
          </cell>
          <cell r="N154">
            <v>17.100000000000001</v>
          </cell>
        </row>
        <row r="155">
          <cell r="C155">
            <v>35</v>
          </cell>
          <cell r="D155">
            <v>60.21</v>
          </cell>
          <cell r="F155">
            <v>43.01</v>
          </cell>
          <cell r="H155">
            <v>47.85</v>
          </cell>
          <cell r="J155">
            <v>66.989999999999995</v>
          </cell>
          <cell r="L155">
            <v>24.58</v>
          </cell>
          <cell r="N155">
            <v>17.559999999999999</v>
          </cell>
        </row>
        <row r="156">
          <cell r="C156">
            <v>36</v>
          </cell>
          <cell r="D156">
            <v>61.86</v>
          </cell>
          <cell r="F156">
            <v>44.19</v>
          </cell>
          <cell r="H156">
            <v>49.19</v>
          </cell>
          <cell r="J156">
            <v>68.87</v>
          </cell>
          <cell r="L156">
            <v>25.22</v>
          </cell>
          <cell r="N156">
            <v>18.010000000000002</v>
          </cell>
        </row>
        <row r="157">
          <cell r="C157">
            <v>37</v>
          </cell>
          <cell r="D157">
            <v>63.51</v>
          </cell>
          <cell r="F157">
            <v>45.36</v>
          </cell>
          <cell r="H157">
            <v>50.54</v>
          </cell>
          <cell r="J157">
            <v>70.760000000000005</v>
          </cell>
          <cell r="L157">
            <v>25.85</v>
          </cell>
          <cell r="N157">
            <v>18.46</v>
          </cell>
        </row>
        <row r="158">
          <cell r="C158">
            <v>38</v>
          </cell>
          <cell r="D158">
            <v>65.150000000000006</v>
          </cell>
          <cell r="F158">
            <v>46.54</v>
          </cell>
          <cell r="H158">
            <v>51.89</v>
          </cell>
          <cell r="J158">
            <v>72.650000000000006</v>
          </cell>
          <cell r="L158">
            <v>26.49</v>
          </cell>
          <cell r="N158">
            <v>18.920000000000002</v>
          </cell>
        </row>
        <row r="159">
          <cell r="C159">
            <v>39</v>
          </cell>
          <cell r="D159">
            <v>66.8</v>
          </cell>
          <cell r="F159">
            <v>47.71</v>
          </cell>
          <cell r="H159">
            <v>53.24</v>
          </cell>
          <cell r="J159">
            <v>74.540000000000006</v>
          </cell>
          <cell r="L159">
            <v>27.13</v>
          </cell>
          <cell r="N159">
            <v>19.38</v>
          </cell>
        </row>
        <row r="160">
          <cell r="C160">
            <v>40</v>
          </cell>
          <cell r="D160">
            <v>68.44</v>
          </cell>
          <cell r="F160">
            <v>48.89</v>
          </cell>
          <cell r="H160">
            <v>54.59</v>
          </cell>
          <cell r="J160">
            <v>76.430000000000007</v>
          </cell>
          <cell r="L160">
            <v>27.76</v>
          </cell>
          <cell r="N160">
            <v>19.829999999999998</v>
          </cell>
        </row>
        <row r="161">
          <cell r="C161">
            <v>41</v>
          </cell>
          <cell r="D161">
            <v>70.09</v>
          </cell>
          <cell r="F161">
            <v>50.06</v>
          </cell>
          <cell r="H161">
            <v>55.94</v>
          </cell>
          <cell r="J161">
            <v>78.319999999999993</v>
          </cell>
          <cell r="L161">
            <v>28.4</v>
          </cell>
          <cell r="N161">
            <v>20.29</v>
          </cell>
        </row>
        <row r="162">
          <cell r="C162">
            <v>42</v>
          </cell>
          <cell r="D162">
            <v>71.739999999999995</v>
          </cell>
          <cell r="F162">
            <v>51.24</v>
          </cell>
          <cell r="H162">
            <v>57.28</v>
          </cell>
          <cell r="J162">
            <v>80.19</v>
          </cell>
          <cell r="L162">
            <v>29.03</v>
          </cell>
          <cell r="N162">
            <v>20.74</v>
          </cell>
        </row>
        <row r="163">
          <cell r="C163">
            <v>43</v>
          </cell>
          <cell r="D163">
            <v>73.38</v>
          </cell>
          <cell r="F163">
            <v>52.41</v>
          </cell>
          <cell r="H163">
            <v>58.63</v>
          </cell>
          <cell r="J163">
            <v>82.08</v>
          </cell>
          <cell r="L163">
            <v>29.67</v>
          </cell>
          <cell r="N163">
            <v>21.19</v>
          </cell>
        </row>
        <row r="164">
          <cell r="C164">
            <v>44</v>
          </cell>
          <cell r="D164">
            <v>75.03</v>
          </cell>
          <cell r="F164">
            <v>53.59</v>
          </cell>
          <cell r="H164">
            <v>59.98</v>
          </cell>
          <cell r="J164">
            <v>83.97</v>
          </cell>
          <cell r="L164">
            <v>30.31</v>
          </cell>
          <cell r="N164">
            <v>21.65</v>
          </cell>
        </row>
        <row r="165">
          <cell r="C165">
            <v>45</v>
          </cell>
          <cell r="D165">
            <v>76.67</v>
          </cell>
          <cell r="F165">
            <v>54.76</v>
          </cell>
          <cell r="H165">
            <v>61.33</v>
          </cell>
          <cell r="J165">
            <v>85.86</v>
          </cell>
          <cell r="L165">
            <v>30.94</v>
          </cell>
          <cell r="N165">
            <v>22.1</v>
          </cell>
        </row>
        <row r="166">
          <cell r="C166">
            <v>46</v>
          </cell>
          <cell r="D166">
            <v>78.319999999999993</v>
          </cell>
          <cell r="F166">
            <v>55.94</v>
          </cell>
          <cell r="H166">
            <v>62.68</v>
          </cell>
          <cell r="J166">
            <v>87.75</v>
          </cell>
          <cell r="L166">
            <v>31.58</v>
          </cell>
          <cell r="N166">
            <v>22.56</v>
          </cell>
        </row>
        <row r="167">
          <cell r="C167">
            <v>47</v>
          </cell>
          <cell r="D167">
            <v>79.959999999999994</v>
          </cell>
          <cell r="F167">
            <v>57.11</v>
          </cell>
          <cell r="H167">
            <v>64.03</v>
          </cell>
          <cell r="J167">
            <v>89.64</v>
          </cell>
          <cell r="L167">
            <v>32.22</v>
          </cell>
          <cell r="N167">
            <v>23.01</v>
          </cell>
        </row>
        <row r="168">
          <cell r="C168">
            <v>48</v>
          </cell>
          <cell r="D168">
            <v>81.61</v>
          </cell>
          <cell r="F168">
            <v>58.29</v>
          </cell>
          <cell r="H168">
            <v>65.37</v>
          </cell>
          <cell r="J168">
            <v>91.52</v>
          </cell>
          <cell r="L168">
            <v>32.85</v>
          </cell>
          <cell r="N168">
            <v>23.46</v>
          </cell>
        </row>
        <row r="169">
          <cell r="C169">
            <v>49</v>
          </cell>
          <cell r="D169">
            <v>83.26</v>
          </cell>
          <cell r="F169">
            <v>59.47</v>
          </cell>
          <cell r="H169">
            <v>66.72</v>
          </cell>
          <cell r="J169">
            <v>93.41</v>
          </cell>
          <cell r="L169">
            <v>33.49</v>
          </cell>
          <cell r="N169">
            <v>23.92</v>
          </cell>
        </row>
        <row r="170">
          <cell r="C170">
            <v>50</v>
          </cell>
          <cell r="D170">
            <v>84.9</v>
          </cell>
          <cell r="F170">
            <v>60.64</v>
          </cell>
          <cell r="H170">
            <v>68.069999999999993</v>
          </cell>
          <cell r="J170">
            <v>95.3</v>
          </cell>
          <cell r="L170">
            <v>34.119999999999997</v>
          </cell>
          <cell r="N170">
            <v>24.37</v>
          </cell>
        </row>
        <row r="171">
          <cell r="C171">
            <v>51</v>
          </cell>
          <cell r="D171">
            <v>86.55</v>
          </cell>
          <cell r="F171">
            <v>61.82</v>
          </cell>
          <cell r="H171">
            <v>69.42</v>
          </cell>
          <cell r="J171">
            <v>97.19</v>
          </cell>
          <cell r="L171">
            <v>34.76</v>
          </cell>
          <cell r="N171">
            <v>24.83</v>
          </cell>
        </row>
        <row r="172">
          <cell r="C172">
            <v>52</v>
          </cell>
          <cell r="D172">
            <v>88.19</v>
          </cell>
          <cell r="F172">
            <v>62.99</v>
          </cell>
          <cell r="H172">
            <v>70.77</v>
          </cell>
          <cell r="J172">
            <v>99.08</v>
          </cell>
          <cell r="L172">
            <v>35.4</v>
          </cell>
          <cell r="N172">
            <v>25.29</v>
          </cell>
        </row>
        <row r="173">
          <cell r="C173">
            <v>53</v>
          </cell>
          <cell r="D173">
            <v>89.84</v>
          </cell>
          <cell r="F173">
            <v>64.17</v>
          </cell>
          <cell r="H173">
            <v>72.12</v>
          </cell>
          <cell r="J173">
            <v>100.97</v>
          </cell>
          <cell r="L173">
            <v>36.03</v>
          </cell>
          <cell r="N173">
            <v>25.74</v>
          </cell>
        </row>
        <row r="174">
          <cell r="C174">
            <v>54</v>
          </cell>
          <cell r="D174">
            <v>91.48</v>
          </cell>
          <cell r="F174">
            <v>65.34</v>
          </cell>
          <cell r="H174">
            <v>73.459999999999994</v>
          </cell>
          <cell r="J174">
            <v>102.84</v>
          </cell>
          <cell r="L174">
            <v>36.67</v>
          </cell>
          <cell r="N174">
            <v>26.19</v>
          </cell>
        </row>
        <row r="175">
          <cell r="C175">
            <v>55</v>
          </cell>
          <cell r="D175">
            <v>93.13</v>
          </cell>
          <cell r="F175">
            <v>66.52</v>
          </cell>
          <cell r="H175">
            <v>74.81</v>
          </cell>
          <cell r="J175">
            <v>104.73</v>
          </cell>
          <cell r="L175">
            <v>37.31</v>
          </cell>
          <cell r="N175">
            <v>26.65</v>
          </cell>
        </row>
        <row r="176">
          <cell r="C176">
            <v>56</v>
          </cell>
          <cell r="D176">
            <v>94.78</v>
          </cell>
          <cell r="F176">
            <v>67.7</v>
          </cell>
          <cell r="H176">
            <v>76.16</v>
          </cell>
          <cell r="J176">
            <v>106.62</v>
          </cell>
          <cell r="L176">
            <v>37.94</v>
          </cell>
          <cell r="N176">
            <v>27.1</v>
          </cell>
        </row>
        <row r="177">
          <cell r="C177">
            <v>57</v>
          </cell>
          <cell r="D177">
            <v>96.42</v>
          </cell>
          <cell r="F177">
            <v>68.87</v>
          </cell>
          <cell r="H177">
            <v>77.510000000000005</v>
          </cell>
          <cell r="J177">
            <v>108.51</v>
          </cell>
          <cell r="L177">
            <v>38.58</v>
          </cell>
          <cell r="N177">
            <v>27.56</v>
          </cell>
        </row>
        <row r="178">
          <cell r="C178">
            <v>58</v>
          </cell>
          <cell r="D178">
            <v>98.07</v>
          </cell>
          <cell r="F178">
            <v>70.05</v>
          </cell>
          <cell r="H178">
            <v>78.86</v>
          </cell>
          <cell r="J178">
            <v>110.4</v>
          </cell>
          <cell r="L178">
            <v>39.21</v>
          </cell>
          <cell r="N178">
            <v>28.01</v>
          </cell>
        </row>
        <row r="179">
          <cell r="C179">
            <v>59</v>
          </cell>
          <cell r="D179">
            <v>99.71</v>
          </cell>
          <cell r="F179">
            <v>71.22</v>
          </cell>
          <cell r="H179">
            <v>80.209999999999994</v>
          </cell>
          <cell r="J179">
            <v>112.29</v>
          </cell>
          <cell r="L179">
            <v>39.85</v>
          </cell>
          <cell r="N179">
            <v>28.46</v>
          </cell>
        </row>
        <row r="180">
          <cell r="C180">
            <v>60</v>
          </cell>
          <cell r="D180">
            <v>101.36</v>
          </cell>
          <cell r="F180">
            <v>72.400000000000006</v>
          </cell>
          <cell r="H180">
            <v>81.56</v>
          </cell>
          <cell r="J180">
            <v>114.18</v>
          </cell>
          <cell r="L180">
            <v>40.49</v>
          </cell>
          <cell r="N180">
            <v>28.92</v>
          </cell>
        </row>
        <row r="181">
          <cell r="C181">
            <v>61</v>
          </cell>
          <cell r="D181">
            <v>103</v>
          </cell>
          <cell r="F181">
            <v>73.569999999999993</v>
          </cell>
          <cell r="H181">
            <v>82.9</v>
          </cell>
          <cell r="J181">
            <v>116.06</v>
          </cell>
          <cell r="L181">
            <v>41.12</v>
          </cell>
          <cell r="N181">
            <v>29.37</v>
          </cell>
        </row>
        <row r="182">
          <cell r="C182">
            <v>62</v>
          </cell>
          <cell r="D182">
            <v>104.65</v>
          </cell>
          <cell r="F182">
            <v>74.75</v>
          </cell>
          <cell r="H182">
            <v>84.25</v>
          </cell>
          <cell r="J182">
            <v>117.95</v>
          </cell>
          <cell r="L182">
            <v>41.76</v>
          </cell>
          <cell r="N182">
            <v>29.83</v>
          </cell>
        </row>
        <row r="183">
          <cell r="C183">
            <v>63</v>
          </cell>
          <cell r="D183">
            <v>106.3</v>
          </cell>
          <cell r="F183">
            <v>75.930000000000007</v>
          </cell>
          <cell r="H183">
            <v>85.6</v>
          </cell>
          <cell r="J183">
            <v>119.84</v>
          </cell>
          <cell r="L183">
            <v>42.39</v>
          </cell>
          <cell r="N183">
            <v>30.28</v>
          </cell>
        </row>
        <row r="184">
          <cell r="C184">
            <v>64</v>
          </cell>
          <cell r="D184">
            <v>107.94</v>
          </cell>
          <cell r="F184">
            <v>77.099999999999994</v>
          </cell>
          <cell r="H184">
            <v>86.95</v>
          </cell>
          <cell r="J184">
            <v>121.73</v>
          </cell>
          <cell r="L184">
            <v>43.03</v>
          </cell>
          <cell r="N184">
            <v>30.74</v>
          </cell>
        </row>
        <row r="185">
          <cell r="C185">
            <v>65</v>
          </cell>
          <cell r="D185">
            <v>109.59</v>
          </cell>
          <cell r="F185">
            <v>78.28</v>
          </cell>
          <cell r="H185">
            <v>88.3</v>
          </cell>
          <cell r="J185">
            <v>123.62</v>
          </cell>
          <cell r="L185">
            <v>43.67</v>
          </cell>
          <cell r="N185">
            <v>31.19</v>
          </cell>
        </row>
        <row r="186">
          <cell r="C186">
            <v>66</v>
          </cell>
          <cell r="D186">
            <v>111.23</v>
          </cell>
          <cell r="F186">
            <v>79.45</v>
          </cell>
          <cell r="H186">
            <v>89.65</v>
          </cell>
          <cell r="J186">
            <v>125.51</v>
          </cell>
          <cell r="L186">
            <v>44.3</v>
          </cell>
          <cell r="N186">
            <v>31.64</v>
          </cell>
        </row>
        <row r="187">
          <cell r="C187">
            <v>67</v>
          </cell>
          <cell r="D187">
            <v>112.88</v>
          </cell>
          <cell r="F187">
            <v>80.63</v>
          </cell>
          <cell r="H187">
            <v>90.99</v>
          </cell>
          <cell r="J187">
            <v>127.39</v>
          </cell>
          <cell r="L187">
            <v>44.94</v>
          </cell>
          <cell r="N187">
            <v>32.1</v>
          </cell>
        </row>
        <row r="188">
          <cell r="C188">
            <v>68</v>
          </cell>
          <cell r="D188">
            <v>114.52</v>
          </cell>
          <cell r="F188">
            <v>81.8</v>
          </cell>
          <cell r="H188">
            <v>92.34</v>
          </cell>
          <cell r="J188">
            <v>129.28</v>
          </cell>
          <cell r="L188">
            <v>45.58</v>
          </cell>
          <cell r="N188">
            <v>32.56</v>
          </cell>
        </row>
        <row r="189">
          <cell r="C189">
            <v>69</v>
          </cell>
          <cell r="D189">
            <v>116.17</v>
          </cell>
          <cell r="F189">
            <v>82.98</v>
          </cell>
          <cell r="H189">
            <v>93.69</v>
          </cell>
          <cell r="J189">
            <v>131.16999999999999</v>
          </cell>
          <cell r="L189">
            <v>46.21</v>
          </cell>
          <cell r="N189">
            <v>33.01</v>
          </cell>
        </row>
        <row r="190">
          <cell r="C190">
            <v>70</v>
          </cell>
          <cell r="D190">
            <v>117.82</v>
          </cell>
          <cell r="F190">
            <v>84.16</v>
          </cell>
          <cell r="H190">
            <v>95.04</v>
          </cell>
          <cell r="J190">
            <v>133.06</v>
          </cell>
          <cell r="L190">
            <v>46.85</v>
          </cell>
          <cell r="N190">
            <v>33.46</v>
          </cell>
        </row>
        <row r="191">
          <cell r="C191">
            <v>71</v>
          </cell>
          <cell r="D191">
            <v>119.46</v>
          </cell>
          <cell r="F191">
            <v>85.33</v>
          </cell>
          <cell r="H191">
            <v>96.39</v>
          </cell>
          <cell r="J191">
            <v>134.94999999999999</v>
          </cell>
          <cell r="L191">
            <v>47.48</v>
          </cell>
          <cell r="N191">
            <v>33.909999999999997</v>
          </cell>
        </row>
        <row r="192">
          <cell r="C192">
            <v>72</v>
          </cell>
          <cell r="D192">
            <v>121.11</v>
          </cell>
          <cell r="F192">
            <v>86.51</v>
          </cell>
          <cell r="H192">
            <v>97.74</v>
          </cell>
          <cell r="J192">
            <v>136.84</v>
          </cell>
          <cell r="L192">
            <v>48.12</v>
          </cell>
          <cell r="N192">
            <v>34.369999999999997</v>
          </cell>
        </row>
        <row r="193">
          <cell r="C193">
            <v>73</v>
          </cell>
          <cell r="D193">
            <v>122.75</v>
          </cell>
          <cell r="F193">
            <v>87.68</v>
          </cell>
          <cell r="H193">
            <v>99.08</v>
          </cell>
          <cell r="J193">
            <v>138.71</v>
          </cell>
          <cell r="L193">
            <v>48.76</v>
          </cell>
          <cell r="N193">
            <v>34.83</v>
          </cell>
        </row>
        <row r="194">
          <cell r="C194">
            <v>74</v>
          </cell>
          <cell r="D194">
            <v>124.4</v>
          </cell>
          <cell r="F194">
            <v>88.86</v>
          </cell>
          <cell r="H194">
            <v>100.43</v>
          </cell>
          <cell r="J194">
            <v>140.6</v>
          </cell>
          <cell r="L194">
            <v>49.39</v>
          </cell>
          <cell r="N194">
            <v>35.28</v>
          </cell>
        </row>
        <row r="195">
          <cell r="C195">
            <v>75</v>
          </cell>
          <cell r="D195">
            <v>126.04</v>
          </cell>
          <cell r="F195">
            <v>90.03</v>
          </cell>
          <cell r="H195">
            <v>101.78</v>
          </cell>
          <cell r="J195">
            <v>142.49</v>
          </cell>
          <cell r="L195">
            <v>50.03</v>
          </cell>
          <cell r="N195">
            <v>35.74</v>
          </cell>
        </row>
        <row r="196">
          <cell r="C196">
            <v>76</v>
          </cell>
          <cell r="D196">
            <v>127.69</v>
          </cell>
          <cell r="F196">
            <v>91.21</v>
          </cell>
          <cell r="H196">
            <v>103.13</v>
          </cell>
          <cell r="J196">
            <v>144.38</v>
          </cell>
          <cell r="L196">
            <v>50.67</v>
          </cell>
          <cell r="N196">
            <v>36.19</v>
          </cell>
        </row>
        <row r="197">
          <cell r="C197">
            <v>77</v>
          </cell>
          <cell r="D197">
            <v>129.34</v>
          </cell>
          <cell r="F197">
            <v>92.39</v>
          </cell>
          <cell r="H197">
            <v>104.48</v>
          </cell>
          <cell r="J197">
            <v>146.27000000000001</v>
          </cell>
          <cell r="L197">
            <v>51.3</v>
          </cell>
          <cell r="N197">
            <v>36.64</v>
          </cell>
        </row>
        <row r="198">
          <cell r="C198">
            <v>78</v>
          </cell>
          <cell r="D198">
            <v>130.97999999999999</v>
          </cell>
          <cell r="F198">
            <v>93.56</v>
          </cell>
          <cell r="H198">
            <v>105.83</v>
          </cell>
          <cell r="J198">
            <v>148.16</v>
          </cell>
          <cell r="L198">
            <v>51.94</v>
          </cell>
          <cell r="N198">
            <v>37.1</v>
          </cell>
        </row>
        <row r="199">
          <cell r="C199">
            <v>79</v>
          </cell>
          <cell r="D199">
            <v>132.63</v>
          </cell>
          <cell r="F199">
            <v>94.74</v>
          </cell>
          <cell r="H199">
            <v>107.17</v>
          </cell>
          <cell r="J199">
            <v>150.04</v>
          </cell>
          <cell r="L199">
            <v>52.57</v>
          </cell>
          <cell r="N199">
            <v>37.549999999999997</v>
          </cell>
        </row>
        <row r="200">
          <cell r="C200">
            <v>80</v>
          </cell>
          <cell r="D200">
            <v>134.27000000000001</v>
          </cell>
          <cell r="F200">
            <v>95.91</v>
          </cell>
          <cell r="H200">
            <v>108.52</v>
          </cell>
          <cell r="J200">
            <v>151.93</v>
          </cell>
          <cell r="L200">
            <v>53.21</v>
          </cell>
          <cell r="N200">
            <v>38.01</v>
          </cell>
        </row>
        <row r="201">
          <cell r="C201">
            <v>81</v>
          </cell>
          <cell r="D201">
            <v>135.91999999999999</v>
          </cell>
          <cell r="F201">
            <v>97.09</v>
          </cell>
          <cell r="H201">
            <v>109.87</v>
          </cell>
          <cell r="J201">
            <v>153.82</v>
          </cell>
          <cell r="L201">
            <v>53.85</v>
          </cell>
          <cell r="N201">
            <v>38.46</v>
          </cell>
        </row>
        <row r="202">
          <cell r="C202">
            <v>82</v>
          </cell>
          <cell r="D202">
            <v>137.56</v>
          </cell>
          <cell r="F202">
            <v>98.26</v>
          </cell>
          <cell r="H202">
            <v>111.22</v>
          </cell>
          <cell r="J202">
            <v>155.71</v>
          </cell>
          <cell r="L202">
            <v>54.48</v>
          </cell>
          <cell r="N202">
            <v>38.909999999999997</v>
          </cell>
        </row>
        <row r="203">
          <cell r="C203">
            <v>83</v>
          </cell>
          <cell r="D203">
            <v>139.21</v>
          </cell>
          <cell r="F203">
            <v>99.44</v>
          </cell>
          <cell r="H203">
            <v>112.57</v>
          </cell>
          <cell r="J203">
            <v>157.6</v>
          </cell>
          <cell r="L203">
            <v>55.12</v>
          </cell>
          <cell r="N203">
            <v>39.369999999999997</v>
          </cell>
        </row>
        <row r="204">
          <cell r="C204">
            <v>84</v>
          </cell>
          <cell r="D204">
            <v>140.86000000000001</v>
          </cell>
          <cell r="F204">
            <v>100.61</v>
          </cell>
          <cell r="H204">
            <v>113.92</v>
          </cell>
          <cell r="J204">
            <v>159.49</v>
          </cell>
          <cell r="L204">
            <v>55.76</v>
          </cell>
          <cell r="N204">
            <v>39.83</v>
          </cell>
        </row>
        <row r="205">
          <cell r="C205">
            <v>85</v>
          </cell>
          <cell r="D205">
            <v>142.5</v>
          </cell>
          <cell r="F205">
            <v>101.79</v>
          </cell>
          <cell r="H205">
            <v>115.26</v>
          </cell>
          <cell r="J205">
            <v>161.36000000000001</v>
          </cell>
          <cell r="L205">
            <v>56.39</v>
          </cell>
          <cell r="N205">
            <v>40.28</v>
          </cell>
        </row>
        <row r="206">
          <cell r="C206">
            <v>86</v>
          </cell>
          <cell r="D206">
            <v>144.15</v>
          </cell>
          <cell r="F206">
            <v>102.96</v>
          </cell>
          <cell r="H206">
            <v>116.61</v>
          </cell>
          <cell r="J206">
            <v>163.25</v>
          </cell>
          <cell r="L206">
            <v>57.03</v>
          </cell>
          <cell r="N206">
            <v>40.74</v>
          </cell>
        </row>
        <row r="207">
          <cell r="C207">
            <v>87</v>
          </cell>
          <cell r="D207">
            <v>145.79</v>
          </cell>
          <cell r="F207">
            <v>104.14</v>
          </cell>
          <cell r="H207">
            <v>117.96</v>
          </cell>
          <cell r="J207">
            <v>165.14</v>
          </cell>
          <cell r="L207">
            <v>57.66</v>
          </cell>
          <cell r="N207">
            <v>41.19</v>
          </cell>
        </row>
        <row r="208">
          <cell r="C208">
            <v>88</v>
          </cell>
          <cell r="D208">
            <v>147.44</v>
          </cell>
          <cell r="F208">
            <v>105.31</v>
          </cell>
          <cell r="H208">
            <v>119.31</v>
          </cell>
          <cell r="J208">
            <v>167.03</v>
          </cell>
          <cell r="L208">
            <v>58.3</v>
          </cell>
          <cell r="N208">
            <v>41.64</v>
          </cell>
        </row>
        <row r="209">
          <cell r="C209">
            <v>89</v>
          </cell>
          <cell r="D209">
            <v>149.08000000000001</v>
          </cell>
          <cell r="F209">
            <v>106.49</v>
          </cell>
          <cell r="H209">
            <v>120.66</v>
          </cell>
          <cell r="J209">
            <v>168.92</v>
          </cell>
          <cell r="L209">
            <v>58.94</v>
          </cell>
          <cell r="N209">
            <v>42.1</v>
          </cell>
        </row>
        <row r="210">
          <cell r="C210">
            <v>90</v>
          </cell>
          <cell r="D210">
            <v>150.72999999999999</v>
          </cell>
          <cell r="F210">
            <v>107.66</v>
          </cell>
          <cell r="H210">
            <v>122.01</v>
          </cell>
          <cell r="J210">
            <v>170.81</v>
          </cell>
          <cell r="L210">
            <v>59.57</v>
          </cell>
          <cell r="N210">
            <v>42.55</v>
          </cell>
        </row>
        <row r="211">
          <cell r="C211">
            <v>91</v>
          </cell>
          <cell r="D211">
            <v>152.38</v>
          </cell>
          <cell r="F211">
            <v>108.84</v>
          </cell>
          <cell r="H211">
            <v>123.36</v>
          </cell>
          <cell r="J211">
            <v>172.7</v>
          </cell>
          <cell r="L211">
            <v>60.21</v>
          </cell>
          <cell r="N211">
            <v>43.01</v>
          </cell>
        </row>
        <row r="212">
          <cell r="C212">
            <v>92</v>
          </cell>
          <cell r="D212">
            <v>154.02000000000001</v>
          </cell>
          <cell r="F212">
            <v>110.01</v>
          </cell>
          <cell r="H212">
            <v>124.7</v>
          </cell>
          <cell r="J212">
            <v>174.58</v>
          </cell>
          <cell r="L212">
            <v>60.85</v>
          </cell>
          <cell r="N212">
            <v>43.46</v>
          </cell>
        </row>
        <row r="213">
          <cell r="C213">
            <v>93</v>
          </cell>
          <cell r="D213">
            <v>155.66999999999999</v>
          </cell>
          <cell r="F213">
            <v>111.19</v>
          </cell>
          <cell r="H213">
            <v>126.05</v>
          </cell>
          <cell r="J213">
            <v>176.47</v>
          </cell>
          <cell r="L213">
            <v>61.48</v>
          </cell>
          <cell r="N213">
            <v>43.91</v>
          </cell>
        </row>
        <row r="214">
          <cell r="C214">
            <v>94</v>
          </cell>
          <cell r="D214">
            <v>157.31</v>
          </cell>
          <cell r="F214">
            <v>112.36</v>
          </cell>
          <cell r="H214">
            <v>127.4</v>
          </cell>
          <cell r="J214">
            <v>178.36</v>
          </cell>
          <cell r="L214">
            <v>62.12</v>
          </cell>
          <cell r="N214">
            <v>44.37</v>
          </cell>
        </row>
        <row r="215">
          <cell r="C215">
            <v>95</v>
          </cell>
          <cell r="D215">
            <v>158.96</v>
          </cell>
          <cell r="F215">
            <v>113.54</v>
          </cell>
          <cell r="H215">
            <v>128.75</v>
          </cell>
          <cell r="J215">
            <v>180.25</v>
          </cell>
          <cell r="L215">
            <v>62.75</v>
          </cell>
          <cell r="N215">
            <v>44.82</v>
          </cell>
        </row>
        <row r="216">
          <cell r="C216">
            <v>96</v>
          </cell>
          <cell r="D216">
            <v>160.6</v>
          </cell>
          <cell r="F216">
            <v>114.71</v>
          </cell>
          <cell r="H216">
            <v>130.1</v>
          </cell>
          <cell r="J216">
            <v>182.14</v>
          </cell>
          <cell r="L216">
            <v>63.39</v>
          </cell>
          <cell r="N216">
            <v>45.28</v>
          </cell>
        </row>
        <row r="217">
          <cell r="C217">
            <v>97</v>
          </cell>
          <cell r="D217">
            <v>162.25</v>
          </cell>
          <cell r="F217">
            <v>115.89</v>
          </cell>
          <cell r="H217">
            <v>131.44999999999999</v>
          </cell>
          <cell r="J217">
            <v>184.03</v>
          </cell>
          <cell r="L217">
            <v>64.03</v>
          </cell>
          <cell r="N217">
            <v>45.74</v>
          </cell>
        </row>
        <row r="218">
          <cell r="C218">
            <v>98</v>
          </cell>
          <cell r="D218">
            <v>163.9</v>
          </cell>
          <cell r="F218">
            <v>117.07</v>
          </cell>
          <cell r="H218">
            <v>132.79</v>
          </cell>
          <cell r="J218">
            <v>185.91</v>
          </cell>
          <cell r="L218">
            <v>64.66</v>
          </cell>
          <cell r="N218">
            <v>46.19</v>
          </cell>
        </row>
        <row r="219">
          <cell r="C219">
            <v>99</v>
          </cell>
          <cell r="D219">
            <v>165.54</v>
          </cell>
          <cell r="F219">
            <v>118.24</v>
          </cell>
          <cell r="H219">
            <v>134.13999999999999</v>
          </cell>
          <cell r="J219">
            <v>187.8</v>
          </cell>
          <cell r="L219">
            <v>65.3</v>
          </cell>
          <cell r="N219">
            <v>46.64</v>
          </cell>
        </row>
        <row r="220">
          <cell r="C220">
            <v>100</v>
          </cell>
          <cell r="D220">
            <v>167.19</v>
          </cell>
          <cell r="F220">
            <v>119.42</v>
          </cell>
          <cell r="H220">
            <v>135.49</v>
          </cell>
          <cell r="J220">
            <v>189.69</v>
          </cell>
          <cell r="L220">
            <v>65.94</v>
          </cell>
          <cell r="N220">
            <v>47.1</v>
          </cell>
        </row>
        <row r="221">
          <cell r="C221">
            <v>101</v>
          </cell>
          <cell r="D221">
            <v>168.83</v>
          </cell>
          <cell r="F221">
            <v>120.59</v>
          </cell>
          <cell r="H221">
            <v>136.84</v>
          </cell>
          <cell r="J221">
            <v>191.58</v>
          </cell>
          <cell r="L221">
            <v>66.569999999999993</v>
          </cell>
          <cell r="N221">
            <v>47.55</v>
          </cell>
        </row>
        <row r="222">
          <cell r="C222">
            <v>102</v>
          </cell>
          <cell r="D222">
            <v>170.48</v>
          </cell>
          <cell r="F222">
            <v>121.77</v>
          </cell>
          <cell r="H222">
            <v>138.19</v>
          </cell>
          <cell r="J222">
            <v>193.47</v>
          </cell>
          <cell r="L222">
            <v>67.209999999999994</v>
          </cell>
          <cell r="N222">
            <v>48.01</v>
          </cell>
        </row>
        <row r="223">
          <cell r="C223">
            <v>103</v>
          </cell>
          <cell r="D223">
            <v>172.13</v>
          </cell>
          <cell r="F223">
            <v>122.95</v>
          </cell>
          <cell r="H223">
            <v>139.54</v>
          </cell>
          <cell r="J223">
            <v>195.36</v>
          </cell>
          <cell r="L223">
            <v>67.84</v>
          </cell>
          <cell r="N223">
            <v>48.46</v>
          </cell>
        </row>
        <row r="224">
          <cell r="C224">
            <v>104</v>
          </cell>
          <cell r="D224">
            <v>173.77</v>
          </cell>
          <cell r="F224">
            <v>124.12</v>
          </cell>
          <cell r="H224">
            <v>140.88</v>
          </cell>
          <cell r="J224">
            <v>197.23</v>
          </cell>
          <cell r="L224">
            <v>68.48</v>
          </cell>
          <cell r="N224">
            <v>48.91</v>
          </cell>
        </row>
        <row r="225">
          <cell r="C225">
            <v>105</v>
          </cell>
          <cell r="D225">
            <v>175.42</v>
          </cell>
          <cell r="F225">
            <v>125.3</v>
          </cell>
          <cell r="H225">
            <v>142.22999999999999</v>
          </cell>
          <cell r="J225">
            <v>199.12</v>
          </cell>
          <cell r="L225">
            <v>69.12</v>
          </cell>
          <cell r="N225">
            <v>49.37</v>
          </cell>
        </row>
        <row r="226">
          <cell r="C226">
            <v>106</v>
          </cell>
          <cell r="D226">
            <v>177.06</v>
          </cell>
          <cell r="F226">
            <v>126.47</v>
          </cell>
          <cell r="H226">
            <v>143.58000000000001</v>
          </cell>
          <cell r="J226">
            <v>201.01</v>
          </cell>
          <cell r="L226">
            <v>69.75</v>
          </cell>
          <cell r="N226">
            <v>49.82</v>
          </cell>
        </row>
        <row r="227">
          <cell r="C227">
            <v>107</v>
          </cell>
          <cell r="D227">
            <v>178.71</v>
          </cell>
          <cell r="F227">
            <v>127.65</v>
          </cell>
          <cell r="H227">
            <v>144.93</v>
          </cell>
          <cell r="J227">
            <v>202.9</v>
          </cell>
          <cell r="L227">
            <v>70.39</v>
          </cell>
          <cell r="N227">
            <v>50.28</v>
          </cell>
        </row>
        <row r="228">
          <cell r="C228">
            <v>108</v>
          </cell>
          <cell r="D228">
            <v>180.35</v>
          </cell>
          <cell r="F228">
            <v>128.82</v>
          </cell>
          <cell r="H228">
            <v>146.28</v>
          </cell>
          <cell r="J228">
            <v>204.79</v>
          </cell>
          <cell r="L228">
            <v>71.03</v>
          </cell>
          <cell r="N228">
            <v>50.74</v>
          </cell>
        </row>
        <row r="229">
          <cell r="C229">
            <v>109</v>
          </cell>
          <cell r="D229">
            <v>182</v>
          </cell>
          <cell r="F229">
            <v>130</v>
          </cell>
          <cell r="H229">
            <v>147.63</v>
          </cell>
          <cell r="J229">
            <v>206.68</v>
          </cell>
          <cell r="L229">
            <v>71.66</v>
          </cell>
          <cell r="N229">
            <v>51.19</v>
          </cell>
        </row>
        <row r="230">
          <cell r="C230">
            <v>110</v>
          </cell>
          <cell r="D230">
            <v>183.65</v>
          </cell>
          <cell r="F230">
            <v>131.18</v>
          </cell>
          <cell r="H230">
            <v>148.97</v>
          </cell>
          <cell r="J230">
            <v>208.56</v>
          </cell>
          <cell r="L230">
            <v>72.3</v>
          </cell>
          <cell r="N230">
            <v>51.64</v>
          </cell>
        </row>
        <row r="231">
          <cell r="C231">
            <v>111</v>
          </cell>
          <cell r="D231">
            <v>185.29</v>
          </cell>
          <cell r="F231">
            <v>132.35</v>
          </cell>
          <cell r="H231">
            <v>150.32</v>
          </cell>
          <cell r="J231">
            <v>210.45</v>
          </cell>
          <cell r="L231">
            <v>72.930000000000007</v>
          </cell>
          <cell r="N231">
            <v>52.09</v>
          </cell>
        </row>
        <row r="232">
          <cell r="C232">
            <v>112</v>
          </cell>
          <cell r="D232">
            <v>186.94</v>
          </cell>
          <cell r="F232">
            <v>133.53</v>
          </cell>
          <cell r="H232">
            <v>151.66999999999999</v>
          </cell>
          <cell r="J232">
            <v>212.34</v>
          </cell>
          <cell r="L232">
            <v>73.569999999999993</v>
          </cell>
          <cell r="N232">
            <v>52.55</v>
          </cell>
        </row>
        <row r="233">
          <cell r="C233">
            <v>113</v>
          </cell>
          <cell r="D233">
            <v>188.58</v>
          </cell>
          <cell r="F233">
            <v>134.69999999999999</v>
          </cell>
          <cell r="H233">
            <v>153.02000000000001</v>
          </cell>
          <cell r="J233">
            <v>214.23</v>
          </cell>
          <cell r="L233">
            <v>74.209999999999994</v>
          </cell>
          <cell r="N233">
            <v>53.01</v>
          </cell>
        </row>
        <row r="234">
          <cell r="C234">
            <v>114</v>
          </cell>
          <cell r="D234">
            <v>190.23</v>
          </cell>
          <cell r="F234">
            <v>135.88</v>
          </cell>
          <cell r="H234">
            <v>154.37</v>
          </cell>
          <cell r="J234">
            <v>216.12</v>
          </cell>
          <cell r="L234">
            <v>74.84</v>
          </cell>
          <cell r="N234">
            <v>53.46</v>
          </cell>
        </row>
        <row r="235">
          <cell r="C235">
            <v>115</v>
          </cell>
          <cell r="D235">
            <v>191.87</v>
          </cell>
          <cell r="F235">
            <v>137.05000000000001</v>
          </cell>
          <cell r="H235">
            <v>155.72</v>
          </cell>
          <cell r="J235">
            <v>218.01</v>
          </cell>
          <cell r="L235">
            <v>75.48</v>
          </cell>
          <cell r="N235">
            <v>53.91</v>
          </cell>
        </row>
        <row r="236">
          <cell r="C236">
            <v>116</v>
          </cell>
          <cell r="D236">
            <v>193.52</v>
          </cell>
          <cell r="F236">
            <v>138.22999999999999</v>
          </cell>
          <cell r="H236">
            <v>157.06</v>
          </cell>
          <cell r="J236">
            <v>219.88</v>
          </cell>
          <cell r="L236">
            <v>76.12</v>
          </cell>
          <cell r="N236">
            <v>54.37</v>
          </cell>
        </row>
        <row r="237">
          <cell r="C237">
            <v>117</v>
          </cell>
          <cell r="D237">
            <v>195.17</v>
          </cell>
          <cell r="F237">
            <v>139.41</v>
          </cell>
          <cell r="H237">
            <v>158.41</v>
          </cell>
          <cell r="J237">
            <v>221.77</v>
          </cell>
          <cell r="L237">
            <v>76.75</v>
          </cell>
          <cell r="N237">
            <v>54.82</v>
          </cell>
        </row>
        <row r="238">
          <cell r="C238">
            <v>118</v>
          </cell>
          <cell r="D238">
            <v>196.81</v>
          </cell>
          <cell r="F238">
            <v>140.58000000000001</v>
          </cell>
          <cell r="H238">
            <v>159.76</v>
          </cell>
          <cell r="J238">
            <v>223.66</v>
          </cell>
          <cell r="L238">
            <v>77.39</v>
          </cell>
          <cell r="N238">
            <v>55.28</v>
          </cell>
        </row>
        <row r="239">
          <cell r="C239">
            <v>119</v>
          </cell>
          <cell r="D239">
            <v>198.46</v>
          </cell>
          <cell r="F239">
            <v>141.76</v>
          </cell>
          <cell r="H239">
            <v>161.11000000000001</v>
          </cell>
          <cell r="J239">
            <v>225.55</v>
          </cell>
          <cell r="L239">
            <v>78.02</v>
          </cell>
          <cell r="N239">
            <v>55.73</v>
          </cell>
        </row>
        <row r="240">
          <cell r="C240">
            <v>120</v>
          </cell>
          <cell r="D240">
            <v>200.1</v>
          </cell>
          <cell r="F240">
            <v>142.93</v>
          </cell>
          <cell r="H240">
            <v>162.46</v>
          </cell>
          <cell r="J240">
            <v>227.44</v>
          </cell>
          <cell r="L240">
            <v>78.66</v>
          </cell>
          <cell r="N240">
            <v>56.19</v>
          </cell>
        </row>
        <row r="241">
          <cell r="C241">
            <v>121</v>
          </cell>
          <cell r="D241">
            <v>201.75</v>
          </cell>
          <cell r="F241">
            <v>144.11000000000001</v>
          </cell>
          <cell r="H241">
            <v>163.81</v>
          </cell>
          <cell r="J241">
            <v>229.33</v>
          </cell>
          <cell r="L241">
            <v>79.3</v>
          </cell>
          <cell r="N241">
            <v>56.64</v>
          </cell>
        </row>
        <row r="242">
          <cell r="C242">
            <v>122</v>
          </cell>
          <cell r="D242">
            <v>203.39</v>
          </cell>
          <cell r="F242">
            <v>145.28</v>
          </cell>
          <cell r="H242">
            <v>165.16</v>
          </cell>
          <cell r="J242">
            <v>231.22</v>
          </cell>
          <cell r="L242">
            <v>79.930000000000007</v>
          </cell>
          <cell r="N242">
            <v>57.09</v>
          </cell>
        </row>
        <row r="243">
          <cell r="C243">
            <v>123</v>
          </cell>
          <cell r="D243">
            <v>205.04</v>
          </cell>
          <cell r="F243">
            <v>146.46</v>
          </cell>
          <cell r="H243">
            <v>166.5</v>
          </cell>
          <cell r="J243">
            <v>233.1</v>
          </cell>
          <cell r="L243">
            <v>80.569999999999993</v>
          </cell>
          <cell r="N243">
            <v>57.55</v>
          </cell>
        </row>
        <row r="244">
          <cell r="C244">
            <v>124</v>
          </cell>
          <cell r="D244">
            <v>206.69</v>
          </cell>
          <cell r="F244">
            <v>147.63999999999999</v>
          </cell>
          <cell r="H244">
            <v>167.85</v>
          </cell>
          <cell r="J244">
            <v>234.99</v>
          </cell>
          <cell r="L244">
            <v>81.2</v>
          </cell>
          <cell r="N244">
            <v>58</v>
          </cell>
        </row>
        <row r="245">
          <cell r="C245">
            <v>125</v>
          </cell>
          <cell r="D245">
            <v>208.33</v>
          </cell>
          <cell r="F245">
            <v>148.81</v>
          </cell>
          <cell r="H245">
            <v>169.2</v>
          </cell>
          <cell r="J245">
            <v>236.88</v>
          </cell>
          <cell r="L245">
            <v>81.84</v>
          </cell>
          <cell r="N245">
            <v>58.46</v>
          </cell>
        </row>
        <row r="246">
          <cell r="C246">
            <v>126</v>
          </cell>
          <cell r="D246">
            <v>209.98</v>
          </cell>
          <cell r="F246">
            <v>149.99</v>
          </cell>
          <cell r="H246">
            <v>170.55</v>
          </cell>
          <cell r="J246">
            <v>238.77</v>
          </cell>
          <cell r="L246">
            <v>82.48</v>
          </cell>
          <cell r="N246">
            <v>58.91</v>
          </cell>
        </row>
        <row r="247">
          <cell r="C247">
            <v>127</v>
          </cell>
          <cell r="D247">
            <v>211.62</v>
          </cell>
          <cell r="F247">
            <v>151.16</v>
          </cell>
          <cell r="H247">
            <v>171.9</v>
          </cell>
          <cell r="J247">
            <v>240.66</v>
          </cell>
          <cell r="L247">
            <v>83.11</v>
          </cell>
          <cell r="N247">
            <v>59.36</v>
          </cell>
        </row>
        <row r="248">
          <cell r="C248">
            <v>128</v>
          </cell>
          <cell r="D248">
            <v>213.27</v>
          </cell>
          <cell r="F248">
            <v>152.34</v>
          </cell>
          <cell r="H248">
            <v>173.25</v>
          </cell>
          <cell r="J248">
            <v>242.55</v>
          </cell>
          <cell r="L248">
            <v>83.75</v>
          </cell>
          <cell r="N248">
            <v>59.82</v>
          </cell>
        </row>
        <row r="249">
          <cell r="C249">
            <v>129</v>
          </cell>
          <cell r="D249">
            <v>214.91</v>
          </cell>
          <cell r="F249">
            <v>153.51</v>
          </cell>
          <cell r="H249">
            <v>174.59</v>
          </cell>
          <cell r="J249">
            <v>244.43</v>
          </cell>
          <cell r="L249">
            <v>84.39</v>
          </cell>
          <cell r="N249">
            <v>60.28</v>
          </cell>
        </row>
        <row r="250">
          <cell r="C250">
            <v>130</v>
          </cell>
          <cell r="D250">
            <v>216.56</v>
          </cell>
          <cell r="F250">
            <v>154.69</v>
          </cell>
          <cell r="H250">
            <v>175.94</v>
          </cell>
          <cell r="J250">
            <v>246.32</v>
          </cell>
          <cell r="L250">
            <v>85.02</v>
          </cell>
          <cell r="N250">
            <v>60.73</v>
          </cell>
        </row>
        <row r="251">
          <cell r="C251">
            <v>131</v>
          </cell>
          <cell r="D251">
            <v>218.21</v>
          </cell>
          <cell r="F251">
            <v>155.86000000000001</v>
          </cell>
          <cell r="H251">
            <v>177.29</v>
          </cell>
          <cell r="J251">
            <v>248.21</v>
          </cell>
          <cell r="L251">
            <v>85.66</v>
          </cell>
          <cell r="N251">
            <v>61.19</v>
          </cell>
        </row>
        <row r="252">
          <cell r="C252">
            <v>132</v>
          </cell>
          <cell r="D252">
            <v>219.85</v>
          </cell>
          <cell r="F252">
            <v>157.04</v>
          </cell>
          <cell r="H252">
            <v>178.64</v>
          </cell>
          <cell r="J252">
            <v>250.1</v>
          </cell>
          <cell r="L252">
            <v>86.29</v>
          </cell>
          <cell r="N252">
            <v>61.64</v>
          </cell>
        </row>
        <row r="253">
          <cell r="C253">
            <v>133</v>
          </cell>
          <cell r="D253">
            <v>221.5</v>
          </cell>
          <cell r="F253">
            <v>158.21</v>
          </cell>
          <cell r="H253">
            <v>179.99</v>
          </cell>
          <cell r="J253">
            <v>251.99</v>
          </cell>
          <cell r="L253">
            <v>86.93</v>
          </cell>
          <cell r="N253">
            <v>62.09</v>
          </cell>
        </row>
        <row r="254">
          <cell r="C254">
            <v>134</v>
          </cell>
          <cell r="D254">
            <v>223.14</v>
          </cell>
          <cell r="F254">
            <v>159.38999999999999</v>
          </cell>
          <cell r="H254">
            <v>181.34</v>
          </cell>
          <cell r="J254">
            <v>253.88</v>
          </cell>
          <cell r="L254">
            <v>87.57</v>
          </cell>
          <cell r="N254">
            <v>62.55</v>
          </cell>
        </row>
        <row r="255">
          <cell r="C255">
            <v>135</v>
          </cell>
          <cell r="D255">
            <v>224.79</v>
          </cell>
          <cell r="F255">
            <v>160.56</v>
          </cell>
          <cell r="H255">
            <v>182.68</v>
          </cell>
          <cell r="J255">
            <v>255.75</v>
          </cell>
          <cell r="L255">
            <v>88.2</v>
          </cell>
          <cell r="N255">
            <v>63</v>
          </cell>
        </row>
        <row r="256">
          <cell r="C256">
            <v>136</v>
          </cell>
          <cell r="D256">
            <v>226.43</v>
          </cell>
          <cell r="F256">
            <v>161.74</v>
          </cell>
          <cell r="H256">
            <v>184.03</v>
          </cell>
          <cell r="J256">
            <v>257.64</v>
          </cell>
          <cell r="L256">
            <v>88.84</v>
          </cell>
          <cell r="N256">
            <v>63.46</v>
          </cell>
        </row>
        <row r="257">
          <cell r="C257">
            <v>137</v>
          </cell>
          <cell r="D257">
            <v>228.08</v>
          </cell>
          <cell r="F257">
            <v>162.91</v>
          </cell>
          <cell r="H257">
            <v>185.38</v>
          </cell>
          <cell r="J257">
            <v>259.52999999999997</v>
          </cell>
          <cell r="L257">
            <v>89.48</v>
          </cell>
          <cell r="N257">
            <v>63.91</v>
          </cell>
        </row>
        <row r="258">
          <cell r="C258">
            <v>138</v>
          </cell>
          <cell r="D258">
            <v>229.73</v>
          </cell>
          <cell r="F258">
            <v>164.09</v>
          </cell>
          <cell r="H258">
            <v>186.73</v>
          </cell>
          <cell r="J258">
            <v>261.42</v>
          </cell>
          <cell r="L258">
            <v>90.11</v>
          </cell>
          <cell r="N258">
            <v>64.36</v>
          </cell>
        </row>
        <row r="259">
          <cell r="C259">
            <v>139</v>
          </cell>
          <cell r="D259">
            <v>231.37</v>
          </cell>
          <cell r="F259">
            <v>165.26</v>
          </cell>
          <cell r="H259">
            <v>188.08</v>
          </cell>
          <cell r="J259">
            <v>263.31</v>
          </cell>
          <cell r="L259">
            <v>90.75</v>
          </cell>
          <cell r="N259">
            <v>64.819999999999993</v>
          </cell>
        </row>
        <row r="260">
          <cell r="C260">
            <v>140</v>
          </cell>
          <cell r="D260">
            <v>233.02</v>
          </cell>
          <cell r="F260">
            <v>166.44</v>
          </cell>
          <cell r="H260">
            <v>189.43</v>
          </cell>
          <cell r="J260">
            <v>265.2</v>
          </cell>
          <cell r="L260">
            <v>91.38</v>
          </cell>
          <cell r="N260">
            <v>65.27</v>
          </cell>
        </row>
        <row r="261">
          <cell r="C261">
            <v>141</v>
          </cell>
          <cell r="D261">
            <v>234.66</v>
          </cell>
          <cell r="F261">
            <v>167.61</v>
          </cell>
          <cell r="H261">
            <v>190.77</v>
          </cell>
          <cell r="J261">
            <v>267.08</v>
          </cell>
          <cell r="L261">
            <v>92.02</v>
          </cell>
          <cell r="N261">
            <v>65.73</v>
          </cell>
        </row>
        <row r="262">
          <cell r="C262">
            <v>142</v>
          </cell>
          <cell r="D262">
            <v>236.31</v>
          </cell>
          <cell r="F262">
            <v>168.79</v>
          </cell>
          <cell r="H262">
            <v>192.12</v>
          </cell>
          <cell r="J262">
            <v>268.97000000000003</v>
          </cell>
          <cell r="L262">
            <v>92.66</v>
          </cell>
          <cell r="N262">
            <v>66.19</v>
          </cell>
        </row>
        <row r="263">
          <cell r="C263">
            <v>143</v>
          </cell>
          <cell r="D263">
            <v>237.95</v>
          </cell>
          <cell r="F263">
            <v>169.96</v>
          </cell>
          <cell r="H263">
            <v>193.47</v>
          </cell>
          <cell r="J263">
            <v>270.86</v>
          </cell>
          <cell r="L263">
            <v>93.29</v>
          </cell>
          <cell r="N263">
            <v>66.64</v>
          </cell>
        </row>
        <row r="264">
          <cell r="C264">
            <v>144</v>
          </cell>
          <cell r="D264">
            <v>239.6</v>
          </cell>
          <cell r="F264">
            <v>171.14</v>
          </cell>
          <cell r="H264">
            <v>194.82</v>
          </cell>
          <cell r="J264">
            <v>272.75</v>
          </cell>
          <cell r="L264">
            <v>93.93</v>
          </cell>
          <cell r="N264">
            <v>67.09</v>
          </cell>
        </row>
        <row r="265">
          <cell r="C265">
            <v>145</v>
          </cell>
          <cell r="D265">
            <v>241.25</v>
          </cell>
          <cell r="F265">
            <v>172.32</v>
          </cell>
          <cell r="H265">
            <v>196.17</v>
          </cell>
          <cell r="J265">
            <v>274.64</v>
          </cell>
          <cell r="L265">
            <v>94.57</v>
          </cell>
          <cell r="N265">
            <v>67.55</v>
          </cell>
        </row>
        <row r="266">
          <cell r="C266">
            <v>146</v>
          </cell>
          <cell r="D266">
            <v>242.89</v>
          </cell>
          <cell r="F266">
            <v>173.49</v>
          </cell>
          <cell r="H266">
            <v>197.52</v>
          </cell>
          <cell r="J266">
            <v>276.52999999999997</v>
          </cell>
          <cell r="L266">
            <v>95.2</v>
          </cell>
          <cell r="N266">
            <v>68</v>
          </cell>
        </row>
        <row r="267">
          <cell r="C267">
            <v>147</v>
          </cell>
          <cell r="D267">
            <v>244.54</v>
          </cell>
          <cell r="F267">
            <v>174.67</v>
          </cell>
          <cell r="H267">
            <v>198.87</v>
          </cell>
          <cell r="J267">
            <v>278.42</v>
          </cell>
          <cell r="L267">
            <v>95.84</v>
          </cell>
          <cell r="N267">
            <v>68.459999999999994</v>
          </cell>
        </row>
        <row r="268">
          <cell r="C268">
            <v>148</v>
          </cell>
          <cell r="D268">
            <v>246.18</v>
          </cell>
          <cell r="F268">
            <v>175.84</v>
          </cell>
          <cell r="H268">
            <v>200.21</v>
          </cell>
          <cell r="J268">
            <v>280.29000000000002</v>
          </cell>
          <cell r="L268">
            <v>96.47</v>
          </cell>
          <cell r="N268">
            <v>68.91</v>
          </cell>
        </row>
        <row r="269">
          <cell r="C269">
            <v>149</v>
          </cell>
          <cell r="D269">
            <v>247.83</v>
          </cell>
          <cell r="F269">
            <v>177.02</v>
          </cell>
          <cell r="H269">
            <v>201.56</v>
          </cell>
          <cell r="J269">
            <v>282.18</v>
          </cell>
          <cell r="L269">
            <v>97.11</v>
          </cell>
          <cell r="N269">
            <v>69.36</v>
          </cell>
        </row>
        <row r="270">
          <cell r="C270">
            <v>150</v>
          </cell>
          <cell r="D270">
            <v>249.47</v>
          </cell>
          <cell r="F270">
            <v>178.19</v>
          </cell>
          <cell r="H270">
            <v>202.91</v>
          </cell>
          <cell r="J270">
            <v>284.07</v>
          </cell>
          <cell r="L270">
            <v>97.75</v>
          </cell>
          <cell r="N270">
            <v>69.819999999999993</v>
          </cell>
        </row>
        <row r="271">
          <cell r="C271">
            <v>151</v>
          </cell>
          <cell r="D271">
            <v>251.12</v>
          </cell>
          <cell r="F271">
            <v>179.37</v>
          </cell>
          <cell r="H271">
            <v>204.26</v>
          </cell>
          <cell r="J271">
            <v>285.95999999999998</v>
          </cell>
          <cell r="L271">
            <v>98.38</v>
          </cell>
          <cell r="N271">
            <v>70.27</v>
          </cell>
        </row>
        <row r="272">
          <cell r="C272">
            <v>152</v>
          </cell>
          <cell r="D272">
            <v>252.77</v>
          </cell>
          <cell r="F272">
            <v>180.55</v>
          </cell>
          <cell r="H272">
            <v>205.61</v>
          </cell>
          <cell r="J272">
            <v>287.85000000000002</v>
          </cell>
          <cell r="L272">
            <v>99.02</v>
          </cell>
          <cell r="N272">
            <v>70.73</v>
          </cell>
        </row>
        <row r="273">
          <cell r="C273">
            <v>153</v>
          </cell>
          <cell r="D273">
            <v>254.41</v>
          </cell>
          <cell r="F273">
            <v>181.72</v>
          </cell>
          <cell r="H273">
            <v>206.96</v>
          </cell>
          <cell r="J273">
            <v>289.74</v>
          </cell>
          <cell r="L273">
            <v>99.66</v>
          </cell>
          <cell r="N273">
            <v>71.19</v>
          </cell>
        </row>
        <row r="274">
          <cell r="C274">
            <v>154</v>
          </cell>
          <cell r="D274">
            <v>256.06</v>
          </cell>
          <cell r="F274">
            <v>182.9</v>
          </cell>
          <cell r="H274">
            <v>208.3</v>
          </cell>
          <cell r="J274">
            <v>291.62</v>
          </cell>
          <cell r="L274">
            <v>100.29</v>
          </cell>
          <cell r="N274">
            <v>71.64</v>
          </cell>
        </row>
        <row r="275">
          <cell r="C275">
            <v>155</v>
          </cell>
          <cell r="D275">
            <v>257.7</v>
          </cell>
          <cell r="F275">
            <v>184.07</v>
          </cell>
          <cell r="H275">
            <v>209.65</v>
          </cell>
          <cell r="J275">
            <v>293.51</v>
          </cell>
          <cell r="L275">
            <v>100.93</v>
          </cell>
          <cell r="N275">
            <v>72.09</v>
          </cell>
        </row>
        <row r="276">
          <cell r="C276">
            <v>156</v>
          </cell>
          <cell r="D276">
            <v>259.35000000000002</v>
          </cell>
          <cell r="F276">
            <v>185.25</v>
          </cell>
          <cell r="H276">
            <v>211</v>
          </cell>
          <cell r="J276">
            <v>295.39999999999998</v>
          </cell>
          <cell r="L276">
            <v>101.56</v>
          </cell>
          <cell r="N276">
            <v>72.540000000000006</v>
          </cell>
        </row>
        <row r="277">
          <cell r="C277">
            <v>157</v>
          </cell>
          <cell r="D277">
            <v>260.99</v>
          </cell>
          <cell r="F277">
            <v>186.42</v>
          </cell>
          <cell r="H277">
            <v>212.35</v>
          </cell>
          <cell r="J277">
            <v>297.29000000000002</v>
          </cell>
          <cell r="L277">
            <v>102.2</v>
          </cell>
          <cell r="N277">
            <v>73</v>
          </cell>
        </row>
        <row r="278">
          <cell r="C278">
            <v>158</v>
          </cell>
          <cell r="D278">
            <v>262.64</v>
          </cell>
          <cell r="F278">
            <v>187.6</v>
          </cell>
          <cell r="H278">
            <v>213.7</v>
          </cell>
          <cell r="J278">
            <v>299.18</v>
          </cell>
          <cell r="L278">
            <v>102.84</v>
          </cell>
          <cell r="N278">
            <v>73.459999999999994</v>
          </cell>
        </row>
        <row r="279">
          <cell r="C279">
            <v>159</v>
          </cell>
          <cell r="D279">
            <v>264.29000000000002</v>
          </cell>
          <cell r="F279">
            <v>188.78</v>
          </cell>
          <cell r="H279">
            <v>215.05</v>
          </cell>
          <cell r="J279">
            <v>301.07</v>
          </cell>
          <cell r="L279">
            <v>103.47</v>
          </cell>
          <cell r="N279">
            <v>73.91</v>
          </cell>
        </row>
        <row r="280">
          <cell r="C280">
            <v>160</v>
          </cell>
          <cell r="D280">
            <v>265.93</v>
          </cell>
          <cell r="F280">
            <v>189.95</v>
          </cell>
          <cell r="H280">
            <v>216.39</v>
          </cell>
          <cell r="J280">
            <v>302.95</v>
          </cell>
          <cell r="L280">
            <v>104.11</v>
          </cell>
          <cell r="N280">
            <v>74.36</v>
          </cell>
        </row>
        <row r="281">
          <cell r="C281">
            <v>161</v>
          </cell>
          <cell r="D281">
            <v>267.58</v>
          </cell>
          <cell r="F281">
            <v>191.13</v>
          </cell>
          <cell r="H281">
            <v>217.74</v>
          </cell>
          <cell r="J281">
            <v>304.83999999999997</v>
          </cell>
          <cell r="L281">
            <v>104.75</v>
          </cell>
          <cell r="N281">
            <v>74.819999999999993</v>
          </cell>
        </row>
        <row r="282">
          <cell r="C282">
            <v>162</v>
          </cell>
          <cell r="D282">
            <v>269.22000000000003</v>
          </cell>
          <cell r="F282">
            <v>192.3</v>
          </cell>
          <cell r="H282">
            <v>219.09</v>
          </cell>
          <cell r="J282">
            <v>306.73</v>
          </cell>
          <cell r="L282">
            <v>105.38</v>
          </cell>
          <cell r="N282">
            <v>75.27</v>
          </cell>
        </row>
        <row r="283">
          <cell r="C283">
            <v>163</v>
          </cell>
          <cell r="D283">
            <v>270.87</v>
          </cell>
          <cell r="F283">
            <v>193.48</v>
          </cell>
          <cell r="H283">
            <v>220.44</v>
          </cell>
          <cell r="J283">
            <v>308.62</v>
          </cell>
          <cell r="L283">
            <v>106.02</v>
          </cell>
          <cell r="N283">
            <v>75.73</v>
          </cell>
        </row>
        <row r="284">
          <cell r="C284">
            <v>164</v>
          </cell>
          <cell r="D284">
            <v>272.51</v>
          </cell>
          <cell r="F284">
            <v>194.65</v>
          </cell>
          <cell r="H284">
            <v>221.79</v>
          </cell>
          <cell r="J284">
            <v>310.51</v>
          </cell>
          <cell r="L284">
            <v>106.65</v>
          </cell>
          <cell r="N284">
            <v>76.180000000000007</v>
          </cell>
        </row>
        <row r="285">
          <cell r="C285">
            <v>165</v>
          </cell>
          <cell r="D285">
            <v>274.16000000000003</v>
          </cell>
          <cell r="F285">
            <v>195.83</v>
          </cell>
          <cell r="H285">
            <v>223.14</v>
          </cell>
          <cell r="J285">
            <v>312.39999999999998</v>
          </cell>
          <cell r="L285">
            <v>107.29</v>
          </cell>
          <cell r="N285">
            <v>76.64</v>
          </cell>
        </row>
        <row r="286">
          <cell r="C286">
            <v>166</v>
          </cell>
          <cell r="D286">
            <v>275.81</v>
          </cell>
          <cell r="F286">
            <v>197.01</v>
          </cell>
          <cell r="H286">
            <v>224.48</v>
          </cell>
          <cell r="J286">
            <v>314.27</v>
          </cell>
          <cell r="L286">
            <v>107.93</v>
          </cell>
          <cell r="N286">
            <v>77.09</v>
          </cell>
        </row>
        <row r="287">
          <cell r="C287">
            <v>167</v>
          </cell>
          <cell r="D287">
            <v>277.45</v>
          </cell>
          <cell r="F287">
            <v>198.18</v>
          </cell>
          <cell r="H287">
            <v>225.83</v>
          </cell>
          <cell r="J287">
            <v>316.16000000000003</v>
          </cell>
          <cell r="L287">
            <v>108.56</v>
          </cell>
          <cell r="N287">
            <v>77.540000000000006</v>
          </cell>
        </row>
        <row r="288">
          <cell r="C288">
            <v>168</v>
          </cell>
          <cell r="D288">
            <v>279.10000000000002</v>
          </cell>
          <cell r="F288">
            <v>199.36</v>
          </cell>
          <cell r="H288">
            <v>227.18</v>
          </cell>
          <cell r="J288">
            <v>318.05</v>
          </cell>
          <cell r="L288">
            <v>109.2</v>
          </cell>
          <cell r="N288">
            <v>78</v>
          </cell>
        </row>
        <row r="289">
          <cell r="C289">
            <v>169</v>
          </cell>
          <cell r="D289">
            <v>280.74</v>
          </cell>
          <cell r="F289">
            <v>200.53</v>
          </cell>
          <cell r="H289">
            <v>228.53</v>
          </cell>
          <cell r="J289">
            <v>319.94</v>
          </cell>
          <cell r="L289">
            <v>109.84</v>
          </cell>
          <cell r="N289">
            <v>78.459999999999994</v>
          </cell>
        </row>
        <row r="290">
          <cell r="C290">
            <v>170</v>
          </cell>
          <cell r="D290">
            <v>282.39</v>
          </cell>
          <cell r="F290">
            <v>201.71</v>
          </cell>
          <cell r="H290">
            <v>229.88</v>
          </cell>
          <cell r="J290">
            <v>321.83</v>
          </cell>
          <cell r="L290">
            <v>110.47</v>
          </cell>
          <cell r="N290">
            <v>78.91</v>
          </cell>
        </row>
        <row r="291">
          <cell r="C291">
            <v>171</v>
          </cell>
          <cell r="D291">
            <v>284.04000000000002</v>
          </cell>
          <cell r="F291">
            <v>202.89</v>
          </cell>
          <cell r="H291">
            <v>231.23</v>
          </cell>
          <cell r="J291">
            <v>323.72000000000003</v>
          </cell>
          <cell r="L291">
            <v>111.11</v>
          </cell>
          <cell r="N291">
            <v>79.36</v>
          </cell>
        </row>
        <row r="292">
          <cell r="C292">
            <v>172</v>
          </cell>
          <cell r="D292">
            <v>285.68</v>
          </cell>
          <cell r="F292">
            <v>204.06</v>
          </cell>
          <cell r="H292">
            <v>232.57</v>
          </cell>
          <cell r="J292">
            <v>325.60000000000002</v>
          </cell>
          <cell r="L292">
            <v>111.74</v>
          </cell>
          <cell r="N292">
            <v>79.81</v>
          </cell>
        </row>
        <row r="293">
          <cell r="C293">
            <v>173</v>
          </cell>
          <cell r="D293">
            <v>287.33</v>
          </cell>
          <cell r="F293">
            <v>205.24</v>
          </cell>
          <cell r="H293">
            <v>233.92</v>
          </cell>
          <cell r="J293">
            <v>327.49</v>
          </cell>
          <cell r="L293">
            <v>112.38</v>
          </cell>
          <cell r="N293">
            <v>80.27</v>
          </cell>
        </row>
        <row r="294">
          <cell r="C294">
            <v>174</v>
          </cell>
          <cell r="D294">
            <v>288.97000000000003</v>
          </cell>
          <cell r="F294">
            <v>206.41</v>
          </cell>
          <cell r="H294">
            <v>235.27</v>
          </cell>
          <cell r="J294">
            <v>329.38</v>
          </cell>
          <cell r="L294">
            <v>113.02</v>
          </cell>
          <cell r="N294">
            <v>80.73</v>
          </cell>
        </row>
        <row r="295">
          <cell r="C295">
            <v>175</v>
          </cell>
          <cell r="D295">
            <v>290.62</v>
          </cell>
          <cell r="F295">
            <v>207.59</v>
          </cell>
          <cell r="H295">
            <v>236.62</v>
          </cell>
          <cell r="J295">
            <v>331.27</v>
          </cell>
          <cell r="L295">
            <v>113.65</v>
          </cell>
          <cell r="N295">
            <v>81.180000000000007</v>
          </cell>
        </row>
        <row r="296">
          <cell r="C296">
            <v>176</v>
          </cell>
          <cell r="D296">
            <v>292.26</v>
          </cell>
          <cell r="F296">
            <v>208.76</v>
          </cell>
          <cell r="H296">
            <v>237.97</v>
          </cell>
          <cell r="J296">
            <v>333.16</v>
          </cell>
          <cell r="L296">
            <v>114.29</v>
          </cell>
          <cell r="N296">
            <v>81.64</v>
          </cell>
        </row>
        <row r="297">
          <cell r="C297">
            <v>177</v>
          </cell>
          <cell r="D297">
            <v>293.91000000000003</v>
          </cell>
          <cell r="F297">
            <v>209.94</v>
          </cell>
          <cell r="H297">
            <v>239.32</v>
          </cell>
          <cell r="J297">
            <v>335.05</v>
          </cell>
          <cell r="L297">
            <v>114.92</v>
          </cell>
          <cell r="N297">
            <v>82.09</v>
          </cell>
        </row>
        <row r="298">
          <cell r="C298">
            <v>178</v>
          </cell>
          <cell r="D298">
            <v>295.56</v>
          </cell>
          <cell r="F298">
            <v>211.11</v>
          </cell>
          <cell r="H298">
            <v>240.67</v>
          </cell>
          <cell r="J298">
            <v>336.94</v>
          </cell>
          <cell r="L298">
            <v>115.56</v>
          </cell>
          <cell r="N298">
            <v>82.54</v>
          </cell>
        </row>
        <row r="299">
          <cell r="C299">
            <v>179</v>
          </cell>
          <cell r="D299">
            <v>297.2</v>
          </cell>
          <cell r="F299">
            <v>212.29</v>
          </cell>
          <cell r="H299">
            <v>242.01</v>
          </cell>
          <cell r="J299">
            <v>338.81</v>
          </cell>
          <cell r="L299">
            <v>116.2</v>
          </cell>
          <cell r="N299">
            <v>83</v>
          </cell>
        </row>
        <row r="300">
          <cell r="C300">
            <v>180</v>
          </cell>
          <cell r="D300">
            <v>298.85000000000002</v>
          </cell>
          <cell r="F300">
            <v>213.46</v>
          </cell>
          <cell r="H300">
            <v>243.36</v>
          </cell>
          <cell r="J300">
            <v>340.7</v>
          </cell>
          <cell r="L300">
            <v>116.83</v>
          </cell>
          <cell r="N300">
            <v>83.45</v>
          </cell>
        </row>
        <row r="301">
          <cell r="C301">
            <v>181</v>
          </cell>
          <cell r="D301">
            <v>300.49</v>
          </cell>
          <cell r="F301">
            <v>214.64</v>
          </cell>
          <cell r="H301">
            <v>244.71</v>
          </cell>
          <cell r="J301">
            <v>342.59</v>
          </cell>
          <cell r="L301">
            <v>117.47</v>
          </cell>
          <cell r="N301">
            <v>83.91</v>
          </cell>
        </row>
        <row r="302">
          <cell r="C302">
            <v>182</v>
          </cell>
          <cell r="D302">
            <v>302.14</v>
          </cell>
          <cell r="F302">
            <v>215.81</v>
          </cell>
          <cell r="H302">
            <v>246.06</v>
          </cell>
          <cell r="J302">
            <v>344.48</v>
          </cell>
          <cell r="L302">
            <v>118.11</v>
          </cell>
          <cell r="N302">
            <v>84.36</v>
          </cell>
        </row>
        <row r="303">
          <cell r="C303">
            <v>183</v>
          </cell>
          <cell r="D303">
            <v>303.77999999999997</v>
          </cell>
          <cell r="F303">
            <v>216.99</v>
          </cell>
          <cell r="H303">
            <v>247.41</v>
          </cell>
          <cell r="J303">
            <v>346.37</v>
          </cell>
          <cell r="L303">
            <v>118.74</v>
          </cell>
          <cell r="N303">
            <v>84.81</v>
          </cell>
        </row>
        <row r="304">
          <cell r="C304">
            <v>184</v>
          </cell>
          <cell r="D304">
            <v>305.43</v>
          </cell>
          <cell r="F304">
            <v>218.16</v>
          </cell>
          <cell r="H304">
            <v>248.76</v>
          </cell>
          <cell r="J304">
            <v>348.26</v>
          </cell>
          <cell r="L304">
            <v>119.38</v>
          </cell>
          <cell r="N304">
            <v>85.27</v>
          </cell>
        </row>
        <row r="305">
          <cell r="C305">
            <v>185</v>
          </cell>
          <cell r="D305">
            <v>307.08</v>
          </cell>
          <cell r="F305">
            <v>219.34</v>
          </cell>
          <cell r="H305">
            <v>250.1</v>
          </cell>
          <cell r="J305">
            <v>350.14</v>
          </cell>
          <cell r="L305">
            <v>120.01</v>
          </cell>
          <cell r="N305">
            <v>85.72</v>
          </cell>
        </row>
        <row r="306">
          <cell r="C306">
            <v>186</v>
          </cell>
          <cell r="D306">
            <v>308.72000000000003</v>
          </cell>
          <cell r="F306">
            <v>220.51</v>
          </cell>
          <cell r="H306">
            <v>251.45</v>
          </cell>
          <cell r="J306">
            <v>352.03</v>
          </cell>
          <cell r="L306">
            <v>120.65</v>
          </cell>
          <cell r="N306">
            <v>86.18</v>
          </cell>
        </row>
        <row r="307">
          <cell r="C307">
            <v>187</v>
          </cell>
          <cell r="D307">
            <v>310.37</v>
          </cell>
          <cell r="F307">
            <v>221.69</v>
          </cell>
          <cell r="H307">
            <v>252.8</v>
          </cell>
          <cell r="J307">
            <v>353.92</v>
          </cell>
          <cell r="L307">
            <v>121.29</v>
          </cell>
          <cell r="N307">
            <v>86.64</v>
          </cell>
        </row>
        <row r="308">
          <cell r="C308">
            <v>188</v>
          </cell>
          <cell r="D308">
            <v>312.01</v>
          </cell>
          <cell r="F308">
            <v>222.86</v>
          </cell>
          <cell r="H308">
            <v>254.15</v>
          </cell>
          <cell r="J308">
            <v>355.81</v>
          </cell>
          <cell r="L308">
            <v>121.92</v>
          </cell>
          <cell r="N308">
            <v>87.09</v>
          </cell>
        </row>
        <row r="309">
          <cell r="C309">
            <v>189</v>
          </cell>
          <cell r="D309">
            <v>313.66000000000003</v>
          </cell>
          <cell r="F309">
            <v>224.04</v>
          </cell>
          <cell r="H309">
            <v>255.5</v>
          </cell>
          <cell r="J309">
            <v>357.7</v>
          </cell>
          <cell r="L309">
            <v>122.56</v>
          </cell>
          <cell r="N309">
            <v>87.54</v>
          </cell>
        </row>
        <row r="310">
          <cell r="C310">
            <v>190</v>
          </cell>
          <cell r="D310">
            <v>315.3</v>
          </cell>
          <cell r="F310">
            <v>225.21</v>
          </cell>
          <cell r="H310">
            <v>256.85000000000002</v>
          </cell>
          <cell r="J310">
            <v>359.59</v>
          </cell>
          <cell r="L310">
            <v>123.2</v>
          </cell>
          <cell r="N310">
            <v>88</v>
          </cell>
        </row>
        <row r="311">
          <cell r="C311">
            <v>191</v>
          </cell>
          <cell r="D311">
            <v>316.95</v>
          </cell>
          <cell r="F311">
            <v>226.39</v>
          </cell>
          <cell r="H311">
            <v>258.19</v>
          </cell>
          <cell r="J311">
            <v>361.47</v>
          </cell>
          <cell r="L311">
            <v>123.83</v>
          </cell>
          <cell r="N311">
            <v>88.45</v>
          </cell>
        </row>
        <row r="312">
          <cell r="C312">
            <v>192</v>
          </cell>
          <cell r="D312">
            <v>318.60000000000002</v>
          </cell>
          <cell r="F312">
            <v>227.57</v>
          </cell>
          <cell r="H312">
            <v>259.54000000000002</v>
          </cell>
          <cell r="J312">
            <v>363.36</v>
          </cell>
          <cell r="L312">
            <v>124.47</v>
          </cell>
          <cell r="N312">
            <v>88.91</v>
          </cell>
        </row>
        <row r="313">
          <cell r="C313">
            <v>193</v>
          </cell>
          <cell r="D313">
            <v>320.24</v>
          </cell>
          <cell r="F313">
            <v>228.74</v>
          </cell>
          <cell r="H313">
            <v>260.89</v>
          </cell>
          <cell r="J313">
            <v>365.25</v>
          </cell>
          <cell r="L313">
            <v>125.1</v>
          </cell>
          <cell r="N313">
            <v>89.36</v>
          </cell>
        </row>
        <row r="314">
          <cell r="C314">
            <v>194</v>
          </cell>
          <cell r="D314">
            <v>321.89</v>
          </cell>
          <cell r="F314">
            <v>229.92</v>
          </cell>
          <cell r="H314">
            <v>262.24</v>
          </cell>
          <cell r="J314">
            <v>367.14</v>
          </cell>
          <cell r="L314">
            <v>125.74</v>
          </cell>
          <cell r="N314">
            <v>89.81</v>
          </cell>
        </row>
        <row r="315">
          <cell r="C315">
            <v>195</v>
          </cell>
          <cell r="D315">
            <v>323.52999999999997</v>
          </cell>
          <cell r="F315">
            <v>231.09</v>
          </cell>
          <cell r="H315">
            <v>263.58999999999997</v>
          </cell>
          <cell r="J315">
            <v>369.03</v>
          </cell>
          <cell r="L315">
            <v>126.38</v>
          </cell>
          <cell r="N315">
            <v>90.27</v>
          </cell>
        </row>
        <row r="316">
          <cell r="C316">
            <v>196</v>
          </cell>
          <cell r="D316">
            <v>325.18</v>
          </cell>
          <cell r="F316">
            <v>232.27</v>
          </cell>
          <cell r="H316">
            <v>264.94</v>
          </cell>
          <cell r="J316">
            <v>370.92</v>
          </cell>
          <cell r="L316">
            <v>127.01</v>
          </cell>
          <cell r="N316">
            <v>90.72</v>
          </cell>
        </row>
        <row r="317">
          <cell r="C317">
            <v>197</v>
          </cell>
          <cell r="D317">
            <v>326.82</v>
          </cell>
          <cell r="F317">
            <v>233.44</v>
          </cell>
          <cell r="H317">
            <v>266.27999999999997</v>
          </cell>
          <cell r="J317">
            <v>372.79</v>
          </cell>
          <cell r="L317">
            <v>127.65</v>
          </cell>
          <cell r="N317">
            <v>91.18</v>
          </cell>
        </row>
        <row r="318">
          <cell r="C318">
            <v>198</v>
          </cell>
          <cell r="D318">
            <v>328.47</v>
          </cell>
          <cell r="F318">
            <v>234.62</v>
          </cell>
          <cell r="H318">
            <v>267.63</v>
          </cell>
          <cell r="J318">
            <v>374.68</v>
          </cell>
          <cell r="L318">
            <v>128.29</v>
          </cell>
          <cell r="N318">
            <v>91.64</v>
          </cell>
        </row>
        <row r="319">
          <cell r="C319">
            <v>199</v>
          </cell>
          <cell r="D319">
            <v>330.12</v>
          </cell>
          <cell r="F319">
            <v>235.8</v>
          </cell>
          <cell r="H319">
            <v>268.98</v>
          </cell>
          <cell r="J319">
            <v>376.57</v>
          </cell>
          <cell r="L319">
            <v>128.91999999999999</v>
          </cell>
          <cell r="N319">
            <v>92.09</v>
          </cell>
        </row>
        <row r="320">
          <cell r="C320">
            <v>200</v>
          </cell>
          <cell r="D320">
            <v>331.76</v>
          </cell>
          <cell r="F320">
            <v>236.97</v>
          </cell>
          <cell r="H320">
            <v>270.33</v>
          </cell>
          <cell r="J320">
            <v>378.46</v>
          </cell>
          <cell r="L320">
            <v>129.56</v>
          </cell>
          <cell r="N320">
            <v>92.54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รอกข้อมูล"/>
      <sheetName val="กรอกราคาวัสดุ"/>
      <sheetName val="Oil"/>
      <sheetName val="ข้อมูลดิบ"/>
      <sheetName val="งานกำแพงปากท่อ"/>
      <sheetName val="ปร.5 road"/>
      <sheetName val="ปร.4 road"/>
      <sheetName val="ค่างานต้นทุน"/>
      <sheetName val="ข้อมูลสะพาน"/>
      <sheetName val="ราคาป้าย"/>
      <sheetName val="ข้อมูลคำนวณ"/>
      <sheetName val="ค่างานต้นทุนสะพาน"/>
      <sheetName val="ค่าเสื่อมราคา"/>
      <sheetName val="ปร.5 สะพาน"/>
      <sheetName val="ปร.4 สะพาน"/>
      <sheetName val="F(Bridge)"/>
      <sheetName val="อำนวยการ(Bridge)"/>
      <sheetName val="ดอกเบี้ย(Bridge)"/>
      <sheetName val="ดอกเบี้ย(Road)"/>
      <sheetName val="ปร.5 ท่อลอดเหลี่ยม"/>
      <sheetName val="ปร.4 box1"/>
      <sheetName val="ปร.4 box2"/>
      <sheetName val="ปร.4 box3"/>
      <sheetName val="ปร.5 รางระบายน้ำ"/>
      <sheetName val="รางระบายน้ำ"/>
      <sheetName val="บ่อพัก"/>
      <sheetName val="ปริมาณดิน"/>
      <sheetName val="งานดิน"/>
      <sheetName val="ท่อระบายน้ำ"/>
      <sheetName val="กำแพงปากท่อ"/>
      <sheetName val="ป้ายจราจร"/>
      <sheetName val="Winฯ-ทางเชื่อม "/>
      <sheetName val="(F Road)"/>
      <sheetName val="อำนวยการ(Road)"/>
      <sheetName val="ขนาด ท่อ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สะพาน"/>
      <sheetName val="ปร.5"/>
      <sheetName val="ปร.4"/>
      <sheetName val="ราคาวัสดุ"/>
      <sheetName val="ข้อมูลคำนวณ"/>
      <sheetName val="ขนส่งด้วยรถพ่วง"/>
    </sheetNames>
    <sheetDataSet>
      <sheetData sheetId="0"/>
      <sheetData sheetId="1"/>
      <sheetData sheetId="2"/>
      <sheetData sheetId="3"/>
      <sheetData sheetId="4">
        <row r="21">
          <cell r="D21">
            <v>19.524999999999999</v>
          </cell>
          <cell r="J21">
            <v>25.23</v>
          </cell>
        </row>
        <row r="32">
          <cell r="D32">
            <v>32.234999999999999</v>
          </cell>
          <cell r="J32">
            <v>40.839999999999996</v>
          </cell>
        </row>
        <row r="43">
          <cell r="D43">
            <v>48.645000000000003</v>
          </cell>
          <cell r="J43">
            <v>54.050000000000004</v>
          </cell>
        </row>
        <row r="54">
          <cell r="D54">
            <v>70.86</v>
          </cell>
        </row>
      </sheetData>
      <sheetData sheetId="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ละเอียดงาน"/>
      <sheetName val="ข้อมูลโครงการ"/>
      <sheetName val="ราคาวัสดุ"/>
      <sheetName val="Oil"/>
      <sheetName val="งานกำแพงปากท่อ"/>
      <sheetName val="ปร.5"/>
      <sheetName val="ปร.4"/>
      <sheetName val="ค่างานต้นทุน"/>
      <sheetName val="ราคาป้าย"/>
      <sheetName val="ข้อมูลสะพาน"/>
      <sheetName val="ข้อมูลคำนวณ"/>
      <sheetName val="ค่างานต้นทุนสะพาน"/>
      <sheetName val="ค่าเสื่อมราคา"/>
      <sheetName val="ปร.5 สะพาน"/>
      <sheetName val="ปร.4 สะพาน"/>
      <sheetName val="F(Bridge)"/>
      <sheetName val="อำนวยการ(Bridge)"/>
      <sheetName val="ดอกเบี้ย(Bridge)"/>
      <sheetName val="ดอกเบี้ย(Road)"/>
      <sheetName val="ปร.5 ท่อลอดเหลี่ยม"/>
      <sheetName val="ปร.4 box1"/>
      <sheetName val="ปร.4 box2"/>
      <sheetName val="ปร.4 box3"/>
      <sheetName val="ปร.5 รางระบายน้ำ"/>
      <sheetName val="รางระบายน้ำ"/>
      <sheetName val="บ่อพัก"/>
      <sheetName val="ปริมาณดิน"/>
      <sheetName val="งานดิน"/>
      <sheetName val="ท่อระบายน้ำ"/>
      <sheetName val="กำแพงปากท่อ"/>
      <sheetName val="ป้ายจราจร"/>
      <sheetName val="Winฯ-ทางเชื่อม "/>
      <sheetName val="(F Road)"/>
      <sheetName val="อำนวยการ(Road)"/>
      <sheetName val="ขนาด ท่อ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98">
          <cell r="I298">
            <v>1608.68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16">
          <cell r="I16">
            <v>235887.3</v>
          </cell>
        </row>
        <row r="36">
          <cell r="I36">
            <v>423123.47000000003</v>
          </cell>
        </row>
        <row r="52">
          <cell r="I52">
            <v>186193.94000000003</v>
          </cell>
        </row>
        <row r="68">
          <cell r="I68">
            <v>0</v>
          </cell>
        </row>
        <row r="92">
          <cell r="I92">
            <v>885643.35000000021</v>
          </cell>
        </row>
        <row r="113">
          <cell r="I113">
            <v>0</v>
          </cell>
        </row>
        <row r="130">
          <cell r="I130">
            <v>91310.080000000002</v>
          </cell>
        </row>
        <row r="139">
          <cell r="I139">
            <v>217726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มนู"/>
      <sheetName val="ข้อมูลโครงการ"/>
      <sheetName val="สรุปรายละเอียดการก่อสร้าง"/>
      <sheetName val="ปร.5ท"/>
      <sheetName val="ปร.4"/>
      <sheetName val="ราคาป้าย"/>
      <sheetName val="สรุปราคากลางทาง"/>
      <sheetName val="ค่า AC"/>
      <sheetName val="ข้อมูลโครงสร้างทาง"/>
      <sheetName val="Oil"/>
      <sheetName val="รายการประมาณราคาต่อหน่วย"/>
      <sheetName val="สรุปค่าดำเนินการและค่าเสื่อม"/>
      <sheetName val="ตัวแปรค่าดำเนินการปูลาดAC "/>
      <sheetName val="ตัวแปรค่าดำเนินการปูลาดAC"/>
      <sheetName val="ข้อมูลประกอบการประมาณราคา"/>
      <sheetName val="ปร.4 สะพาน"/>
      <sheetName val="สรุปถอดแบบสะพาน"/>
      <sheetName val="ปกทช"/>
      <sheetName val="ค่าขนส่ง"/>
      <sheetName val="ค่าเสื่อมราคา"/>
      <sheetName val="ถางป่าขุดตอขนาดเบา"/>
      <sheetName val="ถางป่าขุดตอขนาดกลาง"/>
      <sheetName val="ถางป่าขุดตอขนาดหนัก"/>
      <sheetName val="ค่าดำเนินการและค่าเสื่อม"/>
      <sheetName val="เลือกชนิดวัสดุมวลรวม"/>
      <sheetName val="เลือกวิธีหาราคาต้นทุน CS"/>
      <sheetName val="ปร.4 box"/>
      <sheetName val="ปร.4 box (2)"/>
      <sheetName val="ตัวแปรสภาพผิวทาง"/>
      <sheetName val="กรอกข้อมูลประเมินราคาชุดที่2"/>
      <sheetName val="ประเภทงาน"/>
      <sheetName val="ดินคันทางขุดขน"/>
      <sheetName val="ดินคันทางบดทับ"/>
      <sheetName val="ดินขุดตัด"/>
      <sheetName val="ดินตัก"/>
      <sheetName val="หินผุขัดตัด"/>
      <sheetName val="หินผุดันตัก"/>
      <sheetName val="หินแข็งเจาะระเบิด"/>
      <sheetName val="หินแข็งดันตัก"/>
      <sheetName val="รองพื้นทางขุดขน"/>
      <sheetName val="รองพื้นทางผสมกับวัสดุอื่น"/>
      <sheetName val="รองพื้นทางบดทับ"/>
      <sheetName val="ไหล่ทางลูกรังผสมกับวัสดุอื่น"/>
      <sheetName val="ไหล่ทางลูกรังบดทับ"/>
      <sheetName val="พื้นทางผสมกับวัสดุอื่น"/>
      <sheetName val="พื้นทางบดทับ"/>
      <sheetName val="ตัดแต่งขั้นบันได"/>
      <sheetName val="ขุดรื้อลูกรัง10"/>
      <sheetName val="ขุดรื้อหินคลุก10"/>
      <sheetName val="ขุดรื้อผิวAC5"/>
      <sheetName val="ลาดยางPrimecoat"/>
      <sheetName val="ลาดยางTackcoat"/>
      <sheetName val="ชั้นเดียว(0.5)"/>
      <sheetName val="ชั้นเดียว(0.75)"/>
      <sheetName val="สองชั้น(0.75-0.375)"/>
      <sheetName val="สองชั้น(1-0.5)"/>
      <sheetName val="ชั้นเดียวเคลือบ(0.5)"/>
      <sheetName val="ชั้นเดียวเคลือบ(0.75)"/>
      <sheetName val="สองชั้นเคลือบ(0.75-0.375)"/>
      <sheetName val="สองชั้นเคลือบ(1-0.5)"/>
      <sheetName val="ค่าผสมAC"/>
      <sheetName val="ค่าปูผิวACบนPC"/>
      <sheetName val="ค่าปูผิวACบนTC"/>
      <sheetName val="ค่าผสมconc"/>
      <sheetName val="ค่าขนส่งconc"/>
      <sheetName val="ค่าแบบข้าง2ข้าง"/>
      <sheetName val="ค่าปูผิวconc"/>
      <sheetName val="ค่าตัดรอยต่อและหยอดยาง"/>
      <sheetName val="ค่าหยอดยางรอยต่อ"/>
      <sheetName val="ค่าบ่มผิวconc"/>
      <sheetName val="ค่าผสมวัสดุลูกรัง"/>
      <sheetName val="ค่าบ่มวัสดุลูกรัง"/>
      <sheetName val="ค่าผสมวัสดุหินคลุก"/>
      <sheetName val="ค่าบ่มวัสดุหินคลุก"/>
      <sheetName val="ค่าpipr15"/>
      <sheetName val="ค่าpipr20"/>
      <sheetName val="ค่าpipr25"/>
      <sheetName val="Slurry"/>
      <sheetName val="fogspray"/>
      <sheetName val="Sheet6"/>
      <sheetName val="ปร.4สะพานคสล."/>
      <sheetName val="ปร.5สะพานคสล."/>
      <sheetName val="บัญชีแสดงปริมาณวัสดุชุดที่ 1"/>
      <sheetName val="บัญชีแสดงปริมาณวัสดุชุดที่ 2"/>
      <sheetName val="บัญชีแสดงปริมาณวัสดุชุดที่ 2.2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บันทึกประเมิน"/>
      <sheetName val="กรอกข้อมูลประเมินราคาชุดที1"/>
      <sheetName val="การแบ่งงวดงานCS"/>
      <sheetName val="รายละเอียดงวดงานที่แนบตามประกาศ"/>
      <sheetName val="รายละเอียดงวดงานใช้แนบสัญญาจ้าง"/>
      <sheetName val="SLOPE PROTECT"/>
      <sheetName val="ตารางถอดแบบสะพาน"/>
      <sheetName val="ตารางถอดแบบbox"/>
      <sheetName val="ตารางถอดแบบกำแพงปากท่อ"/>
      <sheetName val="FACTORFงานทาง"/>
      <sheetName val="FACTORFชุก1งานทาง"/>
      <sheetName val="FACTORFชุก2งานทาง"/>
      <sheetName val="สรุปFACTORFงานทาง"/>
      <sheetName val="FACTORFงานสะพาน"/>
      <sheetName val="DATA1_1"/>
      <sheetName val="DATA1_2"/>
      <sheetName val="DATA1_3"/>
      <sheetName val="DATA1_4"/>
      <sheetName val="DATA1_5"/>
      <sheetName val="DATA1_6"/>
      <sheetName val="DATA1_7"/>
      <sheetName val="DATA1_8"/>
      <sheetName val="DATA2"/>
      <sheetName val="DATA3"/>
      <sheetName val="DATA4"/>
      <sheetName val="DATA5"/>
      <sheetName val="DATA6"/>
      <sheetName val="Sheet1"/>
      <sheetName val="MENU"/>
      <sheetName val="DATA1"/>
      <sheetName val="DATAbox1"/>
      <sheetName val="DATAbox2"/>
      <sheetName val="DATABRD1"/>
      <sheetName val="เสาเข็มBRD1"/>
      <sheetName val="ตอม่อBRD1"/>
      <sheetName val="พื้นBRD1"/>
      <sheetName val="ราวริมBRD1"/>
      <sheetName val="ราวกลางBRD1"/>
      <sheetName val="ราวBRD1"/>
      <sheetName val="APBRD1"/>
      <sheetName val="CSPBRD1"/>
      <sheetName val="ปริมาณbox1"/>
      <sheetName val="ปริมาณbox2"/>
      <sheetName val="ข้อมูลน้ำมัน"/>
      <sheetName val="กำแพงปากท่อ"/>
      <sheetName val="ตารางแหล่งวัสดุ"/>
      <sheetName val="การเชื่อมโยงค่าระยะทาง"/>
      <sheetName val="ปก"/>
      <sheetName val="ปร.5"/>
      <sheetName val="ค่างานต้นทุน"/>
      <sheetName val="ใบสนอราคา"/>
      <sheetName val="บันทึกต่อรอง"/>
      <sheetName val="ตารางการแบ่งงวดงาน"/>
      <sheetName val="สรุปการแบ่งงวด"/>
      <sheetName val="รายละเอียดงวดงาน"/>
      <sheetName val="รายละเยดงวดในประกาศ"/>
      <sheetName val="สรุปค่าขนส่ง"/>
      <sheetName val="ข้อมูลpop_up"/>
      <sheetName val="ขน10_12.50"/>
      <sheetName val="ขน10พ่วง_12.50"/>
      <sheetName val="ขน10_13.50"/>
      <sheetName val="ขน10พ่วง_13.50"/>
      <sheetName val="ขน10_14.50"/>
      <sheetName val="ขน10พ่วง_14.50"/>
      <sheetName val="ขน10_15.50"/>
      <sheetName val="ขน10พ่วง_15.50"/>
      <sheetName val="ขน10"/>
      <sheetName val="ขน10พ่วง"/>
      <sheetName val="Factor_Fงานทาง"/>
      <sheetName val="Factor_Fงานสะพา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โครงการ"/>
      <sheetName val="สรุปราคา ปร.5"/>
      <sheetName val=" ปร.4 ทาง"/>
      <sheetName val="ตารางงวดงาน"/>
      <sheetName val="งวดงาน"/>
      <sheetName val="ไฟฟ้า"/>
      <sheetName val="ปร.4 สะพาน"/>
      <sheetName val="ต้นทุนไฟฟ้า"/>
      <sheetName val="ราคาต้นทุนงานทาง"/>
      <sheetName val="FACTOR F ทาง"/>
      <sheetName val="FACTOR F สะพาน"/>
      <sheetName val="ต้นทุ่นสะพาน"/>
      <sheetName val="ถอดแบบสะพานกว้าง 9 ม"/>
      <sheetName val="ราคาต้นทุนคอนกรีต - เหล็ก - ไม้"/>
      <sheetName val="ข้อมูลแหล่งราคาวัสดุ"/>
      <sheetName val="ราคาป้าย"/>
      <sheetName val="Oil"/>
      <sheetName val="ค่าเสื่อมราคา"/>
      <sheetName val="งานดิน"/>
      <sheetName val="งานทางเชื่อม"/>
      <sheetName val="Widening"/>
      <sheetName val="ป้ายจราจร"/>
      <sheetName val="Pipe"/>
      <sheetName val="กำแพงปากท่อ"/>
      <sheetName val="ตารางถอดแบบกำแพงปากท่อ"/>
    </sheetNames>
    <sheetDataSet>
      <sheetData sheetId="0" refreshError="1"/>
      <sheetData sheetId="1">
        <row r="11">
          <cell r="G11">
            <v>1.3028999999999999</v>
          </cell>
        </row>
        <row r="12">
          <cell r="G12">
            <v>1.07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2">
          <cell r="H22">
            <v>3500</v>
          </cell>
        </row>
        <row r="26">
          <cell r="F26">
            <v>40.6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2"/>
      <sheetName val="b"/>
      <sheetName val="J"/>
      <sheetName val="m"/>
      <sheetName val="p"/>
      <sheetName val="รถสิบล้อ"/>
      <sheetName val="รถพ่วง"/>
      <sheetName val="ใบประเมิน"/>
      <sheetName val="ปร4"/>
      <sheetName val="ปร5"/>
      <sheetName val="ตอม่อ"/>
      <sheetName val="รถสิบล้อ (2)"/>
      <sheetName val="รถพ่วง (2)"/>
      <sheetName val="ปริมาณวัสดุ"/>
      <sheetName val="งานดิน"/>
      <sheetName val="ผิวคสล."/>
      <sheetName val="งานระบบไฟฟ้า"/>
      <sheetName val="ทาสี"/>
      <sheetName val="Pre-Stess(Box);20"/>
      <sheetName val="ป้ายชื่อ,แท่นเสาไฟ"/>
      <sheetName val="ไฟฟ้าแสงสว่าง"/>
      <sheetName val="งานดาดคสล."/>
      <sheetName val="ดาด"/>
      <sheetName val="ตอม่อ20+20"/>
      <sheetName val="แผงปิดDth;2m,3m"/>
      <sheetName val="ทางเท้า,เสาราว"/>
      <sheetName val="งานราวกันชนบน APP"/>
      <sheetName val="งาน RAMP คสล."/>
      <sheetName val="งานพื้นเชิงลาด"/>
      <sheetName val="งานท่อระบายน้ำ;ผิวทางRCและอื่นๆ"/>
      <sheetName val="แบ่งงวดงาน"/>
      <sheetName val="ASPHALTIC"/>
      <sheetName val="ป้ายจราจร"/>
      <sheetName val="pileBnt20,"/>
      <sheetName val="แม่น้ำปราจีนบุรี"/>
      <sheetName val="BOQ"/>
      <sheetName val="เสาเข็ม0.40x0.40 (ยาวเฉลี่ย14ม)"/>
      <sheetName val="เสาเข็ม0.40x0.40"/>
      <sheetName val="ตอม่อ (3)"/>
      <sheetName val="กรอกราคาวัสดุ"/>
      <sheetName val="Oil"/>
      <sheetName val="ปร4 "/>
      <sheetName val="ค่างานต้นทุน"/>
      <sheetName val="ค่าเสื่อมราคา"/>
      <sheetName val="ขนาด ท่อ"/>
      <sheetName val="ไฟฟ้าแสงสว่าง (2)"/>
      <sheetName val="พื้น(Box);20"/>
      <sheetName val="ถนน"/>
      <sheetName val="cs"/>
      <sheetName val="APPROACH"/>
      <sheetName val="k_45-5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9">
          <cell r="AH29">
            <v>6</v>
          </cell>
        </row>
      </sheetData>
      <sheetData sheetId="6" refreshError="1">
        <row r="27">
          <cell r="AA27">
            <v>25.7</v>
          </cell>
        </row>
        <row r="31">
          <cell r="AA31">
            <v>60</v>
          </cell>
        </row>
        <row r="34">
          <cell r="AA34">
            <v>11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ข้อมูลโครงการ"/>
      <sheetName val="DATA1"/>
      <sheetName val="DATA2"/>
      <sheetName val="DATA3"/>
      <sheetName val="DATA4"/>
      <sheetName val="DATA5"/>
      <sheetName val="DATA6"/>
      <sheetName val="DATAbox1"/>
      <sheetName val="DATAbox2"/>
      <sheetName val="DATABRD1"/>
      <sheetName val="เสาเข็มBRD1"/>
      <sheetName val="ตอม่อBRD1"/>
      <sheetName val="พื้นBRD1"/>
      <sheetName val="ราวริมBRD1"/>
      <sheetName val="ราวกลางBRD1"/>
      <sheetName val="ราวBRD1"/>
      <sheetName val="APBRD1"/>
      <sheetName val="CSPBRD1"/>
      <sheetName val="ปริมาณbox1"/>
      <sheetName val="ปริมาณbox2"/>
      <sheetName val="ข้อมูลน้ำมัน"/>
      <sheetName val="กำแพงปากท่อ"/>
      <sheetName val="ตารางแหล่งวัสดุ"/>
      <sheetName val="การเชื่อมโยงค่าระยะทาง"/>
      <sheetName val="ปก"/>
      <sheetName val="ปร.5"/>
      <sheetName val="ปร.4"/>
      <sheetName val="ค่างานต้นทุน"/>
      <sheetName val="ใบสนอราคา"/>
      <sheetName val="บันทึกต่อรอง"/>
      <sheetName val="ตารางการแบ่งงวดงาน"/>
      <sheetName val="สรุปการแบ่งงวด"/>
      <sheetName val="รายละเอียดงวดงาน"/>
      <sheetName val="รายละเยดงวดในประกาศ"/>
      <sheetName val="สรุปค่าขนส่ง"/>
      <sheetName val="ข้อมูลpop_up"/>
      <sheetName val="ขน10_12.50"/>
      <sheetName val="ขน10พ่วง_12.50"/>
      <sheetName val="ขน10_13.50"/>
      <sheetName val="ขน10พ่วง_13.50"/>
      <sheetName val="ขน10_14.50"/>
      <sheetName val="ขน10พ่วง_14.50"/>
      <sheetName val="ขน10_15.50"/>
      <sheetName val="ขน10พ่วง_15.50"/>
      <sheetName val="ขน10"/>
      <sheetName val="ขน10พ่วง"/>
      <sheetName val="ค่าเสื่อมราคา"/>
      <sheetName val="Factor_Fงานทาง"/>
      <sheetName val="Factor_Fงานสะพา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5">
          <cell r="H5">
            <v>1.87</v>
          </cell>
        </row>
        <row r="18">
          <cell r="H18">
            <v>26.48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ข้อมูลโครงการ"/>
      <sheetName val="DATA1"/>
      <sheetName val="DATA2"/>
      <sheetName val="DATA3"/>
      <sheetName val="DATA4"/>
      <sheetName val="DATA5"/>
      <sheetName val="DATA6"/>
      <sheetName val="DATAbox1"/>
      <sheetName val="DATAbox2"/>
      <sheetName val="DATABRD1"/>
      <sheetName val="เสาเข็มBRD1"/>
      <sheetName val="ตอม่อBRD1"/>
      <sheetName val="พื้นBRD1"/>
      <sheetName val="ราวริมBRD1"/>
      <sheetName val="ราวกลางBRD1"/>
      <sheetName val="ราวBRD1"/>
      <sheetName val="APBRD1"/>
      <sheetName val="CSPBRD1"/>
      <sheetName val="ปริมาณbox1"/>
      <sheetName val="ปริมาณbox2"/>
      <sheetName val="ข้อมูลน้ำมัน"/>
      <sheetName val="กำแพงปากท่อ"/>
      <sheetName val="ตารางแหล่งวัสดุ"/>
      <sheetName val="การเชื่อมโยงค่าระยะทาง"/>
      <sheetName val="ปก"/>
      <sheetName val="ปร.5"/>
      <sheetName val="ปร.4"/>
      <sheetName val="ค่างานต้นทุน"/>
      <sheetName val="ใบสนอราคา"/>
      <sheetName val="บันทึกต่อรอง"/>
      <sheetName val="ตารางการแบ่งงวดงาน"/>
      <sheetName val="สรุปการแบ่งงวด"/>
      <sheetName val="รายละเอียดงวดงาน"/>
      <sheetName val="รายละเยดงวดในประกาศ"/>
      <sheetName val="สรุปค่าขนส่ง"/>
      <sheetName val="ข้อมูลpop_up"/>
      <sheetName val="ขน10_12.50"/>
      <sheetName val="ขน10พ่วง_12.50"/>
      <sheetName val="ขน10_13.50"/>
      <sheetName val="ขน10พ่วง_13.50"/>
      <sheetName val="ขน10_14.50"/>
      <sheetName val="ขน10พ่วง_14.50"/>
      <sheetName val="ขน10_15.50"/>
      <sheetName val="ขน10พ่วง_15.50"/>
      <sheetName val="ขน10"/>
      <sheetName val="ขน10พ่วง"/>
      <sheetName val="ค่าเสื่อมราคา"/>
      <sheetName val="Factor_Fงานทาง"/>
      <sheetName val="Factor_Fงานสะพา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5">
          <cell r="H5">
            <v>1.87</v>
          </cell>
        </row>
        <row r="7">
          <cell r="H7">
            <v>5.72</v>
          </cell>
        </row>
        <row r="11">
          <cell r="H11">
            <v>35.17</v>
          </cell>
        </row>
        <row r="18">
          <cell r="H18">
            <v>26.48</v>
          </cell>
        </row>
        <row r="39">
          <cell r="H39">
            <v>60.37</v>
          </cell>
        </row>
        <row r="42">
          <cell r="H42">
            <v>22.99</v>
          </cell>
        </row>
        <row r="50">
          <cell r="H50">
            <v>92.1</v>
          </cell>
        </row>
        <row r="60">
          <cell r="H60">
            <v>157.25</v>
          </cell>
        </row>
        <row r="69">
          <cell r="H69">
            <v>429.67</v>
          </cell>
        </row>
        <row r="89">
          <cell r="H89">
            <v>14.05</v>
          </cell>
        </row>
        <row r="106">
          <cell r="H106">
            <v>49.223283760895754</v>
          </cell>
        </row>
        <row r="134">
          <cell r="H134">
            <v>450</v>
          </cell>
        </row>
        <row r="143">
          <cell r="H143">
            <v>860</v>
          </cell>
        </row>
        <row r="151">
          <cell r="H151">
            <v>1250</v>
          </cell>
        </row>
        <row r="159">
          <cell r="H159">
            <v>1880</v>
          </cell>
        </row>
        <row r="167">
          <cell r="H167">
            <v>2400</v>
          </cell>
        </row>
        <row r="175">
          <cell r="H175">
            <v>12</v>
          </cell>
        </row>
        <row r="286">
          <cell r="H286">
            <v>1490</v>
          </cell>
        </row>
        <row r="291">
          <cell r="H291">
            <v>1170</v>
          </cell>
        </row>
        <row r="296">
          <cell r="H296">
            <v>1240</v>
          </cell>
        </row>
        <row r="301">
          <cell r="H301">
            <v>1340</v>
          </cell>
        </row>
        <row r="306">
          <cell r="H306">
            <v>1330</v>
          </cell>
        </row>
        <row r="311">
          <cell r="H311">
            <v>1460</v>
          </cell>
        </row>
        <row r="316">
          <cell r="H316">
            <v>1400</v>
          </cell>
        </row>
        <row r="321">
          <cell r="H321">
            <v>1810</v>
          </cell>
        </row>
        <row r="326">
          <cell r="H326">
            <v>1680</v>
          </cell>
        </row>
        <row r="331">
          <cell r="H331">
            <v>1310</v>
          </cell>
        </row>
        <row r="336">
          <cell r="H336">
            <v>1500</v>
          </cell>
        </row>
        <row r="341">
          <cell r="H341">
            <v>1500</v>
          </cell>
        </row>
        <row r="346">
          <cell r="H346">
            <v>2120</v>
          </cell>
        </row>
        <row r="351">
          <cell r="H351">
            <v>1810</v>
          </cell>
        </row>
        <row r="356">
          <cell r="H356">
            <v>2140</v>
          </cell>
        </row>
        <row r="361">
          <cell r="H361">
            <v>1360</v>
          </cell>
        </row>
        <row r="366">
          <cell r="H366">
            <v>5080</v>
          </cell>
        </row>
        <row r="371">
          <cell r="H371">
            <v>8040</v>
          </cell>
        </row>
        <row r="376">
          <cell r="H376">
            <v>11000</v>
          </cell>
        </row>
        <row r="381">
          <cell r="H381">
            <v>1500</v>
          </cell>
        </row>
        <row r="386">
          <cell r="H386">
            <v>1870</v>
          </cell>
        </row>
        <row r="391">
          <cell r="H391">
            <v>3070</v>
          </cell>
        </row>
        <row r="402">
          <cell r="H402">
            <v>1340</v>
          </cell>
        </row>
        <row r="415">
          <cell r="H415">
            <v>1176</v>
          </cell>
        </row>
        <row r="429">
          <cell r="H429">
            <v>1344</v>
          </cell>
        </row>
        <row r="443">
          <cell r="H443">
            <v>1479</v>
          </cell>
        </row>
        <row r="457">
          <cell r="H457">
            <v>1521</v>
          </cell>
        </row>
        <row r="462">
          <cell r="H462">
            <v>1880</v>
          </cell>
        </row>
        <row r="464">
          <cell r="H464">
            <v>1000</v>
          </cell>
        </row>
        <row r="474">
          <cell r="H474">
            <v>760</v>
          </cell>
        </row>
        <row r="482">
          <cell r="H482">
            <v>430</v>
          </cell>
        </row>
        <row r="490">
          <cell r="H490">
            <v>1080</v>
          </cell>
        </row>
        <row r="511">
          <cell r="H511">
            <v>4950</v>
          </cell>
        </row>
        <row r="518">
          <cell r="H518">
            <v>7190</v>
          </cell>
        </row>
        <row r="525">
          <cell r="H525">
            <v>9370</v>
          </cell>
        </row>
        <row r="532">
          <cell r="H532">
            <v>6300</v>
          </cell>
        </row>
        <row r="539">
          <cell r="H539">
            <v>9650</v>
          </cell>
        </row>
        <row r="546">
          <cell r="H546">
            <v>12940</v>
          </cell>
        </row>
        <row r="553">
          <cell r="H553">
            <v>7180</v>
          </cell>
        </row>
        <row r="560">
          <cell r="H560">
            <v>11460</v>
          </cell>
        </row>
        <row r="567">
          <cell r="H567">
            <v>15740</v>
          </cell>
        </row>
        <row r="574">
          <cell r="H574">
            <v>8080</v>
          </cell>
        </row>
        <row r="581">
          <cell r="H581">
            <v>13340</v>
          </cell>
        </row>
        <row r="588">
          <cell r="H588">
            <v>18680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สารบัญ"/>
      <sheetName val="ปก22"/>
      <sheetName val="รายละเอียดโครงการ"/>
      <sheetName val="ปก "/>
      <sheetName val="ปก.."/>
      <sheetName val="สารบัญ."/>
      <sheetName val="คำอธิบาย"/>
      <sheetName val="สรุปรายละเอียดค่าก่อสร้าง "/>
      <sheetName val="สรุปรายละเอียดค่าก่อสร้างform"/>
      <sheetName val="แบบ ปร.๕,สรุปค่าก่อสร้าง"/>
      <sheetName val="ปร.๔.๑,งานสะพาน"/>
      <sheetName val="ปร.๒.๒,งานทาง"/>
      <sheetName val="ปร.๔.๓,งานทั่วไป"/>
      <sheetName val="บัญชีฯ(B.O.Q).สะพาน "/>
      <sheetName val="บัญชีฯ(B.O.Q),งานทาง"/>
      <sheetName val="บัญชีฯ(B.O.Q),ทั่วไป"/>
      <sheetName val="ปร.5"/>
      <sheetName val="ปร.4_1 "/>
      <sheetName val="ปร.4_2,งานทาง"/>
      <sheetName val="ปร.4_1,สะพาน"/>
      <sheetName val="ปร.4_2,ทาง"/>
      <sheetName val="ปร.4_3,ทั่วไป"/>
      <sheetName val="ตารางแบ่งค่างาน(ปรับปรุงใหม่)"/>
      <sheetName val="แหล่งวัสดุf"/>
      <sheetName val="ราคาต่อหน่วยงานทาง"/>
      <sheetName val="สรุป ปร5"/>
      <sheetName val="หา FACTOR F"/>
      <sheetName val="FACTOR Fอาคาร"/>
      <sheetName val="FACTOR Fทาง "/>
      <sheetName val="FACTOR Fสะพาน "/>
      <sheetName val="แผนงานสะพาน"/>
      <sheetName val="สำนักงาน,ค่าใช้จ่ายพิเศษ'53"/>
      <sheetName val="เอกสารแหล่งวัสดุ"/>
      <sheetName val="แหล่งวัสดุ"/>
      <sheetName val="KM Chart"/>
      <sheetName val="ระยะทางต่อจังหวัด"/>
      <sheetName val="วัสดุเพื่องานคสล."/>
      <sheetName val="ค่าวัสดุสะพาน"/>
      <sheetName val="เอกสารแสดงราคาต่อหน่วย "/>
      <sheetName val="ค่าต้นทุนงานทาง"/>
      <sheetName val="ค่าเสื่อมราคา;29.00-29.99฿"/>
      <sheetName val="ตารางค่าขนส่ง,Desel;29.50฿"/>
      <sheetName val="ค่าขนส่ง,Desel;29.50฿"/>
      <sheetName val="ราคาวัสดุก่อสร้าง,จ.กระบี่"/>
      <sheetName val="Unuse"/>
      <sheetName val="ค่าน้ำมัน,ค่าขนส่ง"/>
      <sheetName val="ตารางค่าดำเนินการ+ค่าเสื่อมฯ"/>
      <sheetName val="เอกสารแสดงราคาต่อหน่วย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34">
          <cell r="K34">
            <v>1.2487999999999999</v>
          </cell>
        </row>
        <row r="48">
          <cell r="K48">
            <v>1.2455000000000001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5"/>
      <sheetName val="ปร4"/>
      <sheetName val="ปร4.1"/>
      <sheetName val="การหาค่า factor F"/>
      <sheetName val="BOQ"/>
      <sheetName val="งานทั่วไปฯ"/>
      <sheetName val="ราคาต้นทุนต่อหน่วย"/>
      <sheetName val="BOQ Arch"/>
      <sheetName val="ค่าดำเนินการ+ค่าเสื่อมราคา"/>
      <sheetName val="ค่าขนส่ง"/>
      <sheetName val="ค่าขนส่งที่ราคาน้ำมัน 19.99 บาท"/>
      <sheetName val="ราคาวัสดุ"/>
      <sheetName val="ราคาวัสดุที่จว.ยะลา"/>
      <sheetName val="ค่าขนส่ง-1"/>
      <sheetName val="F-งานสะพาน"/>
      <sheetName val="F-งานทาง"/>
      <sheetName val="F ฝนตกชุก"/>
      <sheetName val="F-งานอาคาร"/>
      <sheetName val="ราคาค่าก่อสร้า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90">
          <cell r="C90">
            <v>0.4</v>
          </cell>
        </row>
      </sheetData>
      <sheetData sheetId="12"/>
      <sheetData sheetId="13">
        <row r="10">
          <cell r="K10">
            <v>140</v>
          </cell>
        </row>
        <row r="61">
          <cell r="K61">
            <v>13</v>
          </cell>
          <cell r="M61">
            <v>18.71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FConclude"/>
      <sheetName val="FCalSH"/>
      <sheetName val="FCalSH (2)"/>
      <sheetName val="FBarList"/>
      <sheetName val="FInput"/>
      <sheetName val="FResult"/>
      <sheetName val="Sheet1"/>
    </sheetNames>
    <sheetDataSet>
      <sheetData sheetId="0" refreshError="1"/>
      <sheetData sheetId="1" refreshError="1"/>
      <sheetData sheetId="2" refreshError="1">
        <row r="18">
          <cell r="G18">
            <v>1.1549999999999998</v>
          </cell>
        </row>
        <row r="19">
          <cell r="G19">
            <v>6.91</v>
          </cell>
        </row>
        <row r="21">
          <cell r="G21">
            <v>0.185</v>
          </cell>
        </row>
        <row r="27">
          <cell r="G27">
            <v>3.7049999999999996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มนู"/>
      <sheetName val="ข้อมูลโครงการ"/>
      <sheetName val="สรุปรายละเอียดการก่อสร้าง"/>
      <sheetName val="ปร.5ท"/>
      <sheetName val="ปร.4"/>
      <sheetName val="ราคาป้าย"/>
      <sheetName val="สรุปราคากลางทาง"/>
      <sheetName val="ค่า Concrete"/>
      <sheetName val="ค่า AC"/>
      <sheetName val="ข้อมูลโครงสร้างทาง"/>
      <sheetName val="Oil"/>
      <sheetName val="สรุปค่าดำเนินการและค่าเสื่อม"/>
      <sheetName val="รายการประมาณราคาต่อหน่วย"/>
      <sheetName val="ตัวแปรค่าดำเนินการปูลาดAC "/>
      <sheetName val="ตัวแปรค่าดำเนินการปูลาดAC"/>
      <sheetName val="ข้อมูลประกอบการประมาณราคา"/>
      <sheetName val="ปร.4 สะพาน"/>
      <sheetName val="สรุปถอดแบบสะพาน"/>
      <sheetName val="ปกทช"/>
      <sheetName val="ค่าขนส่ง"/>
      <sheetName val="ค่าเสื่อมราคา"/>
      <sheetName val="ถางป่าขุดตอขนาดเบา"/>
      <sheetName val="ถางป่าขุดตอขนาดกลาง"/>
      <sheetName val="ถางป่าขุดตอขนาดหนัก"/>
      <sheetName val="ค่าดำเนินการและค่าเสื่อม"/>
      <sheetName val="เลือกชนิดวัสดุมวลรวม"/>
      <sheetName val="เลือกวิธีหาราคาต้นทุน CS"/>
      <sheetName val="ปร.4 box"/>
      <sheetName val="ปร.4 box (2)"/>
      <sheetName val="ตัวแปรสภาพผิวทาง"/>
      <sheetName val="กรอกข้อมูลประเมินราคาชุดที่2"/>
      <sheetName val="ประเภทงาน"/>
      <sheetName val="ดินคันทางขุดขน"/>
      <sheetName val="ดินคันทางบดทับ"/>
      <sheetName val="ดินขุดตัด"/>
      <sheetName val="ดินตัก"/>
      <sheetName val="หินผุขัดตัด"/>
      <sheetName val="หินผุดันตัก"/>
      <sheetName val="หินแข็งเจาะระเบิด"/>
      <sheetName val="หินแข็งดันตัก"/>
      <sheetName val="รองพื้นทางขุดขน"/>
      <sheetName val="รองพื้นทางผสมกับวัสดุอื่น"/>
      <sheetName val="รองพื้นทางบดทับ"/>
      <sheetName val="ไหล่ทางลูกรังผสมกับวัสดุอื่น"/>
      <sheetName val="ไหล่ทางลูกรังบดทับ"/>
      <sheetName val="พื้นทางผสมกับวัสดุอื่น"/>
      <sheetName val="พื้นทางบดทับ"/>
      <sheetName val="ตัดแต่งขั้นบันได"/>
      <sheetName val="ขุดรื้อลูกรัง10"/>
      <sheetName val="ขุดรื้อหินคลุก10"/>
      <sheetName val="ขุดรื้อผิวAC5"/>
      <sheetName val="ลาดยางPrimecoat"/>
      <sheetName val="ลาดยางTackcoat"/>
      <sheetName val="ชั้นเดียว(0.5)"/>
      <sheetName val="ชั้นเดียว(0.75)"/>
      <sheetName val="สองชั้น(0.75-0.375)"/>
      <sheetName val="สองชั้น(1-0.5)"/>
      <sheetName val="ชั้นเดียวเคลือบ(0.5)"/>
      <sheetName val="ชั้นเดียวเคลือบ(0.75)"/>
      <sheetName val="สองชั้นเคลือบ(0.75-0.375)"/>
      <sheetName val="สองชั้นเคลือบ(1-0.5)"/>
      <sheetName val="ค่าผสมAC"/>
      <sheetName val="ค่าปูผิวACบนPC"/>
      <sheetName val="ค่าปูผิวACบนTC"/>
      <sheetName val="ค่าผสมconc"/>
      <sheetName val="ค่าขนส่งconc"/>
      <sheetName val="ค่าแบบข้าง2ข้าง"/>
      <sheetName val="ค่าปูผิวconc"/>
      <sheetName val="ค่าตัดรอยต่อและหยอดยาง"/>
      <sheetName val="ค่าหยอดยางรอยต่อ"/>
      <sheetName val="ค่าบ่มผิวconc"/>
      <sheetName val="ค่าผสมวัสดุลูกรัง"/>
      <sheetName val="ค่าบ่มวัสดุลูกรัง"/>
      <sheetName val="ค่าผสมวัสดุหินคลุก"/>
      <sheetName val="ค่าบ่มวัสดุหินคลุก"/>
      <sheetName val="ค่าpipr15"/>
      <sheetName val="ค่าpipr20"/>
      <sheetName val="ค่าpipr25"/>
      <sheetName val="Slurry"/>
      <sheetName val="fogspray"/>
      <sheetName val="Sheet6"/>
      <sheetName val="ปร.4สะพานคสล."/>
      <sheetName val="ปร.5สะพานคสล."/>
      <sheetName val="บัญชีแสดงปริมาณวัสดุชุดที่ 1"/>
      <sheetName val="บัญชีแสดงปริมาณวัสดุชุดที่ 2"/>
      <sheetName val="บัญชีแสดงปริมาณวัสดุชุดที่ 2.2"/>
      <sheetName val="สรุปBOX"/>
      <sheetName val="สรุปตารางกำแพงbox"/>
      <sheetName val="สรุปตารางถอดแบบbox"/>
      <sheetName val="ตารางกำแพงปากท่อลอดเหลี่ยม"/>
      <sheetName val="บันทึกประเมิน"/>
      <sheetName val="กรอกข้อมูลประเมินราคาชุดที1"/>
      <sheetName val="การแบ่งงวดงานCS"/>
      <sheetName val="รายละเอียดงวดงานที่แนบตามประกาศ"/>
      <sheetName val="รายละเอียดงวดงานใช้แนบสัญญาจ้าง"/>
      <sheetName val="SLOPE PROTECT"/>
      <sheetName val="ตารางถอดแบบสะพาน"/>
      <sheetName val="ตารางถอดแบบbox"/>
      <sheetName val="ตารางถอดแบบกำแพงปากท่อ"/>
      <sheetName val="FACTORFงานทาง"/>
      <sheetName val="FACTORFชุก1งานทาง"/>
      <sheetName val="FACTORFชุก2งานทาง"/>
      <sheetName val="สรุปFACTORFงานทาง"/>
      <sheetName val="FACTORFงานสะพาน"/>
      <sheetName val="DATA1_1"/>
      <sheetName val="DATA1_2"/>
      <sheetName val="DATA1_3"/>
      <sheetName val="DATA1_4"/>
      <sheetName val="DATA1_5"/>
      <sheetName val="DATA1_6"/>
      <sheetName val="DATA1_7"/>
      <sheetName val="DATA1_8"/>
      <sheetName val="DATA2"/>
      <sheetName val="DATA3"/>
      <sheetName val="DATA4"/>
      <sheetName val="DATA5"/>
      <sheetName val="DATA6"/>
      <sheetName val="Sheet1"/>
    </sheetNames>
    <sheetDataSet>
      <sheetData sheetId="0"/>
      <sheetData sheetId="1">
        <row r="15">
          <cell r="N15">
            <v>27.5</v>
          </cell>
        </row>
        <row r="44">
          <cell r="I44" t="str">
            <v>อ.เมือง จ.ตราด</v>
          </cell>
        </row>
        <row r="45">
          <cell r="Q45">
            <v>65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6">
          <cell r="L6">
            <v>15.5</v>
          </cell>
          <cell r="M6">
            <v>0.95</v>
          </cell>
          <cell r="N6">
            <v>0.16</v>
          </cell>
          <cell r="O6">
            <v>2.15</v>
          </cell>
          <cell r="P6">
            <v>0.46</v>
          </cell>
          <cell r="Q6">
            <v>3.24</v>
          </cell>
          <cell r="R6">
            <v>0.66</v>
          </cell>
          <cell r="S6">
            <v>12.61</v>
          </cell>
          <cell r="T6">
            <v>3.47</v>
          </cell>
          <cell r="U6">
            <v>21.76</v>
          </cell>
          <cell r="V6">
            <v>7.92</v>
          </cell>
          <cell r="W6">
            <v>13.06</v>
          </cell>
          <cell r="X6">
            <v>2.93</v>
          </cell>
          <cell r="Y6">
            <v>4.6399999999999997</v>
          </cell>
          <cell r="Z6">
            <v>1.7</v>
          </cell>
          <cell r="AA6">
            <v>22.07</v>
          </cell>
          <cell r="AB6">
            <v>3.34</v>
          </cell>
          <cell r="AC6">
            <v>26.34</v>
          </cell>
          <cell r="AD6">
            <v>5.04</v>
          </cell>
          <cell r="AE6">
            <v>39.340000000000003</v>
          </cell>
          <cell r="AF6">
            <v>4.66</v>
          </cell>
          <cell r="AG6">
            <v>42.31</v>
          </cell>
          <cell r="AH6">
            <v>19</v>
          </cell>
          <cell r="AI6">
            <v>17.96</v>
          </cell>
          <cell r="AJ6">
            <v>6.36</v>
          </cell>
          <cell r="AK6">
            <v>5.4</v>
          </cell>
          <cell r="AL6">
            <v>1.01</v>
          </cell>
          <cell r="AM6">
            <v>26.11</v>
          </cell>
          <cell r="AN6">
            <v>9.5</v>
          </cell>
          <cell r="AO6">
            <v>10.15</v>
          </cell>
          <cell r="AP6">
            <v>1.91</v>
          </cell>
          <cell r="AQ6">
            <v>30.91</v>
          </cell>
          <cell r="AR6">
            <v>15.33</v>
          </cell>
          <cell r="AS6">
            <v>12.39</v>
          </cell>
          <cell r="AT6">
            <v>2.91</v>
          </cell>
          <cell r="AU6">
            <v>38.14</v>
          </cell>
          <cell r="AV6">
            <v>19.100000000000001</v>
          </cell>
          <cell r="AW6">
            <v>4.18</v>
          </cell>
          <cell r="AX6">
            <v>1.3</v>
          </cell>
          <cell r="AY6">
            <v>5.61</v>
          </cell>
          <cell r="AZ6">
            <v>1.51</v>
          </cell>
          <cell r="BA6">
            <v>6.81</v>
          </cell>
          <cell r="BB6">
            <v>2.4700000000000002</v>
          </cell>
          <cell r="BC6">
            <v>6.29</v>
          </cell>
          <cell r="BD6">
            <v>1.25</v>
          </cell>
          <cell r="BE6">
            <v>4.04</v>
          </cell>
          <cell r="BF6">
            <v>0.54</v>
          </cell>
          <cell r="BG6">
            <v>3.64</v>
          </cell>
          <cell r="BH6">
            <v>0.77</v>
          </cell>
          <cell r="BI6">
            <v>8.9</v>
          </cell>
          <cell r="BJ6">
            <v>1.94</v>
          </cell>
          <cell r="BK6">
            <v>12.29</v>
          </cell>
          <cell r="BL6">
            <v>2.68</v>
          </cell>
          <cell r="BM6">
            <v>18.28</v>
          </cell>
          <cell r="BN6">
            <v>3.99</v>
          </cell>
          <cell r="BO6">
            <v>26.77</v>
          </cell>
          <cell r="BP6">
            <v>5.84</v>
          </cell>
          <cell r="BQ6">
            <v>1.2</v>
          </cell>
          <cell r="BR6">
            <v>0.49</v>
          </cell>
          <cell r="BS6">
            <v>1.65</v>
          </cell>
          <cell r="BT6">
            <v>0.68</v>
          </cell>
          <cell r="BU6">
            <v>2.46</v>
          </cell>
          <cell r="BV6">
            <v>1</v>
          </cell>
          <cell r="BW6">
            <v>3.6</v>
          </cell>
          <cell r="BX6">
            <v>1.47</v>
          </cell>
          <cell r="BY6">
            <v>202.42</v>
          </cell>
          <cell r="BZ6">
            <v>16.77</v>
          </cell>
          <cell r="CA6">
            <v>8.2799999999999994</v>
          </cell>
          <cell r="CB6">
            <v>2.56</v>
          </cell>
          <cell r="CC6">
            <v>6.62</v>
          </cell>
          <cell r="CD6">
            <v>2.1</v>
          </cell>
          <cell r="CE6">
            <v>102.83</v>
          </cell>
          <cell r="CF6">
            <v>34.07</v>
          </cell>
          <cell r="CG6">
            <v>7.91</v>
          </cell>
          <cell r="CH6">
            <v>1.52</v>
          </cell>
          <cell r="CI6">
            <v>7.81</v>
          </cell>
          <cell r="CJ6">
            <v>3.69</v>
          </cell>
          <cell r="CK6">
            <v>6.9</v>
          </cell>
          <cell r="CL6">
            <v>1.92</v>
          </cell>
          <cell r="CM6">
            <v>15.65</v>
          </cell>
          <cell r="CN6">
            <v>2.4500000000000002</v>
          </cell>
          <cell r="CO6">
            <v>7.27</v>
          </cell>
          <cell r="CP6">
            <v>2.34</v>
          </cell>
          <cell r="CQ6">
            <v>4.67</v>
          </cell>
          <cell r="CR6">
            <v>0.71</v>
          </cell>
          <cell r="CS6">
            <v>26.69</v>
          </cell>
          <cell r="CT6">
            <v>11.03</v>
          </cell>
          <cell r="CU6">
            <v>23.35</v>
          </cell>
          <cell r="CV6">
            <v>3.53</v>
          </cell>
          <cell r="CW6">
            <v>29.36</v>
          </cell>
          <cell r="CX6">
            <v>11.03</v>
          </cell>
          <cell r="CY6">
            <v>23.35</v>
          </cell>
          <cell r="CZ6">
            <v>3.53</v>
          </cell>
          <cell r="DA6">
            <v>21.44</v>
          </cell>
          <cell r="DB6">
            <v>10.73</v>
          </cell>
          <cell r="DC6">
            <v>26.8</v>
          </cell>
          <cell r="DD6">
            <v>13.41</v>
          </cell>
          <cell r="DE6">
            <v>35.74</v>
          </cell>
          <cell r="DF6">
            <v>17.88</v>
          </cell>
          <cell r="DG6">
            <v>6.8</v>
          </cell>
          <cell r="DH6">
            <v>1.93</v>
          </cell>
          <cell r="DI6">
            <v>1.51</v>
          </cell>
          <cell r="DJ6">
            <v>0.36</v>
          </cell>
          <cell r="DK6">
            <v>31.25</v>
          </cell>
          <cell r="DL6">
            <v>5.56</v>
          </cell>
          <cell r="DM6">
            <v>42.26</v>
          </cell>
          <cell r="DN6">
            <v>7.06</v>
          </cell>
          <cell r="DO6">
            <v>51.04</v>
          </cell>
          <cell r="DP6">
            <v>7.75</v>
          </cell>
          <cell r="DQ6">
            <v>61.74</v>
          </cell>
          <cell r="DR6">
            <v>8.59</v>
          </cell>
          <cell r="DS6">
            <v>7.02</v>
          </cell>
          <cell r="DT6">
            <v>1.72</v>
          </cell>
          <cell r="DU6">
            <v>8.19</v>
          </cell>
        </row>
        <row r="7">
          <cell r="L7">
            <v>16.5</v>
          </cell>
          <cell r="M7">
            <v>0.96</v>
          </cell>
          <cell r="N7">
            <v>0.16</v>
          </cell>
          <cell r="O7">
            <v>2.1800000000000002</v>
          </cell>
          <cell r="P7">
            <v>0.46</v>
          </cell>
          <cell r="Q7">
            <v>3.3</v>
          </cell>
          <cell r="R7">
            <v>0.66</v>
          </cell>
          <cell r="S7">
            <v>12.82</v>
          </cell>
          <cell r="T7">
            <v>3.47</v>
          </cell>
          <cell r="U7">
            <v>22.21</v>
          </cell>
          <cell r="V7">
            <v>7.92</v>
          </cell>
          <cell r="W7">
            <v>13.25</v>
          </cell>
          <cell r="X7">
            <v>2.93</v>
          </cell>
          <cell r="Y7">
            <v>4.72</v>
          </cell>
          <cell r="Z7">
            <v>1.7</v>
          </cell>
          <cell r="AA7">
            <v>22.46</v>
          </cell>
          <cell r="AB7">
            <v>3.34</v>
          </cell>
          <cell r="AC7">
            <v>26.79</v>
          </cell>
          <cell r="AD7">
            <v>5.04</v>
          </cell>
          <cell r="AE7">
            <v>39.78</v>
          </cell>
          <cell r="AF7">
            <v>4.66</v>
          </cell>
          <cell r="AG7">
            <v>43.26</v>
          </cell>
          <cell r="AH7">
            <v>19</v>
          </cell>
          <cell r="AI7">
            <v>18.27</v>
          </cell>
          <cell r="AJ7">
            <v>6.36</v>
          </cell>
          <cell r="AK7">
            <v>5.48</v>
          </cell>
          <cell r="AL7">
            <v>1.01</v>
          </cell>
          <cell r="AM7">
            <v>26.65</v>
          </cell>
          <cell r="AN7">
            <v>9.5</v>
          </cell>
          <cell r="AO7">
            <v>10.31</v>
          </cell>
          <cell r="AP7">
            <v>1.91</v>
          </cell>
          <cell r="AQ7">
            <v>31.53</v>
          </cell>
          <cell r="AR7">
            <v>15.33</v>
          </cell>
          <cell r="AS7">
            <v>12.54</v>
          </cell>
          <cell r="AT7">
            <v>2.91</v>
          </cell>
          <cell r="AU7">
            <v>38.92</v>
          </cell>
          <cell r="AV7">
            <v>19.100000000000001</v>
          </cell>
          <cell r="AW7">
            <v>4.26</v>
          </cell>
          <cell r="AX7">
            <v>1.3</v>
          </cell>
          <cell r="AY7">
            <v>5.71</v>
          </cell>
          <cell r="AZ7">
            <v>1.51</v>
          </cell>
          <cell r="BA7">
            <v>6.94</v>
          </cell>
          <cell r="BB7">
            <v>2.4700000000000002</v>
          </cell>
          <cell r="BC7">
            <v>6.39</v>
          </cell>
          <cell r="BD7">
            <v>1.25</v>
          </cell>
          <cell r="BE7">
            <v>4.17</v>
          </cell>
          <cell r="BF7">
            <v>0.54</v>
          </cell>
          <cell r="BG7">
            <v>3.75</v>
          </cell>
          <cell r="BH7">
            <v>0.77</v>
          </cell>
          <cell r="BI7">
            <v>9.16</v>
          </cell>
          <cell r="BJ7">
            <v>1.94</v>
          </cell>
          <cell r="BK7">
            <v>12.65</v>
          </cell>
          <cell r="BL7">
            <v>2.68</v>
          </cell>
          <cell r="BM7">
            <v>18.809999999999999</v>
          </cell>
          <cell r="BN7">
            <v>3.99</v>
          </cell>
          <cell r="BO7">
            <v>27.55</v>
          </cell>
          <cell r="BP7">
            <v>5.84</v>
          </cell>
          <cell r="BQ7">
            <v>1.21</v>
          </cell>
          <cell r="BR7">
            <v>0.49</v>
          </cell>
          <cell r="BS7">
            <v>1.68</v>
          </cell>
          <cell r="BT7">
            <v>0.68</v>
          </cell>
          <cell r="BU7">
            <v>2.4900000000000002</v>
          </cell>
          <cell r="BV7">
            <v>1</v>
          </cell>
          <cell r="BW7">
            <v>3.65</v>
          </cell>
          <cell r="BX7">
            <v>1.47</v>
          </cell>
          <cell r="BY7">
            <v>213.2</v>
          </cell>
          <cell r="BZ7">
            <v>16.77</v>
          </cell>
          <cell r="CA7">
            <v>8.44</v>
          </cell>
          <cell r="CB7">
            <v>2.56</v>
          </cell>
          <cell r="CC7">
            <v>6.74</v>
          </cell>
          <cell r="CD7">
            <v>2.1</v>
          </cell>
          <cell r="CE7">
            <v>106.3</v>
          </cell>
          <cell r="CF7">
            <v>34.07</v>
          </cell>
          <cell r="CG7">
            <v>8.19</v>
          </cell>
          <cell r="CH7">
            <v>1.52</v>
          </cell>
          <cell r="CI7">
            <v>7.81</v>
          </cell>
          <cell r="CJ7">
            <v>3.69</v>
          </cell>
          <cell r="CK7">
            <v>6.95</v>
          </cell>
          <cell r="CL7">
            <v>1.92</v>
          </cell>
          <cell r="CM7">
            <v>15.9</v>
          </cell>
          <cell r="CN7">
            <v>2.4500000000000002</v>
          </cell>
          <cell r="CO7">
            <v>7.49</v>
          </cell>
          <cell r="CP7">
            <v>2.34</v>
          </cell>
          <cell r="CQ7">
            <v>4.8099999999999996</v>
          </cell>
          <cell r="CR7">
            <v>0.71</v>
          </cell>
          <cell r="CS7">
            <v>27.09</v>
          </cell>
          <cell r="CT7">
            <v>11.03</v>
          </cell>
          <cell r="CU7">
            <v>24.03</v>
          </cell>
          <cell r="CV7">
            <v>3.53</v>
          </cell>
          <cell r="CW7">
            <v>29.8</v>
          </cell>
          <cell r="CX7">
            <v>11.03</v>
          </cell>
          <cell r="CY7">
            <v>24.03</v>
          </cell>
          <cell r="CZ7">
            <v>3.53</v>
          </cell>
          <cell r="DA7">
            <v>21.58</v>
          </cell>
          <cell r="DB7">
            <v>10.73</v>
          </cell>
          <cell r="DC7">
            <v>26.98</v>
          </cell>
          <cell r="DD7">
            <v>13.41</v>
          </cell>
          <cell r="DE7">
            <v>35.97</v>
          </cell>
          <cell r="DF7">
            <v>17.88</v>
          </cell>
          <cell r="DG7">
            <v>6.97</v>
          </cell>
          <cell r="DH7">
            <v>1.93</v>
          </cell>
          <cell r="DI7">
            <v>1.56</v>
          </cell>
          <cell r="DJ7">
            <v>0.36</v>
          </cell>
          <cell r="DK7">
            <v>31.58</v>
          </cell>
          <cell r="DL7">
            <v>5.56</v>
          </cell>
          <cell r="DM7">
            <v>42.64</v>
          </cell>
          <cell r="DN7">
            <v>7.06</v>
          </cell>
          <cell r="DO7">
            <v>51.51</v>
          </cell>
          <cell r="DP7">
            <v>7.75</v>
          </cell>
          <cell r="DQ7">
            <v>62.3</v>
          </cell>
          <cell r="DR7">
            <v>8.59</v>
          </cell>
          <cell r="DS7">
            <v>7.21</v>
          </cell>
          <cell r="DT7">
            <v>1.72</v>
          </cell>
          <cell r="DU7">
            <v>8.42</v>
          </cell>
        </row>
        <row r="8">
          <cell r="L8">
            <v>17.5</v>
          </cell>
          <cell r="M8">
            <v>0.97</v>
          </cell>
          <cell r="N8">
            <v>0.16</v>
          </cell>
          <cell r="O8">
            <v>2.2200000000000002</v>
          </cell>
          <cell r="P8">
            <v>0.46</v>
          </cell>
          <cell r="Q8">
            <v>3.35</v>
          </cell>
          <cell r="R8">
            <v>0.66</v>
          </cell>
          <cell r="S8">
            <v>13.04</v>
          </cell>
          <cell r="T8">
            <v>3.47</v>
          </cell>
          <cell r="U8">
            <v>22.6</v>
          </cell>
          <cell r="V8">
            <v>7.92</v>
          </cell>
          <cell r="W8">
            <v>13.44</v>
          </cell>
          <cell r="X8">
            <v>2.93</v>
          </cell>
          <cell r="Y8">
            <v>4.8</v>
          </cell>
          <cell r="Z8">
            <v>1.7</v>
          </cell>
          <cell r="AA8">
            <v>22.85</v>
          </cell>
          <cell r="AB8">
            <v>3.34</v>
          </cell>
          <cell r="AC8">
            <v>27.24</v>
          </cell>
          <cell r="AD8">
            <v>5.04</v>
          </cell>
          <cell r="AE8">
            <v>40.21</v>
          </cell>
          <cell r="AF8">
            <v>4.66</v>
          </cell>
          <cell r="AG8">
            <v>44.2</v>
          </cell>
          <cell r="AH8">
            <v>19</v>
          </cell>
          <cell r="AI8">
            <v>18.57</v>
          </cell>
          <cell r="AJ8">
            <v>6.36</v>
          </cell>
          <cell r="AK8">
            <v>5.56</v>
          </cell>
          <cell r="AL8">
            <v>1.01</v>
          </cell>
          <cell r="AM8">
            <v>27.19</v>
          </cell>
          <cell r="AN8">
            <v>9.5</v>
          </cell>
          <cell r="AO8">
            <v>10.47</v>
          </cell>
          <cell r="AP8">
            <v>1.91</v>
          </cell>
          <cell r="AQ8">
            <v>32.159999999999997</v>
          </cell>
          <cell r="AR8">
            <v>15.33</v>
          </cell>
          <cell r="AS8">
            <v>12.68</v>
          </cell>
          <cell r="AT8">
            <v>2.91</v>
          </cell>
          <cell r="AU8">
            <v>39.700000000000003</v>
          </cell>
          <cell r="AV8">
            <v>19.100000000000001</v>
          </cell>
          <cell r="AW8">
            <v>4.33</v>
          </cell>
          <cell r="AX8">
            <v>1.3</v>
          </cell>
          <cell r="AY8">
            <v>5.81</v>
          </cell>
          <cell r="AZ8">
            <v>1.51</v>
          </cell>
          <cell r="BA8">
            <v>7.06</v>
          </cell>
          <cell r="BB8">
            <v>2.4700000000000002</v>
          </cell>
          <cell r="BC8">
            <v>6.48</v>
          </cell>
          <cell r="BD8">
            <v>1.25</v>
          </cell>
          <cell r="BE8">
            <v>4.3</v>
          </cell>
          <cell r="BF8">
            <v>0.54</v>
          </cell>
          <cell r="BG8">
            <v>3.87</v>
          </cell>
          <cell r="BH8">
            <v>0.77</v>
          </cell>
          <cell r="BI8">
            <v>9.42</v>
          </cell>
          <cell r="BJ8">
            <v>1.94</v>
          </cell>
          <cell r="BK8">
            <v>13.01</v>
          </cell>
          <cell r="BL8">
            <v>2.68</v>
          </cell>
          <cell r="BM8">
            <v>19.350000000000001</v>
          </cell>
          <cell r="BN8">
            <v>3.99</v>
          </cell>
          <cell r="BO8">
            <v>28.33</v>
          </cell>
          <cell r="BP8">
            <v>5.84</v>
          </cell>
          <cell r="BQ8">
            <v>1.23</v>
          </cell>
          <cell r="BR8">
            <v>0.49</v>
          </cell>
          <cell r="BS8">
            <v>1.7</v>
          </cell>
          <cell r="BT8">
            <v>0.68</v>
          </cell>
          <cell r="BU8">
            <v>2.5299999999999998</v>
          </cell>
          <cell r="BV8">
            <v>1</v>
          </cell>
          <cell r="BW8">
            <v>3.7</v>
          </cell>
          <cell r="BX8">
            <v>1.47</v>
          </cell>
          <cell r="BY8">
            <v>223.99</v>
          </cell>
          <cell r="BZ8">
            <v>16.77</v>
          </cell>
          <cell r="CA8">
            <v>8.61</v>
          </cell>
          <cell r="CB8">
            <v>2.56</v>
          </cell>
          <cell r="CC8">
            <v>6.85</v>
          </cell>
          <cell r="CD8">
            <v>2.1</v>
          </cell>
          <cell r="CE8">
            <v>109.76</v>
          </cell>
          <cell r="CF8">
            <v>34.07</v>
          </cell>
          <cell r="CG8">
            <v>8.4700000000000006</v>
          </cell>
          <cell r="CH8">
            <v>1.52</v>
          </cell>
          <cell r="CI8">
            <v>7.81</v>
          </cell>
          <cell r="CJ8">
            <v>3.69</v>
          </cell>
          <cell r="CK8">
            <v>6.99</v>
          </cell>
          <cell r="CL8">
            <v>1.92</v>
          </cell>
          <cell r="CM8">
            <v>16.14</v>
          </cell>
          <cell r="CN8">
            <v>2.4500000000000002</v>
          </cell>
          <cell r="CO8">
            <v>7.71</v>
          </cell>
          <cell r="CP8">
            <v>2.34</v>
          </cell>
          <cell r="CQ8">
            <v>4.9400000000000004</v>
          </cell>
          <cell r="CR8">
            <v>0.71</v>
          </cell>
          <cell r="CS8">
            <v>27.49</v>
          </cell>
          <cell r="CT8">
            <v>11.03</v>
          </cell>
          <cell r="CU8">
            <v>24.71</v>
          </cell>
          <cell r="CV8">
            <v>3.53</v>
          </cell>
          <cell r="CW8">
            <v>30.24</v>
          </cell>
          <cell r="CX8">
            <v>11.03</v>
          </cell>
          <cell r="CY8">
            <v>24.71</v>
          </cell>
          <cell r="CZ8">
            <v>3.53</v>
          </cell>
          <cell r="DA8">
            <v>21.73</v>
          </cell>
          <cell r="DB8">
            <v>10.73</v>
          </cell>
          <cell r="DC8">
            <v>27.16</v>
          </cell>
          <cell r="DD8">
            <v>13.41</v>
          </cell>
          <cell r="DE8">
            <v>36.21</v>
          </cell>
          <cell r="DF8">
            <v>17.88</v>
          </cell>
          <cell r="DG8">
            <v>7.14</v>
          </cell>
          <cell r="DH8">
            <v>1.93</v>
          </cell>
          <cell r="DI8">
            <v>1.6</v>
          </cell>
          <cell r="DJ8">
            <v>0.36</v>
          </cell>
          <cell r="DK8">
            <v>31.9</v>
          </cell>
          <cell r="DL8">
            <v>5.56</v>
          </cell>
          <cell r="DM8">
            <v>43.02</v>
          </cell>
          <cell r="DN8">
            <v>7.06</v>
          </cell>
          <cell r="DO8">
            <v>51.97</v>
          </cell>
          <cell r="DP8">
            <v>7.75</v>
          </cell>
          <cell r="DQ8">
            <v>62.87</v>
          </cell>
          <cell r="DR8">
            <v>8.59</v>
          </cell>
          <cell r="DS8">
            <v>7.41</v>
          </cell>
          <cell r="DT8">
            <v>1.72</v>
          </cell>
          <cell r="DU8">
            <v>8.64</v>
          </cell>
        </row>
        <row r="9">
          <cell r="L9">
            <v>18.5</v>
          </cell>
          <cell r="M9">
            <v>0.98</v>
          </cell>
          <cell r="N9">
            <v>0.16</v>
          </cell>
          <cell r="O9">
            <v>2.25</v>
          </cell>
          <cell r="P9">
            <v>0.46</v>
          </cell>
          <cell r="Q9">
            <v>3.4</v>
          </cell>
          <cell r="R9">
            <v>0.66</v>
          </cell>
          <cell r="S9">
            <v>13.25</v>
          </cell>
          <cell r="T9">
            <v>3.47</v>
          </cell>
          <cell r="U9">
            <v>23.11</v>
          </cell>
          <cell r="V9">
            <v>7.92</v>
          </cell>
          <cell r="W9">
            <v>13.62</v>
          </cell>
          <cell r="X9">
            <v>2.93</v>
          </cell>
          <cell r="Y9">
            <v>4.88</v>
          </cell>
          <cell r="Z9">
            <v>1.7</v>
          </cell>
          <cell r="AA9">
            <v>23.23</v>
          </cell>
          <cell r="AB9">
            <v>3.34</v>
          </cell>
          <cell r="AC9">
            <v>27.69</v>
          </cell>
          <cell r="AD9">
            <v>5.04</v>
          </cell>
          <cell r="AE9">
            <v>40.64</v>
          </cell>
          <cell r="AF9">
            <v>4.66</v>
          </cell>
          <cell r="AG9">
            <v>45.15</v>
          </cell>
          <cell r="AH9">
            <v>19</v>
          </cell>
          <cell r="AI9">
            <v>18.87</v>
          </cell>
          <cell r="AJ9">
            <v>6.36</v>
          </cell>
          <cell r="AK9">
            <v>5.64</v>
          </cell>
          <cell r="AL9">
            <v>1.01</v>
          </cell>
          <cell r="AM9">
            <v>27.74</v>
          </cell>
          <cell r="AN9">
            <v>9.5</v>
          </cell>
          <cell r="AO9">
            <v>10.62</v>
          </cell>
          <cell r="AP9">
            <v>1.91</v>
          </cell>
          <cell r="AQ9">
            <v>32.78</v>
          </cell>
          <cell r="AR9">
            <v>15.33</v>
          </cell>
          <cell r="AS9">
            <v>12.82</v>
          </cell>
          <cell r="AT9">
            <v>2.91</v>
          </cell>
          <cell r="AU9">
            <v>40.47</v>
          </cell>
          <cell r="AV9">
            <v>19.100000000000001</v>
          </cell>
          <cell r="AW9">
            <v>4.41</v>
          </cell>
          <cell r="AX9">
            <v>1.3</v>
          </cell>
          <cell r="AY9">
            <v>5.91</v>
          </cell>
          <cell r="AZ9">
            <v>1.51</v>
          </cell>
          <cell r="BA9">
            <v>7.18</v>
          </cell>
          <cell r="BB9">
            <v>2.4700000000000002</v>
          </cell>
          <cell r="BC9">
            <v>6.58</v>
          </cell>
          <cell r="BD9">
            <v>1.25</v>
          </cell>
          <cell r="BE9">
            <v>4.42</v>
          </cell>
          <cell r="BF9">
            <v>0.54</v>
          </cell>
          <cell r="BG9">
            <v>3.99</v>
          </cell>
          <cell r="BH9">
            <v>0.77</v>
          </cell>
          <cell r="BI9">
            <v>9.68</v>
          </cell>
          <cell r="BJ9">
            <v>1.94</v>
          </cell>
          <cell r="BK9">
            <v>13.37</v>
          </cell>
          <cell r="BL9">
            <v>2.68</v>
          </cell>
          <cell r="BM9">
            <v>19.88</v>
          </cell>
          <cell r="BN9">
            <v>3.99</v>
          </cell>
          <cell r="BO9">
            <v>29.12</v>
          </cell>
          <cell r="BP9">
            <v>5.84</v>
          </cell>
          <cell r="BQ9">
            <v>1.25</v>
          </cell>
          <cell r="BR9">
            <v>0.49</v>
          </cell>
          <cell r="BS9">
            <v>1.73</v>
          </cell>
          <cell r="BT9">
            <v>0.68</v>
          </cell>
          <cell r="BU9">
            <v>2.57</v>
          </cell>
          <cell r="BV9">
            <v>1</v>
          </cell>
          <cell r="BW9">
            <v>3.76</v>
          </cell>
          <cell r="BX9">
            <v>1.47</v>
          </cell>
          <cell r="BY9">
            <v>234.77</v>
          </cell>
          <cell r="BZ9">
            <v>16.77</v>
          </cell>
          <cell r="CA9">
            <v>8.77</v>
          </cell>
          <cell r="CB9">
            <v>2.56</v>
          </cell>
          <cell r="CC9">
            <v>6.96</v>
          </cell>
          <cell r="CD9">
            <v>2.1</v>
          </cell>
          <cell r="CE9">
            <v>113.22</v>
          </cell>
          <cell r="CF9">
            <v>34.07</v>
          </cell>
          <cell r="CG9">
            <v>8.74</v>
          </cell>
          <cell r="CH9">
            <v>1.52</v>
          </cell>
          <cell r="CI9">
            <v>7.81</v>
          </cell>
          <cell r="CJ9">
            <v>3.69</v>
          </cell>
          <cell r="CK9">
            <v>7.04</v>
          </cell>
          <cell r="CL9">
            <v>1.92</v>
          </cell>
          <cell r="CM9">
            <v>16.39</v>
          </cell>
          <cell r="CN9">
            <v>2.4500000000000002</v>
          </cell>
          <cell r="CO9">
            <v>7.94</v>
          </cell>
          <cell r="CP9">
            <v>2.34</v>
          </cell>
          <cell r="CQ9">
            <v>5.08</v>
          </cell>
          <cell r="CR9">
            <v>0.71</v>
          </cell>
          <cell r="CS9">
            <v>27.9</v>
          </cell>
          <cell r="CT9">
            <v>11.03</v>
          </cell>
          <cell r="CU9">
            <v>25.38</v>
          </cell>
          <cell r="CV9">
            <v>3.53</v>
          </cell>
          <cell r="CW9">
            <v>30.69</v>
          </cell>
          <cell r="CX9">
            <v>11.03</v>
          </cell>
          <cell r="CY9">
            <v>25.38</v>
          </cell>
          <cell r="CZ9">
            <v>3.53</v>
          </cell>
          <cell r="DA9">
            <v>21.87</v>
          </cell>
          <cell r="DB9">
            <v>10.73</v>
          </cell>
          <cell r="DC9">
            <v>27.33</v>
          </cell>
          <cell r="DD9">
            <v>13.41</v>
          </cell>
          <cell r="DE9">
            <v>36.450000000000003</v>
          </cell>
          <cell r="DF9">
            <v>17.88</v>
          </cell>
          <cell r="DG9">
            <v>7.32</v>
          </cell>
          <cell r="DH9">
            <v>1.93</v>
          </cell>
          <cell r="DI9">
            <v>1.65</v>
          </cell>
          <cell r="DJ9">
            <v>0.36</v>
          </cell>
          <cell r="DK9">
            <v>32.22</v>
          </cell>
          <cell r="DL9">
            <v>5.56</v>
          </cell>
          <cell r="DM9">
            <v>43.4</v>
          </cell>
          <cell r="DN9">
            <v>7.06</v>
          </cell>
          <cell r="DO9">
            <v>52.44</v>
          </cell>
          <cell r="DP9">
            <v>7.75</v>
          </cell>
          <cell r="DQ9">
            <v>63.44</v>
          </cell>
          <cell r="DR9">
            <v>8.59</v>
          </cell>
          <cell r="DS9">
            <v>7.6</v>
          </cell>
          <cell r="DT9">
            <v>1.72</v>
          </cell>
          <cell r="DU9">
            <v>8.8699999999999992</v>
          </cell>
        </row>
        <row r="10">
          <cell r="L10">
            <v>19.5</v>
          </cell>
          <cell r="M10">
            <v>1</v>
          </cell>
          <cell r="N10">
            <v>0.16</v>
          </cell>
          <cell r="O10">
            <v>2.2799999999999998</v>
          </cell>
          <cell r="P10">
            <v>0.46</v>
          </cell>
          <cell r="Q10">
            <v>3.45</v>
          </cell>
          <cell r="R10">
            <v>0.66</v>
          </cell>
          <cell r="S10">
            <v>13.47</v>
          </cell>
          <cell r="T10">
            <v>3.47</v>
          </cell>
          <cell r="U10">
            <v>23.56</v>
          </cell>
          <cell r="V10">
            <v>7.92</v>
          </cell>
          <cell r="W10">
            <v>13.81</v>
          </cell>
          <cell r="X10">
            <v>2.93</v>
          </cell>
          <cell r="Y10">
            <v>4.96</v>
          </cell>
          <cell r="Z10">
            <v>1.7</v>
          </cell>
          <cell r="AA10">
            <v>23.62</v>
          </cell>
          <cell r="AB10">
            <v>3.34</v>
          </cell>
          <cell r="AC10">
            <v>28.14</v>
          </cell>
          <cell r="AD10">
            <v>5.04</v>
          </cell>
          <cell r="AE10">
            <v>41.07</v>
          </cell>
          <cell r="AF10">
            <v>4.66</v>
          </cell>
          <cell r="AG10">
            <v>46.1</v>
          </cell>
          <cell r="AH10">
            <v>19</v>
          </cell>
          <cell r="AI10">
            <v>19.18</v>
          </cell>
          <cell r="AJ10">
            <v>6.36</v>
          </cell>
          <cell r="AK10">
            <v>5.73</v>
          </cell>
          <cell r="AL10">
            <v>1.01</v>
          </cell>
          <cell r="AM10">
            <v>28.28</v>
          </cell>
          <cell r="AN10">
            <v>9.5</v>
          </cell>
          <cell r="AO10">
            <v>10.78</v>
          </cell>
          <cell r="AP10">
            <v>1.91</v>
          </cell>
          <cell r="AQ10">
            <v>33.44</v>
          </cell>
          <cell r="AR10">
            <v>15.33</v>
          </cell>
          <cell r="AS10">
            <v>12.96</v>
          </cell>
          <cell r="AT10">
            <v>2.91</v>
          </cell>
          <cell r="AU10">
            <v>41.25</v>
          </cell>
          <cell r="AV10">
            <v>19.100000000000001</v>
          </cell>
          <cell r="AW10">
            <v>4.49</v>
          </cell>
          <cell r="AX10">
            <v>1.3</v>
          </cell>
          <cell r="AY10">
            <v>6.01</v>
          </cell>
          <cell r="AZ10">
            <v>1.51</v>
          </cell>
          <cell r="BA10">
            <v>7.31</v>
          </cell>
          <cell r="BB10">
            <v>2.4700000000000002</v>
          </cell>
          <cell r="BC10">
            <v>6.68</v>
          </cell>
          <cell r="BD10">
            <v>1.25</v>
          </cell>
          <cell r="BE10">
            <v>4.55</v>
          </cell>
          <cell r="BF10">
            <v>0.54</v>
          </cell>
          <cell r="BG10">
            <v>4.1100000000000003</v>
          </cell>
          <cell r="BH10">
            <v>0.77</v>
          </cell>
          <cell r="BI10">
            <v>9.94</v>
          </cell>
          <cell r="BJ10">
            <v>1.94</v>
          </cell>
          <cell r="BK10">
            <v>13.73</v>
          </cell>
          <cell r="BL10">
            <v>2.68</v>
          </cell>
          <cell r="BM10">
            <v>20.41</v>
          </cell>
          <cell r="BN10">
            <v>3.99</v>
          </cell>
          <cell r="BO10">
            <v>29.9</v>
          </cell>
          <cell r="BP10">
            <v>5.84</v>
          </cell>
          <cell r="BQ10">
            <v>1.27</v>
          </cell>
          <cell r="BR10">
            <v>0.49</v>
          </cell>
          <cell r="BS10">
            <v>1.75</v>
          </cell>
          <cell r="BT10">
            <v>0.68</v>
          </cell>
          <cell r="BU10">
            <v>2.6</v>
          </cell>
          <cell r="BV10">
            <v>1</v>
          </cell>
          <cell r="BW10">
            <v>3.81</v>
          </cell>
          <cell r="BX10">
            <v>1.47</v>
          </cell>
          <cell r="BY10">
            <v>245.55</v>
          </cell>
          <cell r="BZ10">
            <v>16.77</v>
          </cell>
          <cell r="CA10">
            <v>8.94</v>
          </cell>
          <cell r="CB10">
            <v>2.56</v>
          </cell>
          <cell r="CC10">
            <v>7.07</v>
          </cell>
          <cell r="CD10">
            <v>2.1</v>
          </cell>
          <cell r="CE10">
            <v>116.69</v>
          </cell>
          <cell r="CF10">
            <v>34.07</v>
          </cell>
          <cell r="CG10">
            <v>9.02</v>
          </cell>
          <cell r="CH10">
            <v>1.52</v>
          </cell>
          <cell r="CI10">
            <v>7.81</v>
          </cell>
          <cell r="CJ10">
            <v>3.69</v>
          </cell>
          <cell r="CK10">
            <v>7.09</v>
          </cell>
          <cell r="CL10">
            <v>1.92</v>
          </cell>
          <cell r="CM10">
            <v>16.63</v>
          </cell>
          <cell r="CN10">
            <v>2.4500000000000002</v>
          </cell>
          <cell r="CO10">
            <v>8.16</v>
          </cell>
          <cell r="CP10">
            <v>2.34</v>
          </cell>
          <cell r="CQ10">
            <v>5.21</v>
          </cell>
          <cell r="CR10">
            <v>0.71</v>
          </cell>
          <cell r="CS10">
            <v>28.3</v>
          </cell>
          <cell r="CT10">
            <v>11.03</v>
          </cell>
          <cell r="CU10">
            <v>26.06</v>
          </cell>
          <cell r="CV10">
            <v>3.53</v>
          </cell>
          <cell r="CW10">
            <v>31.13</v>
          </cell>
          <cell r="CX10">
            <v>11.03</v>
          </cell>
          <cell r="CY10">
            <v>26.06</v>
          </cell>
          <cell r="CZ10">
            <v>3.53</v>
          </cell>
          <cell r="DA10">
            <v>22.01</v>
          </cell>
          <cell r="DB10">
            <v>10.73</v>
          </cell>
          <cell r="DC10">
            <v>27.51</v>
          </cell>
          <cell r="DD10">
            <v>13.41</v>
          </cell>
          <cell r="DE10">
            <v>36.68</v>
          </cell>
          <cell r="DF10">
            <v>17.88</v>
          </cell>
          <cell r="DG10">
            <v>7.49</v>
          </cell>
          <cell r="DH10">
            <v>1.93</v>
          </cell>
          <cell r="DI10">
            <v>1.69</v>
          </cell>
          <cell r="DJ10">
            <v>0.36</v>
          </cell>
          <cell r="DK10">
            <v>32.549999999999997</v>
          </cell>
          <cell r="DL10">
            <v>5.56</v>
          </cell>
          <cell r="DM10">
            <v>43.78</v>
          </cell>
          <cell r="DN10">
            <v>7.06</v>
          </cell>
          <cell r="DO10">
            <v>52.91</v>
          </cell>
          <cell r="DP10">
            <v>7.75</v>
          </cell>
          <cell r="DQ10">
            <v>64.010000000000005</v>
          </cell>
          <cell r="DR10">
            <v>8.59</v>
          </cell>
          <cell r="DS10">
            <v>7.8</v>
          </cell>
          <cell r="DT10">
            <v>1.72</v>
          </cell>
          <cell r="DU10">
            <v>9.09</v>
          </cell>
        </row>
        <row r="11">
          <cell r="L11">
            <v>20.5</v>
          </cell>
          <cell r="M11">
            <v>1.01</v>
          </cell>
          <cell r="N11">
            <v>0.16</v>
          </cell>
          <cell r="O11">
            <v>2.31</v>
          </cell>
          <cell r="P11">
            <v>0.46</v>
          </cell>
          <cell r="Q11">
            <v>3.5</v>
          </cell>
          <cell r="R11">
            <v>0.66</v>
          </cell>
          <cell r="S11">
            <v>13.68</v>
          </cell>
          <cell r="T11">
            <v>3.47</v>
          </cell>
          <cell r="U11">
            <v>24.01</v>
          </cell>
          <cell r="V11">
            <v>7.92</v>
          </cell>
          <cell r="W11">
            <v>14</v>
          </cell>
          <cell r="X11">
            <v>2.93</v>
          </cell>
          <cell r="Y11">
            <v>5.05</v>
          </cell>
          <cell r="Z11">
            <v>1.7</v>
          </cell>
          <cell r="AA11">
            <v>24.01</v>
          </cell>
          <cell r="AB11">
            <v>3.34</v>
          </cell>
          <cell r="AC11">
            <v>28.59</v>
          </cell>
          <cell r="AD11">
            <v>5.04</v>
          </cell>
          <cell r="AE11">
            <v>41.51</v>
          </cell>
          <cell r="AF11">
            <v>4.66</v>
          </cell>
          <cell r="AG11">
            <v>47.05</v>
          </cell>
          <cell r="AH11">
            <v>19</v>
          </cell>
          <cell r="AI11">
            <v>19.48</v>
          </cell>
          <cell r="AJ11">
            <v>6.36</v>
          </cell>
          <cell r="AK11">
            <v>5.81</v>
          </cell>
          <cell r="AL11">
            <v>1.01</v>
          </cell>
          <cell r="AM11">
            <v>28.82</v>
          </cell>
          <cell r="AN11">
            <v>9.5</v>
          </cell>
          <cell r="AO11">
            <v>10.93</v>
          </cell>
          <cell r="AP11">
            <v>1.91</v>
          </cell>
          <cell r="AQ11">
            <v>34.03</v>
          </cell>
          <cell r="AR11">
            <v>15.33</v>
          </cell>
          <cell r="AS11">
            <v>13.11</v>
          </cell>
          <cell r="AT11">
            <v>2.91</v>
          </cell>
          <cell r="AU11">
            <v>42.03</v>
          </cell>
          <cell r="AV11">
            <v>19.100000000000001</v>
          </cell>
          <cell r="AW11">
            <v>4.5599999999999996</v>
          </cell>
          <cell r="AX11">
            <v>1.3</v>
          </cell>
          <cell r="AY11">
            <v>6.11</v>
          </cell>
          <cell r="AZ11">
            <v>1.51</v>
          </cell>
          <cell r="BA11">
            <v>7.43</v>
          </cell>
          <cell r="BB11">
            <v>2.4700000000000002</v>
          </cell>
          <cell r="BC11">
            <v>6.78</v>
          </cell>
          <cell r="BD11">
            <v>1.25</v>
          </cell>
          <cell r="BE11">
            <v>4.68</v>
          </cell>
          <cell r="BF11">
            <v>0.54</v>
          </cell>
          <cell r="BG11">
            <v>4.2300000000000004</v>
          </cell>
          <cell r="BH11">
            <v>0.77</v>
          </cell>
          <cell r="BI11">
            <v>10.199999999999999</v>
          </cell>
          <cell r="BJ11">
            <v>1.94</v>
          </cell>
          <cell r="BK11">
            <v>14.09</v>
          </cell>
          <cell r="BL11">
            <v>2.68</v>
          </cell>
          <cell r="BM11">
            <v>20.95</v>
          </cell>
          <cell r="BN11">
            <v>3.99</v>
          </cell>
          <cell r="BO11">
            <v>30.68</v>
          </cell>
          <cell r="BP11">
            <v>5.84</v>
          </cell>
          <cell r="BQ11">
            <v>1.29</v>
          </cell>
          <cell r="BR11">
            <v>0.49</v>
          </cell>
          <cell r="BS11">
            <v>1.78</v>
          </cell>
          <cell r="BT11">
            <v>0.68</v>
          </cell>
          <cell r="BU11">
            <v>2.64</v>
          </cell>
          <cell r="BV11">
            <v>1</v>
          </cell>
          <cell r="BW11">
            <v>3.87</v>
          </cell>
          <cell r="BX11">
            <v>1.47</v>
          </cell>
          <cell r="BY11">
            <v>256.33999999999997</v>
          </cell>
          <cell r="BZ11">
            <v>16.77</v>
          </cell>
          <cell r="CA11">
            <v>9.11</v>
          </cell>
          <cell r="CB11">
            <v>2.56</v>
          </cell>
          <cell r="CC11">
            <v>7.18</v>
          </cell>
          <cell r="CD11">
            <v>2.1</v>
          </cell>
          <cell r="CE11">
            <v>120.15</v>
          </cell>
          <cell r="CF11">
            <v>34.07</v>
          </cell>
          <cell r="CG11">
            <v>9.2899999999999991</v>
          </cell>
          <cell r="CH11">
            <v>1.52</v>
          </cell>
          <cell r="CI11">
            <v>7.81</v>
          </cell>
          <cell r="CJ11">
            <v>3.69</v>
          </cell>
          <cell r="CK11">
            <v>7.14</v>
          </cell>
          <cell r="CL11">
            <v>1.92</v>
          </cell>
          <cell r="CM11">
            <v>16.87</v>
          </cell>
          <cell r="CN11">
            <v>2.4500000000000002</v>
          </cell>
          <cell r="CO11">
            <v>8.39</v>
          </cell>
          <cell r="CP11">
            <v>2.34</v>
          </cell>
          <cell r="CQ11">
            <v>5.35</v>
          </cell>
          <cell r="CR11">
            <v>0.71</v>
          </cell>
          <cell r="CS11">
            <v>28.7</v>
          </cell>
          <cell r="CT11">
            <v>11.03</v>
          </cell>
          <cell r="CU11">
            <v>26.74</v>
          </cell>
          <cell r="CV11">
            <v>3.53</v>
          </cell>
          <cell r="CW11">
            <v>31.57</v>
          </cell>
          <cell r="CX11">
            <v>11.03</v>
          </cell>
          <cell r="CY11">
            <v>26.74</v>
          </cell>
          <cell r="CZ11">
            <v>3.53</v>
          </cell>
          <cell r="DA11">
            <v>22.15</v>
          </cell>
          <cell r="DB11">
            <v>10.73</v>
          </cell>
          <cell r="DC11">
            <v>27.69</v>
          </cell>
          <cell r="DD11">
            <v>13.41</v>
          </cell>
          <cell r="DE11">
            <v>36.92</v>
          </cell>
          <cell r="DF11">
            <v>17.88</v>
          </cell>
          <cell r="DG11">
            <v>7.66</v>
          </cell>
          <cell r="DH11">
            <v>1.93</v>
          </cell>
          <cell r="DI11">
            <v>1.73</v>
          </cell>
          <cell r="DJ11">
            <v>0.36</v>
          </cell>
          <cell r="DK11">
            <v>32.869999999999997</v>
          </cell>
          <cell r="DL11">
            <v>5.56</v>
          </cell>
          <cell r="DM11">
            <v>44.17</v>
          </cell>
          <cell r="DN11">
            <v>7.06</v>
          </cell>
          <cell r="DO11">
            <v>53.37</v>
          </cell>
          <cell r="DP11">
            <v>7.75</v>
          </cell>
          <cell r="DQ11">
            <v>64.58</v>
          </cell>
          <cell r="DR11">
            <v>8.59</v>
          </cell>
          <cell r="DS11">
            <v>7.99</v>
          </cell>
          <cell r="DT11">
            <v>1.72</v>
          </cell>
          <cell r="DU11">
            <v>9.32</v>
          </cell>
        </row>
        <row r="12">
          <cell r="L12">
            <v>21.5</v>
          </cell>
          <cell r="M12">
            <v>1.02</v>
          </cell>
          <cell r="N12">
            <v>0.16</v>
          </cell>
          <cell r="O12">
            <v>2.35</v>
          </cell>
          <cell r="P12">
            <v>0.46</v>
          </cell>
          <cell r="Q12">
            <v>3.56</v>
          </cell>
          <cell r="R12">
            <v>0.66</v>
          </cell>
          <cell r="S12">
            <v>13.9</v>
          </cell>
          <cell r="T12">
            <v>3.47</v>
          </cell>
          <cell r="U12">
            <v>24.47</v>
          </cell>
          <cell r="V12">
            <v>7.92</v>
          </cell>
          <cell r="W12">
            <v>14.19</v>
          </cell>
          <cell r="X12">
            <v>2.93</v>
          </cell>
          <cell r="Y12">
            <v>5.13</v>
          </cell>
          <cell r="Z12">
            <v>1.7</v>
          </cell>
          <cell r="AA12">
            <v>24.39</v>
          </cell>
          <cell r="AB12">
            <v>3.34</v>
          </cell>
          <cell r="AC12">
            <v>29.03</v>
          </cell>
          <cell r="AD12">
            <v>5.04</v>
          </cell>
          <cell r="AE12">
            <v>41.94</v>
          </cell>
          <cell r="AF12">
            <v>4.66</v>
          </cell>
          <cell r="AG12">
            <v>48</v>
          </cell>
          <cell r="AH12">
            <v>19</v>
          </cell>
          <cell r="AI12">
            <v>19.79</v>
          </cell>
          <cell r="AJ12">
            <v>6.36</v>
          </cell>
          <cell r="AK12">
            <v>5.89</v>
          </cell>
          <cell r="AL12">
            <v>1.01</v>
          </cell>
          <cell r="AM12">
            <v>29.36</v>
          </cell>
          <cell r="AN12">
            <v>9.5</v>
          </cell>
          <cell r="AO12">
            <v>11.09</v>
          </cell>
          <cell r="AP12">
            <v>1.91</v>
          </cell>
          <cell r="AQ12">
            <v>34.65</v>
          </cell>
          <cell r="AR12">
            <v>15.33</v>
          </cell>
          <cell r="AS12">
            <v>13.25</v>
          </cell>
          <cell r="AT12">
            <v>2.91</v>
          </cell>
          <cell r="AU12">
            <v>42.81</v>
          </cell>
          <cell r="AV12">
            <v>19.100000000000001</v>
          </cell>
          <cell r="AW12">
            <v>4.6399999999999997</v>
          </cell>
          <cell r="AX12">
            <v>1.3</v>
          </cell>
          <cell r="AY12">
            <v>6.21</v>
          </cell>
          <cell r="AZ12">
            <v>1.51</v>
          </cell>
          <cell r="BA12">
            <v>7.55</v>
          </cell>
          <cell r="BB12">
            <v>2.4700000000000002</v>
          </cell>
          <cell r="BC12">
            <v>6.88</v>
          </cell>
          <cell r="BD12">
            <v>1.25</v>
          </cell>
          <cell r="BE12">
            <v>4.8099999999999996</v>
          </cell>
          <cell r="BF12">
            <v>0.54</v>
          </cell>
          <cell r="BG12">
            <v>4.3499999999999996</v>
          </cell>
          <cell r="BH12">
            <v>0.77</v>
          </cell>
          <cell r="BI12">
            <v>10.46</v>
          </cell>
          <cell r="BJ12">
            <v>1.94</v>
          </cell>
          <cell r="BK12">
            <v>14.45</v>
          </cell>
          <cell r="BL12">
            <v>2.68</v>
          </cell>
          <cell r="BM12">
            <v>21.48</v>
          </cell>
          <cell r="BN12">
            <v>3.99</v>
          </cell>
          <cell r="BO12">
            <v>31.46</v>
          </cell>
          <cell r="BP12">
            <v>5.84</v>
          </cell>
          <cell r="BQ12">
            <v>1.3</v>
          </cell>
          <cell r="BR12">
            <v>0.49</v>
          </cell>
          <cell r="BS12">
            <v>1.8</v>
          </cell>
          <cell r="BT12">
            <v>0.68</v>
          </cell>
          <cell r="BU12">
            <v>2.68</v>
          </cell>
          <cell r="BV12">
            <v>1</v>
          </cell>
          <cell r="BW12">
            <v>3.92</v>
          </cell>
          <cell r="BX12">
            <v>1.47</v>
          </cell>
          <cell r="BY12">
            <v>267.12</v>
          </cell>
          <cell r="BZ12">
            <v>16.77</v>
          </cell>
          <cell r="CA12">
            <v>9.27</v>
          </cell>
          <cell r="CB12">
            <v>2.56</v>
          </cell>
          <cell r="CC12">
            <v>7.29</v>
          </cell>
          <cell r="CD12">
            <v>2.1</v>
          </cell>
          <cell r="CE12">
            <v>123.62</v>
          </cell>
          <cell r="CF12">
            <v>34.07</v>
          </cell>
          <cell r="CG12">
            <v>9.57</v>
          </cell>
          <cell r="CH12">
            <v>1.52</v>
          </cell>
          <cell r="CI12">
            <v>7.81</v>
          </cell>
          <cell r="CJ12">
            <v>3.69</v>
          </cell>
          <cell r="CK12">
            <v>7.19</v>
          </cell>
          <cell r="CL12">
            <v>1.92</v>
          </cell>
          <cell r="CM12">
            <v>17.12</v>
          </cell>
          <cell r="CN12">
            <v>2.4500000000000002</v>
          </cell>
          <cell r="CO12">
            <v>8.61</v>
          </cell>
          <cell r="CP12">
            <v>2.34</v>
          </cell>
          <cell r="CQ12">
            <v>5.48</v>
          </cell>
          <cell r="CR12">
            <v>0.71</v>
          </cell>
          <cell r="CS12">
            <v>29.1</v>
          </cell>
          <cell r="CT12">
            <v>11.03</v>
          </cell>
          <cell r="CU12">
            <v>27.41</v>
          </cell>
          <cell r="CV12">
            <v>3.53</v>
          </cell>
          <cell r="CW12">
            <v>32.020000000000003</v>
          </cell>
          <cell r="CX12">
            <v>11.03</v>
          </cell>
          <cell r="CY12">
            <v>27.41</v>
          </cell>
          <cell r="CZ12">
            <v>3.53</v>
          </cell>
          <cell r="DA12">
            <v>2.29</v>
          </cell>
          <cell r="DB12">
            <v>10.73</v>
          </cell>
          <cell r="DC12">
            <v>27.87</v>
          </cell>
          <cell r="DD12">
            <v>13.41</v>
          </cell>
          <cell r="DE12">
            <v>37.15</v>
          </cell>
          <cell r="DF12">
            <v>17.88</v>
          </cell>
          <cell r="DG12">
            <v>7.83</v>
          </cell>
          <cell r="DH12">
            <v>1.93</v>
          </cell>
          <cell r="DI12">
            <v>1.78</v>
          </cell>
          <cell r="DJ12">
            <v>0.36</v>
          </cell>
          <cell r="DK12">
            <v>33.19</v>
          </cell>
          <cell r="DL12">
            <v>5.56</v>
          </cell>
          <cell r="DM12">
            <v>44.55</v>
          </cell>
          <cell r="DN12">
            <v>7.06</v>
          </cell>
          <cell r="DO12">
            <v>53.84</v>
          </cell>
          <cell r="DP12">
            <v>7.75</v>
          </cell>
          <cell r="DQ12">
            <v>65.150000000000006</v>
          </cell>
          <cell r="DR12">
            <v>8.59</v>
          </cell>
          <cell r="DS12">
            <v>8.18</v>
          </cell>
          <cell r="DT12">
            <v>1.72</v>
          </cell>
          <cell r="DU12">
            <v>9.5500000000000007</v>
          </cell>
        </row>
        <row r="13">
          <cell r="L13">
            <v>22.5</v>
          </cell>
          <cell r="M13">
            <v>1.03</v>
          </cell>
          <cell r="N13">
            <v>0.16</v>
          </cell>
          <cell r="O13">
            <v>2.38</v>
          </cell>
          <cell r="P13">
            <v>0.46</v>
          </cell>
          <cell r="Q13">
            <v>3.61</v>
          </cell>
          <cell r="R13">
            <v>0.66</v>
          </cell>
          <cell r="S13">
            <v>14.11</v>
          </cell>
          <cell r="T13">
            <v>3.47</v>
          </cell>
          <cell r="U13">
            <v>24.92</v>
          </cell>
          <cell r="V13">
            <v>7.92</v>
          </cell>
          <cell r="W13">
            <v>14.38</v>
          </cell>
          <cell r="X13">
            <v>2.93</v>
          </cell>
          <cell r="Y13">
            <v>5.21</v>
          </cell>
          <cell r="Z13">
            <v>1.7</v>
          </cell>
          <cell r="AA13">
            <v>24.78</v>
          </cell>
          <cell r="AB13">
            <v>3.34</v>
          </cell>
          <cell r="AC13">
            <v>29.48</v>
          </cell>
          <cell r="AD13">
            <v>5.04</v>
          </cell>
          <cell r="AE13">
            <v>42.37</v>
          </cell>
          <cell r="AF13">
            <v>4.66</v>
          </cell>
          <cell r="AG13">
            <v>48.94</v>
          </cell>
          <cell r="AH13">
            <v>19</v>
          </cell>
          <cell r="AI13">
            <v>20.09</v>
          </cell>
          <cell r="AJ13">
            <v>6.36</v>
          </cell>
          <cell r="AK13">
            <v>5.98</v>
          </cell>
          <cell r="AL13">
            <v>1.01</v>
          </cell>
          <cell r="AM13">
            <v>29.9</v>
          </cell>
          <cell r="AN13">
            <v>9.5</v>
          </cell>
          <cell r="AO13">
            <v>11.24</v>
          </cell>
          <cell r="AP13">
            <v>1.91</v>
          </cell>
          <cell r="AQ13">
            <v>35.270000000000003</v>
          </cell>
          <cell r="AR13">
            <v>15.33</v>
          </cell>
          <cell r="AS13">
            <v>13.39</v>
          </cell>
          <cell r="AT13">
            <v>2.91</v>
          </cell>
          <cell r="AU13">
            <v>43.58</v>
          </cell>
          <cell r="AV13">
            <v>19.100000000000001</v>
          </cell>
          <cell r="AW13">
            <v>4.72</v>
          </cell>
          <cell r="AX13">
            <v>1.3</v>
          </cell>
          <cell r="AY13">
            <v>6.31</v>
          </cell>
          <cell r="AZ13">
            <v>1.51</v>
          </cell>
          <cell r="BA13">
            <v>7.68</v>
          </cell>
          <cell r="BB13">
            <v>2.4700000000000002</v>
          </cell>
          <cell r="BC13">
            <v>6.97</v>
          </cell>
          <cell r="BD13">
            <v>1.25</v>
          </cell>
          <cell r="BE13">
            <v>4.9400000000000004</v>
          </cell>
          <cell r="BF13">
            <v>0.54</v>
          </cell>
          <cell r="BG13">
            <v>4.47</v>
          </cell>
          <cell r="BH13">
            <v>0.77</v>
          </cell>
          <cell r="BI13">
            <v>10.72</v>
          </cell>
          <cell r="BJ13">
            <v>1.94</v>
          </cell>
          <cell r="BK13">
            <v>14.81</v>
          </cell>
          <cell r="BL13">
            <v>2.68</v>
          </cell>
          <cell r="BM13">
            <v>22.02</v>
          </cell>
          <cell r="BN13">
            <v>3.99</v>
          </cell>
          <cell r="BO13">
            <v>32.25</v>
          </cell>
          <cell r="BP13">
            <v>5.84</v>
          </cell>
          <cell r="BQ13">
            <v>1.32</v>
          </cell>
          <cell r="BR13">
            <v>0.49</v>
          </cell>
          <cell r="BS13">
            <v>1.83</v>
          </cell>
          <cell r="BT13">
            <v>0.68</v>
          </cell>
          <cell r="BU13">
            <v>2.71</v>
          </cell>
          <cell r="BV13">
            <v>1</v>
          </cell>
          <cell r="BW13">
            <v>3.98</v>
          </cell>
          <cell r="BX13">
            <v>1.47</v>
          </cell>
          <cell r="BY13">
            <v>277.89999999999998</v>
          </cell>
          <cell r="BZ13">
            <v>16.77</v>
          </cell>
          <cell r="CA13">
            <v>9.44</v>
          </cell>
          <cell r="CB13">
            <v>2.56</v>
          </cell>
          <cell r="CC13">
            <v>7.4</v>
          </cell>
          <cell r="CD13">
            <v>2.1</v>
          </cell>
          <cell r="CE13">
            <v>127.08</v>
          </cell>
          <cell r="CF13">
            <v>34.07</v>
          </cell>
          <cell r="CG13">
            <v>9.85</v>
          </cell>
          <cell r="CH13">
            <v>1.52</v>
          </cell>
          <cell r="CI13">
            <v>7.81</v>
          </cell>
          <cell r="CJ13">
            <v>3.69</v>
          </cell>
          <cell r="CK13">
            <v>7.23</v>
          </cell>
          <cell r="CL13">
            <v>1.92</v>
          </cell>
          <cell r="CM13">
            <v>17.36</v>
          </cell>
          <cell r="CN13">
            <v>2.4500000000000002</v>
          </cell>
          <cell r="CO13">
            <v>8.84</v>
          </cell>
          <cell r="CP13">
            <v>2.34</v>
          </cell>
          <cell r="CQ13">
            <v>5.62</v>
          </cell>
          <cell r="CR13">
            <v>0.71</v>
          </cell>
          <cell r="CS13">
            <v>29.51</v>
          </cell>
          <cell r="CT13">
            <v>11.03</v>
          </cell>
          <cell r="CU13">
            <v>28.09</v>
          </cell>
          <cell r="CV13">
            <v>3.53</v>
          </cell>
          <cell r="CW13">
            <v>32.46</v>
          </cell>
          <cell r="CX13">
            <v>11.03</v>
          </cell>
          <cell r="CY13">
            <v>28.09</v>
          </cell>
          <cell r="CZ13">
            <v>3.53</v>
          </cell>
          <cell r="DA13">
            <v>22.43</v>
          </cell>
          <cell r="DB13">
            <v>10.73</v>
          </cell>
          <cell r="DC13">
            <v>28.04</v>
          </cell>
          <cell r="DD13">
            <v>13.41</v>
          </cell>
          <cell r="DE13">
            <v>37.39</v>
          </cell>
          <cell r="DF13">
            <v>17.88</v>
          </cell>
          <cell r="DG13">
            <v>8.01</v>
          </cell>
          <cell r="DH13">
            <v>1.93</v>
          </cell>
          <cell r="DI13">
            <v>1.82</v>
          </cell>
          <cell r="DJ13">
            <v>0.36</v>
          </cell>
          <cell r="DK13">
            <v>33.520000000000003</v>
          </cell>
          <cell r="DL13">
            <v>5.56</v>
          </cell>
          <cell r="DM13">
            <v>44.93</v>
          </cell>
          <cell r="DN13">
            <v>7.06</v>
          </cell>
          <cell r="DO13">
            <v>54.3</v>
          </cell>
          <cell r="DP13">
            <v>7.75</v>
          </cell>
          <cell r="DQ13">
            <v>65.72</v>
          </cell>
          <cell r="DR13">
            <v>8.59</v>
          </cell>
          <cell r="DS13">
            <v>8.3800000000000008</v>
          </cell>
          <cell r="DT13">
            <v>1.72</v>
          </cell>
          <cell r="DU13">
            <v>9.77</v>
          </cell>
        </row>
        <row r="14">
          <cell r="L14">
            <v>23.5</v>
          </cell>
          <cell r="M14">
            <v>1.05</v>
          </cell>
          <cell r="N14">
            <v>0.16</v>
          </cell>
          <cell r="O14">
            <v>2.41</v>
          </cell>
          <cell r="P14">
            <v>0.46</v>
          </cell>
          <cell r="Q14">
            <v>3.66</v>
          </cell>
          <cell r="R14">
            <v>0.66</v>
          </cell>
          <cell r="S14">
            <v>14.33</v>
          </cell>
          <cell r="T14">
            <v>3.47</v>
          </cell>
          <cell r="U14">
            <v>25.37</v>
          </cell>
          <cell r="V14">
            <v>7.92</v>
          </cell>
          <cell r="W14">
            <v>14.56</v>
          </cell>
          <cell r="X14">
            <v>2.93</v>
          </cell>
          <cell r="Y14">
            <v>5.29</v>
          </cell>
          <cell r="Z14">
            <v>1.7</v>
          </cell>
          <cell r="AA14">
            <v>25.16</v>
          </cell>
          <cell r="AB14">
            <v>3.34</v>
          </cell>
          <cell r="AC14">
            <v>29.93</v>
          </cell>
          <cell r="AD14">
            <v>5.04</v>
          </cell>
          <cell r="AE14">
            <v>42.8</v>
          </cell>
          <cell r="AF14">
            <v>4.66</v>
          </cell>
          <cell r="AG14">
            <v>49.89</v>
          </cell>
          <cell r="AH14">
            <v>19</v>
          </cell>
          <cell r="AI14">
            <v>20.39</v>
          </cell>
          <cell r="AJ14">
            <v>6.36</v>
          </cell>
          <cell r="AK14">
            <v>6.06</v>
          </cell>
          <cell r="AL14">
            <v>1.01</v>
          </cell>
          <cell r="AM14">
            <v>30.4</v>
          </cell>
          <cell r="AN14">
            <v>9.5</v>
          </cell>
          <cell r="AO14">
            <v>11.4</v>
          </cell>
          <cell r="AP14">
            <v>1.91</v>
          </cell>
          <cell r="AQ14">
            <v>35.9</v>
          </cell>
          <cell r="AR14">
            <v>15.33</v>
          </cell>
          <cell r="AS14">
            <v>13.54</v>
          </cell>
          <cell r="AT14">
            <v>2.91</v>
          </cell>
          <cell r="AU14">
            <v>44.36</v>
          </cell>
          <cell r="AV14">
            <v>19.100000000000001</v>
          </cell>
          <cell r="AW14">
            <v>4.79</v>
          </cell>
          <cell r="AX14">
            <v>1.3</v>
          </cell>
          <cell r="AY14">
            <v>6.41</v>
          </cell>
          <cell r="AZ14">
            <v>1.51</v>
          </cell>
          <cell r="BA14">
            <v>7.8</v>
          </cell>
          <cell r="BB14">
            <v>2.4700000000000002</v>
          </cell>
          <cell r="BC14">
            <v>7.07</v>
          </cell>
          <cell r="BD14">
            <v>1.25</v>
          </cell>
          <cell r="BE14">
            <v>5.07</v>
          </cell>
          <cell r="BF14">
            <v>0.54</v>
          </cell>
          <cell r="BG14">
            <v>4.59</v>
          </cell>
          <cell r="BH14">
            <v>0.77</v>
          </cell>
          <cell r="BI14">
            <v>10.98</v>
          </cell>
          <cell r="BJ14">
            <v>1.94</v>
          </cell>
          <cell r="BK14">
            <v>15.17</v>
          </cell>
          <cell r="BL14">
            <v>2.68</v>
          </cell>
          <cell r="BM14">
            <v>22.55</v>
          </cell>
          <cell r="BN14">
            <v>3.99</v>
          </cell>
          <cell r="BO14">
            <v>33.03</v>
          </cell>
          <cell r="BP14">
            <v>5.84</v>
          </cell>
          <cell r="BQ14">
            <v>1.34</v>
          </cell>
          <cell r="BR14">
            <v>0.49</v>
          </cell>
          <cell r="BS14">
            <v>1.85</v>
          </cell>
          <cell r="BT14">
            <v>0.68</v>
          </cell>
          <cell r="BU14">
            <v>2.75</v>
          </cell>
          <cell r="BV14">
            <v>1</v>
          </cell>
          <cell r="BW14">
            <v>4.03</v>
          </cell>
          <cell r="BX14">
            <v>1.47</v>
          </cell>
          <cell r="BY14">
            <v>288.69</v>
          </cell>
          <cell r="BZ14">
            <v>16.77</v>
          </cell>
          <cell r="CA14">
            <v>9.6</v>
          </cell>
          <cell r="CB14">
            <v>2.56</v>
          </cell>
          <cell r="CC14">
            <v>7.51</v>
          </cell>
          <cell r="CD14">
            <v>2.1</v>
          </cell>
          <cell r="CE14">
            <v>130.55000000000001</v>
          </cell>
          <cell r="CF14">
            <v>34.07</v>
          </cell>
          <cell r="CG14">
            <v>10.119999999999999</v>
          </cell>
          <cell r="CH14">
            <v>1.52</v>
          </cell>
          <cell r="CI14">
            <v>7.81</v>
          </cell>
          <cell r="CJ14">
            <v>3.69</v>
          </cell>
          <cell r="CK14">
            <v>7.28</v>
          </cell>
          <cell r="CL14">
            <v>1.92</v>
          </cell>
          <cell r="CM14">
            <v>17.61</v>
          </cell>
          <cell r="CN14">
            <v>2.4500000000000002</v>
          </cell>
          <cell r="CO14">
            <v>9.06</v>
          </cell>
          <cell r="CP14">
            <v>2.34</v>
          </cell>
          <cell r="CQ14">
            <v>5.75</v>
          </cell>
          <cell r="CR14">
            <v>0.71</v>
          </cell>
          <cell r="CS14">
            <v>29.91</v>
          </cell>
          <cell r="CT14">
            <v>11.03</v>
          </cell>
          <cell r="CU14">
            <v>28.76</v>
          </cell>
          <cell r="CV14">
            <v>3.53</v>
          </cell>
          <cell r="CW14">
            <v>32.9</v>
          </cell>
          <cell r="CX14">
            <v>11.03</v>
          </cell>
          <cell r="CY14">
            <v>28.76</v>
          </cell>
          <cell r="CZ14">
            <v>3.53</v>
          </cell>
          <cell r="DA14">
            <v>22.58</v>
          </cell>
          <cell r="DB14">
            <v>10.73</v>
          </cell>
          <cell r="DC14">
            <v>28.22</v>
          </cell>
          <cell r="DD14">
            <v>13.41</v>
          </cell>
          <cell r="DE14">
            <v>37.630000000000003</v>
          </cell>
          <cell r="DF14">
            <v>17.88</v>
          </cell>
          <cell r="DG14">
            <v>8.18</v>
          </cell>
          <cell r="DH14">
            <v>1.93</v>
          </cell>
          <cell r="DI14">
            <v>1.87</v>
          </cell>
          <cell r="DJ14">
            <v>0.36</v>
          </cell>
          <cell r="DK14">
            <v>33.840000000000003</v>
          </cell>
          <cell r="DL14">
            <v>5.56</v>
          </cell>
          <cell r="DM14">
            <v>45.31</v>
          </cell>
          <cell r="DN14">
            <v>7.06</v>
          </cell>
          <cell r="DO14">
            <v>54.77</v>
          </cell>
          <cell r="DP14">
            <v>7.75</v>
          </cell>
          <cell r="DQ14">
            <v>66.28</v>
          </cell>
          <cell r="DR14">
            <v>8.59</v>
          </cell>
          <cell r="DS14">
            <v>8.57</v>
          </cell>
          <cell r="DT14">
            <v>1.72</v>
          </cell>
          <cell r="DU14">
            <v>10</v>
          </cell>
        </row>
        <row r="15">
          <cell r="L15">
            <v>24.5</v>
          </cell>
          <cell r="M15">
            <v>1.06</v>
          </cell>
          <cell r="N15">
            <v>0.16</v>
          </cell>
          <cell r="O15">
            <v>2.44</v>
          </cell>
          <cell r="P15">
            <v>0.46</v>
          </cell>
          <cell r="Q15">
            <v>3.71</v>
          </cell>
          <cell r="R15">
            <v>0.66</v>
          </cell>
          <cell r="S15">
            <v>14.55</v>
          </cell>
          <cell r="T15">
            <v>3.47</v>
          </cell>
          <cell r="U15">
            <v>25.82</v>
          </cell>
          <cell r="V15">
            <v>7.92</v>
          </cell>
          <cell r="W15">
            <v>14.75</v>
          </cell>
          <cell r="X15">
            <v>2.93</v>
          </cell>
          <cell r="Y15">
            <v>5.37</v>
          </cell>
          <cell r="Z15">
            <v>1.7</v>
          </cell>
          <cell r="AA15">
            <v>25.55</v>
          </cell>
          <cell r="AB15">
            <v>3.34</v>
          </cell>
          <cell r="AC15">
            <v>30.38</v>
          </cell>
          <cell r="AD15">
            <v>5.04</v>
          </cell>
          <cell r="AE15">
            <v>43.24</v>
          </cell>
          <cell r="AF15">
            <v>4.66</v>
          </cell>
          <cell r="AG15">
            <v>50.84</v>
          </cell>
          <cell r="AH15">
            <v>19</v>
          </cell>
          <cell r="AI15">
            <v>20.7</v>
          </cell>
          <cell r="AJ15">
            <v>6.36</v>
          </cell>
          <cell r="AK15">
            <v>6.14</v>
          </cell>
          <cell r="AL15">
            <v>1.01</v>
          </cell>
          <cell r="AM15">
            <v>30.98</v>
          </cell>
          <cell r="AN15">
            <v>9.5</v>
          </cell>
          <cell r="AO15">
            <v>11.56</v>
          </cell>
          <cell r="AP15">
            <v>1.91</v>
          </cell>
          <cell r="AQ15">
            <v>36.520000000000003</v>
          </cell>
          <cell r="AR15">
            <v>15.33</v>
          </cell>
          <cell r="AS15">
            <v>13.68</v>
          </cell>
          <cell r="AT15">
            <v>2.91</v>
          </cell>
          <cell r="AU15">
            <v>45.14</v>
          </cell>
          <cell r="AV15">
            <v>19.100000000000001</v>
          </cell>
          <cell r="AW15">
            <v>4.87</v>
          </cell>
          <cell r="AX15">
            <v>1.3</v>
          </cell>
          <cell r="AY15">
            <v>6.51</v>
          </cell>
          <cell r="AZ15">
            <v>1.51</v>
          </cell>
          <cell r="BA15">
            <v>7.93</v>
          </cell>
          <cell r="BB15">
            <v>2.4700000000000002</v>
          </cell>
          <cell r="BC15">
            <v>7.17</v>
          </cell>
          <cell r="BD15">
            <v>1.25</v>
          </cell>
          <cell r="BE15">
            <v>5.2</v>
          </cell>
          <cell r="BF15">
            <v>0.54</v>
          </cell>
          <cell r="BG15">
            <v>4.71</v>
          </cell>
          <cell r="BH15">
            <v>0.77</v>
          </cell>
          <cell r="BI15">
            <v>11.24</v>
          </cell>
          <cell r="BJ15">
            <v>1.94</v>
          </cell>
          <cell r="BK15">
            <v>15.53</v>
          </cell>
          <cell r="BL15">
            <v>2.68</v>
          </cell>
          <cell r="BM15">
            <v>23.09</v>
          </cell>
          <cell r="BN15">
            <v>3.99</v>
          </cell>
          <cell r="BO15">
            <v>33.81</v>
          </cell>
          <cell r="BP15">
            <v>5.84</v>
          </cell>
          <cell r="BQ15">
            <v>1.36</v>
          </cell>
          <cell r="BR15">
            <v>0.49</v>
          </cell>
          <cell r="BS15">
            <v>1.88</v>
          </cell>
          <cell r="BT15">
            <v>0.68</v>
          </cell>
          <cell r="BU15">
            <v>2.79</v>
          </cell>
          <cell r="BV15">
            <v>1</v>
          </cell>
          <cell r="BW15">
            <v>4.08</v>
          </cell>
          <cell r="BX15">
            <v>1.47</v>
          </cell>
          <cell r="BY15">
            <v>299.47000000000003</v>
          </cell>
          <cell r="BZ15">
            <v>16.77</v>
          </cell>
          <cell r="CA15">
            <v>9.77</v>
          </cell>
          <cell r="CB15">
            <v>2.56</v>
          </cell>
          <cell r="CC15">
            <v>7.62</v>
          </cell>
          <cell r="CD15">
            <v>2.1</v>
          </cell>
          <cell r="CE15">
            <v>134.01</v>
          </cell>
          <cell r="CF15">
            <v>34.07</v>
          </cell>
          <cell r="CG15">
            <v>10.4</v>
          </cell>
          <cell r="CH15">
            <v>1.52</v>
          </cell>
          <cell r="CI15">
            <v>7.81</v>
          </cell>
          <cell r="CJ15">
            <v>3.69</v>
          </cell>
          <cell r="CK15">
            <v>7.33</v>
          </cell>
          <cell r="CL15">
            <v>1.92</v>
          </cell>
          <cell r="CM15">
            <v>17.850000000000001</v>
          </cell>
          <cell r="CN15">
            <v>2.4500000000000002</v>
          </cell>
          <cell r="CO15">
            <v>9.2799999999999994</v>
          </cell>
          <cell r="CP15">
            <v>2.34</v>
          </cell>
          <cell r="CQ15">
            <v>5.89</v>
          </cell>
          <cell r="CR15">
            <v>0.71</v>
          </cell>
          <cell r="CS15">
            <v>30.31</v>
          </cell>
          <cell r="CT15">
            <v>11.03</v>
          </cell>
          <cell r="CU15">
            <v>29.44</v>
          </cell>
          <cell r="CV15">
            <v>3.53</v>
          </cell>
          <cell r="CW15">
            <v>33.340000000000003</v>
          </cell>
          <cell r="CX15">
            <v>11.03</v>
          </cell>
          <cell r="CY15">
            <v>29.44</v>
          </cell>
          <cell r="CZ15">
            <v>3.53</v>
          </cell>
          <cell r="DA15">
            <v>22.72</v>
          </cell>
          <cell r="DB15">
            <v>10.73</v>
          </cell>
          <cell r="DC15">
            <v>28.4</v>
          </cell>
          <cell r="DD15">
            <v>13.41</v>
          </cell>
          <cell r="DE15">
            <v>37.86</v>
          </cell>
          <cell r="DF15">
            <v>17.88</v>
          </cell>
          <cell r="DG15">
            <v>8.35</v>
          </cell>
          <cell r="DH15">
            <v>1.93</v>
          </cell>
          <cell r="DI15">
            <v>1.91</v>
          </cell>
          <cell r="DJ15">
            <v>0.36</v>
          </cell>
          <cell r="DK15">
            <v>34.159999999999997</v>
          </cell>
          <cell r="DL15">
            <v>5.56</v>
          </cell>
          <cell r="DM15">
            <v>45.69</v>
          </cell>
          <cell r="DN15">
            <v>7.06</v>
          </cell>
          <cell r="DO15">
            <v>55.24</v>
          </cell>
          <cell r="DP15">
            <v>7.75</v>
          </cell>
          <cell r="DQ15">
            <v>66.849999999999994</v>
          </cell>
          <cell r="DR15">
            <v>8.59</v>
          </cell>
          <cell r="DS15">
            <v>8.77</v>
          </cell>
          <cell r="DT15">
            <v>1.72</v>
          </cell>
          <cell r="DU15">
            <v>10.23</v>
          </cell>
        </row>
        <row r="16">
          <cell r="L16">
            <v>25.5</v>
          </cell>
          <cell r="M16">
            <v>1.07</v>
          </cell>
          <cell r="N16">
            <v>0.16</v>
          </cell>
          <cell r="O16">
            <v>2.4700000000000002</v>
          </cell>
          <cell r="P16">
            <v>0.46</v>
          </cell>
          <cell r="Q16">
            <v>3.77</v>
          </cell>
          <cell r="R16">
            <v>0.66</v>
          </cell>
          <cell r="S16">
            <v>14.76</v>
          </cell>
          <cell r="T16">
            <v>3.47</v>
          </cell>
          <cell r="U16">
            <v>26.27</v>
          </cell>
          <cell r="V16">
            <v>7.92</v>
          </cell>
          <cell r="W16">
            <v>14.94</v>
          </cell>
          <cell r="X16">
            <v>2.93</v>
          </cell>
          <cell r="Y16">
            <v>5.45</v>
          </cell>
          <cell r="Z16">
            <v>1.7</v>
          </cell>
          <cell r="AA16">
            <v>25.94</v>
          </cell>
          <cell r="AB16">
            <v>3.34</v>
          </cell>
          <cell r="AC16">
            <v>30.83</v>
          </cell>
          <cell r="AD16">
            <v>5.04</v>
          </cell>
          <cell r="AE16">
            <v>43.67</v>
          </cell>
          <cell r="AF16">
            <v>4.66</v>
          </cell>
          <cell r="AG16">
            <v>51.79</v>
          </cell>
          <cell r="AH16">
            <v>19</v>
          </cell>
          <cell r="AI16">
            <v>21</v>
          </cell>
          <cell r="AJ16">
            <v>6.36</v>
          </cell>
          <cell r="AK16">
            <v>6.22</v>
          </cell>
          <cell r="AL16">
            <v>1.01</v>
          </cell>
          <cell r="AM16">
            <v>31.52</v>
          </cell>
          <cell r="AN16">
            <v>9.5</v>
          </cell>
          <cell r="AO16">
            <v>11.71</v>
          </cell>
          <cell r="AP16">
            <v>1.91</v>
          </cell>
          <cell r="AQ16">
            <v>37.14</v>
          </cell>
          <cell r="AR16">
            <v>15.33</v>
          </cell>
          <cell r="AS16">
            <v>13.82</v>
          </cell>
          <cell r="AT16">
            <v>2.91</v>
          </cell>
          <cell r="AU16">
            <v>45.91</v>
          </cell>
          <cell r="AV16">
            <v>19.100000000000001</v>
          </cell>
          <cell r="AW16">
            <v>4.9400000000000004</v>
          </cell>
          <cell r="AX16">
            <v>1.3</v>
          </cell>
          <cell r="AY16">
            <v>6.61</v>
          </cell>
          <cell r="AZ16">
            <v>1.51</v>
          </cell>
          <cell r="BA16">
            <v>8.0500000000000007</v>
          </cell>
          <cell r="BB16">
            <v>2.4700000000000002</v>
          </cell>
          <cell r="BC16">
            <v>7.27</v>
          </cell>
          <cell r="BD16">
            <v>1.25</v>
          </cell>
          <cell r="BE16">
            <v>5.33</v>
          </cell>
          <cell r="BF16">
            <v>0.54</v>
          </cell>
          <cell r="BG16">
            <v>4.83</v>
          </cell>
          <cell r="BH16">
            <v>0.77</v>
          </cell>
          <cell r="BI16">
            <v>11.5</v>
          </cell>
          <cell r="BJ16">
            <v>1.94</v>
          </cell>
          <cell r="BK16">
            <v>15.89</v>
          </cell>
          <cell r="BL16">
            <v>2.68</v>
          </cell>
          <cell r="BM16">
            <v>23.62</v>
          </cell>
          <cell r="BN16">
            <v>3.99</v>
          </cell>
          <cell r="BO16">
            <v>34.590000000000003</v>
          </cell>
          <cell r="BP16">
            <v>5.84</v>
          </cell>
          <cell r="BQ16">
            <v>1.38</v>
          </cell>
          <cell r="BR16">
            <v>0.49</v>
          </cell>
          <cell r="BS16">
            <v>1.9</v>
          </cell>
          <cell r="BT16">
            <v>0.68</v>
          </cell>
          <cell r="BU16">
            <v>2.83</v>
          </cell>
          <cell r="BV16">
            <v>1</v>
          </cell>
          <cell r="BW16">
            <v>4.1399999999999997</v>
          </cell>
          <cell r="BX16">
            <v>1.47</v>
          </cell>
          <cell r="BY16">
            <v>310.25</v>
          </cell>
          <cell r="BZ16">
            <v>16.77</v>
          </cell>
          <cell r="CA16">
            <v>9.93</v>
          </cell>
          <cell r="CB16">
            <v>2.56</v>
          </cell>
          <cell r="CC16">
            <v>7.73</v>
          </cell>
          <cell r="CD16">
            <v>2.1</v>
          </cell>
          <cell r="CE16">
            <v>137.47999999999999</v>
          </cell>
          <cell r="CF16">
            <v>34.07</v>
          </cell>
          <cell r="CG16">
            <v>10.67</v>
          </cell>
          <cell r="CH16">
            <v>1.52</v>
          </cell>
          <cell r="CI16">
            <v>7.81</v>
          </cell>
          <cell r="CJ16">
            <v>3.69</v>
          </cell>
          <cell r="CK16">
            <v>7.38</v>
          </cell>
          <cell r="CL16">
            <v>1.92</v>
          </cell>
          <cell r="CM16">
            <v>18.09</v>
          </cell>
          <cell r="CN16">
            <v>2.4500000000000002</v>
          </cell>
          <cell r="CO16">
            <v>9.51</v>
          </cell>
          <cell r="CP16">
            <v>2.34</v>
          </cell>
          <cell r="CQ16">
            <v>6.02</v>
          </cell>
          <cell r="CR16">
            <v>0.71</v>
          </cell>
          <cell r="CS16">
            <v>30.71</v>
          </cell>
          <cell r="CT16">
            <v>11.03</v>
          </cell>
          <cell r="CU16">
            <v>30.12</v>
          </cell>
          <cell r="CV16">
            <v>3.53</v>
          </cell>
          <cell r="CW16">
            <v>33.79</v>
          </cell>
          <cell r="CX16">
            <v>11.03</v>
          </cell>
          <cell r="CY16">
            <v>30.12</v>
          </cell>
          <cell r="CZ16">
            <v>3.53</v>
          </cell>
          <cell r="DA16">
            <v>22.86</v>
          </cell>
          <cell r="DB16">
            <v>10.73</v>
          </cell>
          <cell r="DC16">
            <v>28.58</v>
          </cell>
          <cell r="DD16">
            <v>13.41</v>
          </cell>
          <cell r="DE16">
            <v>38.1</v>
          </cell>
          <cell r="DF16">
            <v>17.88</v>
          </cell>
          <cell r="DG16">
            <v>8.52</v>
          </cell>
          <cell r="DH16">
            <v>1.93</v>
          </cell>
          <cell r="DI16">
            <v>1.95</v>
          </cell>
          <cell r="DJ16">
            <v>0.36</v>
          </cell>
          <cell r="DK16">
            <v>34.49</v>
          </cell>
          <cell r="DL16">
            <v>5.56</v>
          </cell>
          <cell r="DM16">
            <v>46.08</v>
          </cell>
          <cell r="DN16">
            <v>7.06</v>
          </cell>
          <cell r="DO16">
            <v>55.7</v>
          </cell>
          <cell r="DP16">
            <v>7.75</v>
          </cell>
          <cell r="DQ16">
            <v>67.42</v>
          </cell>
          <cell r="DR16">
            <v>8.59</v>
          </cell>
          <cell r="DS16">
            <v>8.9600000000000009</v>
          </cell>
          <cell r="DT16">
            <v>1.72</v>
          </cell>
          <cell r="DU16">
            <v>10.45</v>
          </cell>
        </row>
        <row r="17">
          <cell r="L17">
            <v>26.5</v>
          </cell>
          <cell r="M17">
            <v>1.0900000000000001</v>
          </cell>
          <cell r="N17">
            <v>0.16</v>
          </cell>
          <cell r="O17">
            <v>2.5099999999999998</v>
          </cell>
          <cell r="P17">
            <v>0.46</v>
          </cell>
          <cell r="Q17">
            <v>3.82</v>
          </cell>
          <cell r="R17">
            <v>0.66</v>
          </cell>
          <cell r="S17">
            <v>14.98</v>
          </cell>
          <cell r="T17">
            <v>3.47</v>
          </cell>
          <cell r="U17">
            <v>26.72</v>
          </cell>
          <cell r="V17">
            <v>7.92</v>
          </cell>
          <cell r="W17">
            <v>15.13</v>
          </cell>
          <cell r="X17">
            <v>2.93</v>
          </cell>
          <cell r="Y17">
            <v>5.53</v>
          </cell>
          <cell r="Z17">
            <v>1.7</v>
          </cell>
          <cell r="AA17">
            <v>26.32</v>
          </cell>
          <cell r="AB17">
            <v>3.34</v>
          </cell>
          <cell r="AC17">
            <v>31.28</v>
          </cell>
          <cell r="AD17">
            <v>5.04</v>
          </cell>
          <cell r="AE17">
            <v>44.1</v>
          </cell>
          <cell r="AF17">
            <v>4.66</v>
          </cell>
          <cell r="AG17">
            <v>52.73</v>
          </cell>
          <cell r="AH17">
            <v>19</v>
          </cell>
          <cell r="AI17">
            <v>21.3</v>
          </cell>
          <cell r="AJ17">
            <v>6.36</v>
          </cell>
          <cell r="AK17">
            <v>6.31</v>
          </cell>
          <cell r="AL17">
            <v>1.01</v>
          </cell>
          <cell r="AM17">
            <v>32.06</v>
          </cell>
          <cell r="AN17">
            <v>9.5</v>
          </cell>
          <cell r="AO17">
            <v>11.87</v>
          </cell>
          <cell r="AP17">
            <v>1.91</v>
          </cell>
          <cell r="AQ17">
            <v>37.770000000000003</v>
          </cell>
          <cell r="AR17">
            <v>15.33</v>
          </cell>
          <cell r="AS17">
            <v>13.96</v>
          </cell>
          <cell r="AT17">
            <v>2.91</v>
          </cell>
          <cell r="AU17">
            <v>46.69</v>
          </cell>
          <cell r="AV17">
            <v>19.100000000000001</v>
          </cell>
          <cell r="AW17">
            <v>5.0199999999999996</v>
          </cell>
          <cell r="AX17">
            <v>1.3</v>
          </cell>
          <cell r="AY17">
            <v>6.71</v>
          </cell>
          <cell r="AZ17">
            <v>1.51</v>
          </cell>
          <cell r="BA17">
            <v>8.17</v>
          </cell>
          <cell r="BB17">
            <v>2.4700000000000002</v>
          </cell>
          <cell r="BC17">
            <v>7.36</v>
          </cell>
          <cell r="BD17">
            <v>1.25</v>
          </cell>
          <cell r="BE17">
            <v>5.46</v>
          </cell>
          <cell r="BF17">
            <v>0.54</v>
          </cell>
          <cell r="BG17">
            <v>4.95</v>
          </cell>
          <cell r="BH17">
            <v>0.77</v>
          </cell>
          <cell r="BI17">
            <v>11.76</v>
          </cell>
          <cell r="BJ17">
            <v>1.94</v>
          </cell>
          <cell r="BK17">
            <v>16.239999999999998</v>
          </cell>
          <cell r="BL17">
            <v>2.68</v>
          </cell>
          <cell r="BM17">
            <v>24.15</v>
          </cell>
          <cell r="BN17">
            <v>3.99</v>
          </cell>
          <cell r="BO17">
            <v>35.380000000000003</v>
          </cell>
          <cell r="BP17">
            <v>5.84</v>
          </cell>
          <cell r="BQ17">
            <v>1.39</v>
          </cell>
          <cell r="BR17">
            <v>0.49</v>
          </cell>
          <cell r="BS17">
            <v>1.93</v>
          </cell>
          <cell r="BT17">
            <v>0.68</v>
          </cell>
          <cell r="BU17">
            <v>2.86</v>
          </cell>
          <cell r="BV17">
            <v>1</v>
          </cell>
          <cell r="BW17">
            <v>4.1900000000000004</v>
          </cell>
          <cell r="BX17">
            <v>1.47</v>
          </cell>
          <cell r="BY17">
            <v>321.04000000000002</v>
          </cell>
          <cell r="BZ17">
            <v>16.77</v>
          </cell>
          <cell r="CA17">
            <v>10.1</v>
          </cell>
          <cell r="CB17">
            <v>2.56</v>
          </cell>
          <cell r="CC17">
            <v>7.84</v>
          </cell>
          <cell r="CD17">
            <v>2.1</v>
          </cell>
          <cell r="CE17">
            <v>140.94</v>
          </cell>
          <cell r="CF17">
            <v>34.07</v>
          </cell>
          <cell r="CG17">
            <v>10.95</v>
          </cell>
          <cell r="CH17">
            <v>1.52</v>
          </cell>
          <cell r="CI17">
            <v>7.81</v>
          </cell>
          <cell r="CJ17">
            <v>3.69</v>
          </cell>
          <cell r="CK17">
            <v>7.43</v>
          </cell>
          <cell r="CL17">
            <v>1.92</v>
          </cell>
          <cell r="CM17">
            <v>18.34</v>
          </cell>
          <cell r="CN17">
            <v>2.4500000000000002</v>
          </cell>
          <cell r="CO17">
            <v>9.73</v>
          </cell>
          <cell r="CP17">
            <v>2.34</v>
          </cell>
          <cell r="CQ17">
            <v>6.16</v>
          </cell>
          <cell r="CR17">
            <v>0.71</v>
          </cell>
          <cell r="CS17">
            <v>31.12</v>
          </cell>
          <cell r="CT17">
            <v>11.03</v>
          </cell>
          <cell r="CU17">
            <v>30.79</v>
          </cell>
          <cell r="CV17">
            <v>3.53</v>
          </cell>
          <cell r="CW17">
            <v>34.229999999999997</v>
          </cell>
          <cell r="CX17">
            <v>11.03</v>
          </cell>
          <cell r="CY17">
            <v>30.79</v>
          </cell>
          <cell r="CZ17">
            <v>3.53</v>
          </cell>
          <cell r="DA17">
            <v>23</v>
          </cell>
          <cell r="DB17">
            <v>10.73</v>
          </cell>
          <cell r="DC17">
            <v>28.75</v>
          </cell>
          <cell r="DD17">
            <v>13.41</v>
          </cell>
          <cell r="DE17">
            <v>38.340000000000003</v>
          </cell>
          <cell r="DF17">
            <v>17.88</v>
          </cell>
          <cell r="DG17">
            <v>8.6999999999999993</v>
          </cell>
          <cell r="DH17">
            <v>1.93</v>
          </cell>
          <cell r="DI17">
            <v>2</v>
          </cell>
          <cell r="DJ17">
            <v>0.36</v>
          </cell>
          <cell r="DK17">
            <v>34.81</v>
          </cell>
          <cell r="DL17">
            <v>5.56</v>
          </cell>
          <cell r="DM17">
            <v>46.46</v>
          </cell>
          <cell r="DN17">
            <v>7.06</v>
          </cell>
          <cell r="DO17">
            <v>56.17</v>
          </cell>
          <cell r="DP17">
            <v>7.75</v>
          </cell>
          <cell r="DQ17">
            <v>67.989999999999995</v>
          </cell>
          <cell r="DR17">
            <v>8.59</v>
          </cell>
          <cell r="DS17">
            <v>9.15</v>
          </cell>
          <cell r="DT17">
            <v>1.72</v>
          </cell>
          <cell r="DU17">
            <v>10.68</v>
          </cell>
        </row>
        <row r="18">
          <cell r="L18">
            <v>27.5</v>
          </cell>
          <cell r="M18">
            <v>1.1000000000000001</v>
          </cell>
          <cell r="N18">
            <v>0.16</v>
          </cell>
          <cell r="O18">
            <v>2.54</v>
          </cell>
          <cell r="P18">
            <v>0.46</v>
          </cell>
          <cell r="Q18">
            <v>3.87</v>
          </cell>
          <cell r="R18">
            <v>0.66</v>
          </cell>
          <cell r="S18">
            <v>15.19</v>
          </cell>
          <cell r="T18">
            <v>3.47</v>
          </cell>
          <cell r="U18">
            <v>27.17</v>
          </cell>
          <cell r="V18">
            <v>7.92</v>
          </cell>
          <cell r="W18">
            <v>15.32</v>
          </cell>
          <cell r="X18">
            <v>2.93</v>
          </cell>
          <cell r="Y18">
            <v>5.61</v>
          </cell>
          <cell r="Z18">
            <v>1.7</v>
          </cell>
          <cell r="AA18">
            <v>26.71</v>
          </cell>
          <cell r="AB18">
            <v>3.34</v>
          </cell>
          <cell r="AC18">
            <v>31.72</v>
          </cell>
          <cell r="AD18">
            <v>5.04</v>
          </cell>
          <cell r="AE18">
            <v>44.53</v>
          </cell>
          <cell r="AF18">
            <v>4.66</v>
          </cell>
          <cell r="AG18">
            <v>53.68</v>
          </cell>
          <cell r="AH18">
            <v>19</v>
          </cell>
          <cell r="AI18">
            <v>21.61</v>
          </cell>
          <cell r="AJ18">
            <v>6.36</v>
          </cell>
          <cell r="AK18">
            <v>6.39</v>
          </cell>
          <cell r="AL18">
            <v>1.01</v>
          </cell>
          <cell r="AM18">
            <v>32.6</v>
          </cell>
          <cell r="AN18">
            <v>9.5</v>
          </cell>
          <cell r="AO18">
            <v>12.02</v>
          </cell>
          <cell r="AP18">
            <v>1.91</v>
          </cell>
          <cell r="AQ18">
            <v>38.39</v>
          </cell>
          <cell r="AR18">
            <v>15.33</v>
          </cell>
          <cell r="AS18">
            <v>14.11</v>
          </cell>
          <cell r="AT18">
            <v>2.91</v>
          </cell>
          <cell r="AU18">
            <v>47.47</v>
          </cell>
          <cell r="AV18">
            <v>19.100000000000001</v>
          </cell>
          <cell r="AW18">
            <v>5.0999999999999996</v>
          </cell>
          <cell r="AX18">
            <v>1.3</v>
          </cell>
          <cell r="AY18">
            <v>6.81</v>
          </cell>
          <cell r="AZ18">
            <v>1.51</v>
          </cell>
          <cell r="BA18">
            <v>8.3000000000000007</v>
          </cell>
          <cell r="BB18">
            <v>2.4700000000000002</v>
          </cell>
          <cell r="BC18">
            <v>7.46</v>
          </cell>
          <cell r="BD18">
            <v>1.25</v>
          </cell>
          <cell r="BE18">
            <v>5.58</v>
          </cell>
          <cell r="BF18">
            <v>0.54</v>
          </cell>
          <cell r="BG18">
            <v>5.07</v>
          </cell>
          <cell r="BH18">
            <v>0.77</v>
          </cell>
          <cell r="BI18">
            <v>12.02</v>
          </cell>
          <cell r="BJ18">
            <v>1.94</v>
          </cell>
          <cell r="BK18">
            <v>16.600000000000001</v>
          </cell>
          <cell r="BL18">
            <v>2.68</v>
          </cell>
          <cell r="BM18">
            <v>24.69</v>
          </cell>
          <cell r="BN18">
            <v>3.99</v>
          </cell>
          <cell r="BO18">
            <v>36.159999999999997</v>
          </cell>
          <cell r="BP18">
            <v>5.84</v>
          </cell>
          <cell r="BQ18">
            <v>1.41</v>
          </cell>
          <cell r="BR18">
            <v>0.49</v>
          </cell>
          <cell r="BS18">
            <v>1.95</v>
          </cell>
          <cell r="BT18">
            <v>0.68</v>
          </cell>
          <cell r="BU18">
            <v>2.9</v>
          </cell>
          <cell r="BV18">
            <v>1</v>
          </cell>
          <cell r="BW18">
            <v>4.25</v>
          </cell>
          <cell r="BX18">
            <v>1.47</v>
          </cell>
          <cell r="BY18">
            <v>331.82</v>
          </cell>
          <cell r="BZ18">
            <v>16.77</v>
          </cell>
          <cell r="CA18">
            <v>10.26</v>
          </cell>
          <cell r="CB18">
            <v>2.56</v>
          </cell>
          <cell r="CC18">
            <v>7.95</v>
          </cell>
          <cell r="CD18">
            <v>2.1</v>
          </cell>
          <cell r="CE18">
            <v>144.41</v>
          </cell>
          <cell r="CF18">
            <v>34.07</v>
          </cell>
          <cell r="CG18">
            <v>11.23</v>
          </cell>
          <cell r="CH18">
            <v>1.52</v>
          </cell>
          <cell r="CI18">
            <v>7.81</v>
          </cell>
          <cell r="CJ18">
            <v>3.69</v>
          </cell>
          <cell r="CK18">
            <v>7.47</v>
          </cell>
          <cell r="CL18">
            <v>1.92</v>
          </cell>
          <cell r="CM18">
            <v>18.579999999999998</v>
          </cell>
          <cell r="CN18">
            <v>2.4500000000000002</v>
          </cell>
          <cell r="CO18">
            <v>9.9600000000000009</v>
          </cell>
          <cell r="CP18">
            <v>2.34</v>
          </cell>
          <cell r="CQ18">
            <v>6.29</v>
          </cell>
          <cell r="CR18">
            <v>0.71</v>
          </cell>
          <cell r="CS18">
            <v>31.52</v>
          </cell>
          <cell r="CT18">
            <v>11.03</v>
          </cell>
          <cell r="CU18">
            <v>31.47</v>
          </cell>
          <cell r="CV18">
            <v>3.53</v>
          </cell>
          <cell r="CW18">
            <v>34.67</v>
          </cell>
          <cell r="CX18">
            <v>11.03</v>
          </cell>
          <cell r="CY18">
            <v>31.47</v>
          </cell>
          <cell r="CZ18">
            <v>3.53</v>
          </cell>
          <cell r="DA18">
            <v>23.14</v>
          </cell>
          <cell r="DB18">
            <v>10.73</v>
          </cell>
          <cell r="DC18">
            <v>28.93</v>
          </cell>
          <cell r="DD18">
            <v>13.41</v>
          </cell>
          <cell r="DE18">
            <v>38.57</v>
          </cell>
          <cell r="DF18">
            <v>17.88</v>
          </cell>
          <cell r="DG18">
            <v>8.8699999999999992</v>
          </cell>
          <cell r="DH18">
            <v>1.93</v>
          </cell>
          <cell r="DI18">
            <v>2.04</v>
          </cell>
          <cell r="DJ18">
            <v>0.36</v>
          </cell>
          <cell r="DK18">
            <v>35.130000000000003</v>
          </cell>
          <cell r="DL18">
            <v>5.56</v>
          </cell>
          <cell r="DM18">
            <v>46.84</v>
          </cell>
          <cell r="DN18">
            <v>7.06</v>
          </cell>
          <cell r="DO18">
            <v>56.63</v>
          </cell>
          <cell r="DP18">
            <v>7.75</v>
          </cell>
          <cell r="DQ18">
            <v>68.56</v>
          </cell>
          <cell r="DR18">
            <v>8.59</v>
          </cell>
          <cell r="DS18">
            <v>9.35</v>
          </cell>
          <cell r="DT18">
            <v>1.72</v>
          </cell>
          <cell r="DU18">
            <v>10.9</v>
          </cell>
        </row>
        <row r="19">
          <cell r="L19">
            <v>28.5</v>
          </cell>
          <cell r="M19">
            <v>1.1100000000000001</v>
          </cell>
          <cell r="N19">
            <v>0.16</v>
          </cell>
          <cell r="O19">
            <v>2.57</v>
          </cell>
          <cell r="P19">
            <v>0.46</v>
          </cell>
          <cell r="Q19">
            <v>3.92</v>
          </cell>
          <cell r="R19">
            <v>0.66</v>
          </cell>
          <cell r="S19">
            <v>15.41</v>
          </cell>
          <cell r="T19">
            <v>3.47</v>
          </cell>
          <cell r="U19">
            <v>27.62</v>
          </cell>
          <cell r="V19">
            <v>7.92</v>
          </cell>
          <cell r="W19">
            <v>15.5</v>
          </cell>
          <cell r="X19">
            <v>2.93</v>
          </cell>
          <cell r="Y19">
            <v>5.69</v>
          </cell>
          <cell r="Z19">
            <v>1.7</v>
          </cell>
          <cell r="AA19">
            <v>27.1</v>
          </cell>
          <cell r="AB19">
            <v>3.34</v>
          </cell>
          <cell r="AC19">
            <v>32.17</v>
          </cell>
          <cell r="AD19">
            <v>5.04</v>
          </cell>
          <cell r="AE19">
            <v>44.97</v>
          </cell>
          <cell r="AF19">
            <v>4.66</v>
          </cell>
          <cell r="AG19">
            <v>54.63</v>
          </cell>
          <cell r="AH19">
            <v>19</v>
          </cell>
          <cell r="AI19">
            <v>21.91</v>
          </cell>
          <cell r="AJ19">
            <v>6.36</v>
          </cell>
          <cell r="AK19">
            <v>6.47</v>
          </cell>
          <cell r="AL19">
            <v>1.01</v>
          </cell>
          <cell r="AM19">
            <v>33.15</v>
          </cell>
          <cell r="AN19">
            <v>9.5</v>
          </cell>
          <cell r="AO19">
            <v>12.18</v>
          </cell>
          <cell r="AP19">
            <v>1.91</v>
          </cell>
          <cell r="AQ19">
            <v>39.01</v>
          </cell>
          <cell r="AR19">
            <v>15.33</v>
          </cell>
          <cell r="AS19">
            <v>14.25</v>
          </cell>
          <cell r="AT19">
            <v>2.91</v>
          </cell>
          <cell r="AU19">
            <v>48.25</v>
          </cell>
          <cell r="AV19">
            <v>19.100000000000001</v>
          </cell>
          <cell r="AW19">
            <v>5.17</v>
          </cell>
          <cell r="AX19">
            <v>1.3</v>
          </cell>
          <cell r="AY19">
            <v>6.91</v>
          </cell>
          <cell r="AZ19">
            <v>1.51</v>
          </cell>
          <cell r="BA19">
            <v>8.42</v>
          </cell>
          <cell r="BB19">
            <v>2.4700000000000002</v>
          </cell>
          <cell r="BC19">
            <v>7.56</v>
          </cell>
          <cell r="BD19">
            <v>1.25</v>
          </cell>
          <cell r="BE19">
            <v>5.71</v>
          </cell>
          <cell r="BF19">
            <v>0.54</v>
          </cell>
          <cell r="BG19">
            <v>5.19</v>
          </cell>
          <cell r="BH19">
            <v>0.77</v>
          </cell>
          <cell r="BI19">
            <v>12.28</v>
          </cell>
          <cell r="BJ19">
            <v>1.94</v>
          </cell>
          <cell r="BK19">
            <v>16.96</v>
          </cell>
          <cell r="BL19">
            <v>2.68</v>
          </cell>
          <cell r="BM19">
            <v>25.22</v>
          </cell>
          <cell r="BN19">
            <v>3.99</v>
          </cell>
          <cell r="BO19">
            <v>36.94</v>
          </cell>
          <cell r="BP19">
            <v>5.84</v>
          </cell>
          <cell r="BQ19">
            <v>1.43</v>
          </cell>
          <cell r="BR19">
            <v>0.49</v>
          </cell>
          <cell r="BS19">
            <v>1.98</v>
          </cell>
          <cell r="BT19">
            <v>0.68</v>
          </cell>
          <cell r="BU19">
            <v>2.94</v>
          </cell>
          <cell r="BV19">
            <v>1</v>
          </cell>
          <cell r="BW19">
            <v>4.3</v>
          </cell>
          <cell r="BX19">
            <v>1.47</v>
          </cell>
          <cell r="BY19">
            <v>342.6</v>
          </cell>
          <cell r="BZ19">
            <v>16.77</v>
          </cell>
          <cell r="CA19">
            <v>10.43</v>
          </cell>
          <cell r="CB19">
            <v>2.56</v>
          </cell>
          <cell r="CC19">
            <v>8.06</v>
          </cell>
          <cell r="CD19">
            <v>2.1</v>
          </cell>
          <cell r="CE19">
            <v>147.87</v>
          </cell>
          <cell r="CF19">
            <v>34.07</v>
          </cell>
          <cell r="CG19">
            <v>11.5</v>
          </cell>
          <cell r="CH19">
            <v>1.52</v>
          </cell>
          <cell r="CI19">
            <v>7.81</v>
          </cell>
          <cell r="CJ19">
            <v>3.69</v>
          </cell>
          <cell r="CK19">
            <v>7.52</v>
          </cell>
          <cell r="CL19">
            <v>1.92</v>
          </cell>
          <cell r="CM19">
            <v>18.829999999999998</v>
          </cell>
          <cell r="CN19">
            <v>2.4500000000000002</v>
          </cell>
          <cell r="CO19">
            <v>10.18</v>
          </cell>
          <cell r="CP19">
            <v>2.34</v>
          </cell>
          <cell r="CQ19">
            <v>6.43</v>
          </cell>
          <cell r="CR19">
            <v>0.71</v>
          </cell>
          <cell r="CS19">
            <v>31.92</v>
          </cell>
          <cell r="CT19">
            <v>11.03</v>
          </cell>
          <cell r="CU19">
            <v>32.15</v>
          </cell>
          <cell r="CV19">
            <v>3.53</v>
          </cell>
          <cell r="CW19">
            <v>35.11</v>
          </cell>
          <cell r="CX19">
            <v>11.03</v>
          </cell>
          <cell r="CY19">
            <v>32.15</v>
          </cell>
          <cell r="CZ19">
            <v>3.53</v>
          </cell>
          <cell r="DA19">
            <v>23.29</v>
          </cell>
          <cell r="DB19">
            <v>10.73</v>
          </cell>
          <cell r="DC19">
            <v>29.11</v>
          </cell>
          <cell r="DD19">
            <v>13.41</v>
          </cell>
          <cell r="DE19">
            <v>38.81</v>
          </cell>
          <cell r="DF19">
            <v>17.88</v>
          </cell>
          <cell r="DG19">
            <v>9.0399999999999991</v>
          </cell>
          <cell r="DH19">
            <v>1.93</v>
          </cell>
          <cell r="DI19">
            <v>2.09</v>
          </cell>
          <cell r="DJ19">
            <v>0.36</v>
          </cell>
          <cell r="DK19">
            <v>35.46</v>
          </cell>
          <cell r="DL19">
            <v>5.56</v>
          </cell>
          <cell r="DM19">
            <v>47.22</v>
          </cell>
          <cell r="DN19">
            <v>7.06</v>
          </cell>
          <cell r="DO19">
            <v>57.1</v>
          </cell>
          <cell r="DP19">
            <v>7.75</v>
          </cell>
          <cell r="DQ19">
            <v>69.13</v>
          </cell>
          <cell r="DR19">
            <v>8.59</v>
          </cell>
          <cell r="DS19">
            <v>9.5399999999999991</v>
          </cell>
          <cell r="DT19">
            <v>1.72</v>
          </cell>
          <cell r="DU19">
            <v>11.13</v>
          </cell>
        </row>
        <row r="20">
          <cell r="L20">
            <v>29.5</v>
          </cell>
          <cell r="M20">
            <v>1.1200000000000001</v>
          </cell>
          <cell r="N20">
            <v>0.16</v>
          </cell>
          <cell r="O20">
            <v>2.6</v>
          </cell>
          <cell r="P20">
            <v>0.46</v>
          </cell>
          <cell r="Q20">
            <v>3.97</v>
          </cell>
          <cell r="R20">
            <v>0.66</v>
          </cell>
          <cell r="S20">
            <v>15.62</v>
          </cell>
          <cell r="T20">
            <v>3.47</v>
          </cell>
          <cell r="U20">
            <v>28.07</v>
          </cell>
          <cell r="V20">
            <v>7.92</v>
          </cell>
          <cell r="W20">
            <v>15.69</v>
          </cell>
          <cell r="X20">
            <v>2.93</v>
          </cell>
          <cell r="Y20">
            <v>5.78</v>
          </cell>
          <cell r="Z20">
            <v>1.7</v>
          </cell>
          <cell r="AA20">
            <v>27.48</v>
          </cell>
          <cell r="AB20">
            <v>3.34</v>
          </cell>
          <cell r="AC20">
            <v>32.619999999999997</v>
          </cell>
          <cell r="AD20">
            <v>5.04</v>
          </cell>
          <cell r="AE20">
            <v>45.4</v>
          </cell>
          <cell r="AF20">
            <v>4.66</v>
          </cell>
          <cell r="AG20">
            <v>55.58</v>
          </cell>
          <cell r="AH20">
            <v>19</v>
          </cell>
          <cell r="AI20">
            <v>22.21</v>
          </cell>
          <cell r="AJ20">
            <v>6.36</v>
          </cell>
          <cell r="AK20">
            <v>6.56</v>
          </cell>
          <cell r="AL20">
            <v>1.01</v>
          </cell>
          <cell r="AM20">
            <v>33.69</v>
          </cell>
          <cell r="AN20">
            <v>9.5</v>
          </cell>
          <cell r="AO20">
            <v>12.34</v>
          </cell>
          <cell r="AP20">
            <v>1.91</v>
          </cell>
          <cell r="AQ20">
            <v>39.64</v>
          </cell>
          <cell r="AR20">
            <v>15.33</v>
          </cell>
          <cell r="AS20">
            <v>14.39</v>
          </cell>
          <cell r="AT20">
            <v>2.91</v>
          </cell>
          <cell r="AU20">
            <v>49.02</v>
          </cell>
          <cell r="AV20">
            <v>19.100000000000001</v>
          </cell>
          <cell r="AW20">
            <v>5.25</v>
          </cell>
          <cell r="AX20">
            <v>1.3</v>
          </cell>
          <cell r="AY20">
            <v>7.01</v>
          </cell>
          <cell r="AZ20">
            <v>1.51</v>
          </cell>
          <cell r="BA20">
            <v>8.5399999999999991</v>
          </cell>
          <cell r="BB20">
            <v>2.4700000000000002</v>
          </cell>
          <cell r="BC20">
            <v>7.66</v>
          </cell>
          <cell r="BD20">
            <v>1.25</v>
          </cell>
          <cell r="BE20">
            <v>5.84</v>
          </cell>
          <cell r="BF20">
            <v>0.54</v>
          </cell>
          <cell r="BG20">
            <v>5.31</v>
          </cell>
          <cell r="BH20">
            <v>0.77</v>
          </cell>
          <cell r="BI20">
            <v>12.54</v>
          </cell>
          <cell r="BJ20">
            <v>1.94</v>
          </cell>
          <cell r="BK20">
            <v>17.32</v>
          </cell>
          <cell r="BL20">
            <v>2.68</v>
          </cell>
          <cell r="BM20">
            <v>25.76</v>
          </cell>
          <cell r="BN20">
            <v>3.99</v>
          </cell>
          <cell r="BO20">
            <v>37.72</v>
          </cell>
          <cell r="BP20">
            <v>5.84</v>
          </cell>
          <cell r="BQ20">
            <v>1.45</v>
          </cell>
          <cell r="BR20">
            <v>0.49</v>
          </cell>
          <cell r="BS20">
            <v>2</v>
          </cell>
          <cell r="BT20">
            <v>0.68</v>
          </cell>
          <cell r="BU20">
            <v>2.97</v>
          </cell>
          <cell r="BV20">
            <v>1</v>
          </cell>
          <cell r="BW20">
            <v>4.3600000000000003</v>
          </cell>
          <cell r="BX20">
            <v>1.47</v>
          </cell>
          <cell r="BY20">
            <v>353.39</v>
          </cell>
          <cell r="BZ20">
            <v>16.77</v>
          </cell>
          <cell r="CA20">
            <v>10.59</v>
          </cell>
          <cell r="CB20">
            <v>2.56</v>
          </cell>
          <cell r="CC20">
            <v>8.17</v>
          </cell>
          <cell r="CD20">
            <v>2.1</v>
          </cell>
          <cell r="CE20">
            <v>151.34</v>
          </cell>
          <cell r="CF20">
            <v>34.07</v>
          </cell>
          <cell r="CG20">
            <v>11.78</v>
          </cell>
          <cell r="CH20">
            <v>1.52</v>
          </cell>
          <cell r="CI20">
            <v>7.81</v>
          </cell>
          <cell r="CJ20">
            <v>3.69</v>
          </cell>
          <cell r="CK20">
            <v>7.57</v>
          </cell>
          <cell r="CL20">
            <v>1.92</v>
          </cell>
          <cell r="CM20">
            <v>19.07</v>
          </cell>
          <cell r="CN20">
            <v>2.4500000000000002</v>
          </cell>
          <cell r="CO20">
            <v>10.4</v>
          </cell>
          <cell r="CP20">
            <v>2.34</v>
          </cell>
          <cell r="CQ20">
            <v>6.56</v>
          </cell>
          <cell r="CR20">
            <v>0.71</v>
          </cell>
          <cell r="CS20">
            <v>32.32</v>
          </cell>
          <cell r="CT20">
            <v>11.03</v>
          </cell>
          <cell r="CU20">
            <v>32.82</v>
          </cell>
          <cell r="CV20">
            <v>3.53</v>
          </cell>
          <cell r="CW20">
            <v>35.56</v>
          </cell>
          <cell r="CX20">
            <v>11.03</v>
          </cell>
          <cell r="CY20">
            <v>32.82</v>
          </cell>
          <cell r="CZ20">
            <v>3.53</v>
          </cell>
          <cell r="DA20">
            <v>23.43</v>
          </cell>
          <cell r="DB20">
            <v>10.73</v>
          </cell>
          <cell r="DC20">
            <v>29.29</v>
          </cell>
          <cell r="DD20">
            <v>13.41</v>
          </cell>
          <cell r="DE20">
            <v>39.049999999999997</v>
          </cell>
          <cell r="DF20">
            <v>17.88</v>
          </cell>
          <cell r="DG20">
            <v>9.2200000000000006</v>
          </cell>
          <cell r="DH20">
            <v>1.93</v>
          </cell>
          <cell r="DI20">
            <v>2.13</v>
          </cell>
          <cell r="DJ20">
            <v>0.36</v>
          </cell>
          <cell r="DK20">
            <v>35.78</v>
          </cell>
          <cell r="DL20">
            <v>5.56</v>
          </cell>
          <cell r="DM20">
            <v>47.6</v>
          </cell>
          <cell r="DN20">
            <v>7.06</v>
          </cell>
          <cell r="DO20">
            <v>57.57</v>
          </cell>
          <cell r="DP20">
            <v>7.75</v>
          </cell>
          <cell r="DQ20">
            <v>69.69</v>
          </cell>
          <cell r="DR20">
            <v>8.59</v>
          </cell>
          <cell r="DS20">
            <v>9.73</v>
          </cell>
          <cell r="DT20">
            <v>1.72</v>
          </cell>
          <cell r="DU20">
            <v>11.36</v>
          </cell>
        </row>
        <row r="21">
          <cell r="L21">
            <v>30.5</v>
          </cell>
          <cell r="M21">
            <v>1.1399999999999999</v>
          </cell>
          <cell r="N21">
            <v>0.16</v>
          </cell>
          <cell r="O21">
            <v>2.64</v>
          </cell>
          <cell r="P21">
            <v>0.46</v>
          </cell>
          <cell r="Q21">
            <v>4.03</v>
          </cell>
          <cell r="R21">
            <v>0.66</v>
          </cell>
          <cell r="S21">
            <v>15.84</v>
          </cell>
          <cell r="T21">
            <v>3.47</v>
          </cell>
          <cell r="U21">
            <v>28.52</v>
          </cell>
          <cell r="V21">
            <v>7.92</v>
          </cell>
          <cell r="W21">
            <v>15.88</v>
          </cell>
          <cell r="X21">
            <v>2.93</v>
          </cell>
          <cell r="Y21">
            <v>5.86</v>
          </cell>
          <cell r="Z21">
            <v>1.7</v>
          </cell>
          <cell r="AA21">
            <v>27.87</v>
          </cell>
          <cell r="AB21">
            <v>3.34</v>
          </cell>
          <cell r="AC21">
            <v>33.07</v>
          </cell>
          <cell r="AD21">
            <v>5.04</v>
          </cell>
          <cell r="AE21">
            <v>45.83</v>
          </cell>
          <cell r="AF21">
            <v>4.66</v>
          </cell>
          <cell r="AG21">
            <v>56.52</v>
          </cell>
          <cell r="AH21">
            <v>19</v>
          </cell>
          <cell r="AI21">
            <v>22.52</v>
          </cell>
          <cell r="AJ21">
            <v>6.36</v>
          </cell>
          <cell r="AK21">
            <v>6.64</v>
          </cell>
          <cell r="AL21">
            <v>1.01</v>
          </cell>
          <cell r="AM21">
            <v>34.229999999999997</v>
          </cell>
          <cell r="AN21">
            <v>9.5</v>
          </cell>
          <cell r="AO21">
            <v>12.49</v>
          </cell>
          <cell r="AP21">
            <v>1.91</v>
          </cell>
          <cell r="AQ21">
            <v>40.26</v>
          </cell>
          <cell r="AR21">
            <v>15.33</v>
          </cell>
          <cell r="AS21">
            <v>14.54</v>
          </cell>
          <cell r="AT21">
            <v>2.91</v>
          </cell>
          <cell r="AU21">
            <v>49.8</v>
          </cell>
          <cell r="AV21">
            <v>19.100000000000001</v>
          </cell>
          <cell r="AW21">
            <v>5.33</v>
          </cell>
          <cell r="AX21">
            <v>1.3</v>
          </cell>
          <cell r="AY21">
            <v>7.11</v>
          </cell>
          <cell r="AZ21">
            <v>1.51</v>
          </cell>
          <cell r="BA21">
            <v>8.67</v>
          </cell>
          <cell r="BB21">
            <v>2.4700000000000002</v>
          </cell>
          <cell r="BC21">
            <v>7.75</v>
          </cell>
          <cell r="BD21">
            <v>1.25</v>
          </cell>
          <cell r="BE21">
            <v>5.97</v>
          </cell>
          <cell r="BF21">
            <v>0.54</v>
          </cell>
          <cell r="BG21">
            <v>5.43</v>
          </cell>
          <cell r="BH21">
            <v>0.77</v>
          </cell>
          <cell r="BI21">
            <v>12.8</v>
          </cell>
          <cell r="BJ21">
            <v>1.94</v>
          </cell>
          <cell r="BK21">
            <v>17.68</v>
          </cell>
          <cell r="BL21">
            <v>2.68</v>
          </cell>
          <cell r="BM21">
            <v>26.29</v>
          </cell>
          <cell r="BN21">
            <v>3.99</v>
          </cell>
          <cell r="BO21">
            <v>38.51</v>
          </cell>
          <cell r="BP21">
            <v>5.84</v>
          </cell>
          <cell r="BQ21">
            <v>1.47</v>
          </cell>
          <cell r="BR21">
            <v>0.49</v>
          </cell>
          <cell r="BS21">
            <v>2.0299999999999998</v>
          </cell>
          <cell r="BT21">
            <v>0.68</v>
          </cell>
          <cell r="BU21">
            <v>3.01</v>
          </cell>
          <cell r="BV21">
            <v>1</v>
          </cell>
          <cell r="BW21">
            <v>4.41</v>
          </cell>
          <cell r="BX21">
            <v>1.47</v>
          </cell>
          <cell r="BY21">
            <v>364.17</v>
          </cell>
          <cell r="BZ21">
            <v>16.77</v>
          </cell>
          <cell r="CA21">
            <v>10.76</v>
          </cell>
          <cell r="CB21">
            <v>2.56</v>
          </cell>
          <cell r="CC21">
            <v>8.2799999999999994</v>
          </cell>
          <cell r="CD21">
            <v>2.1</v>
          </cell>
          <cell r="CE21">
            <v>154.80000000000001</v>
          </cell>
          <cell r="CF21">
            <v>34.07</v>
          </cell>
          <cell r="CG21">
            <v>12.05</v>
          </cell>
          <cell r="CH21">
            <v>1.52</v>
          </cell>
          <cell r="CI21">
            <v>7.81</v>
          </cell>
          <cell r="CJ21">
            <v>3.69</v>
          </cell>
          <cell r="CK21">
            <v>7.62</v>
          </cell>
          <cell r="CL21">
            <v>1.92</v>
          </cell>
          <cell r="CM21">
            <v>19.32</v>
          </cell>
          <cell r="CN21">
            <v>2.4500000000000002</v>
          </cell>
          <cell r="CO21">
            <v>10.63</v>
          </cell>
          <cell r="CP21">
            <v>2.34</v>
          </cell>
          <cell r="CQ21">
            <v>6.7</v>
          </cell>
          <cell r="CR21">
            <v>0.71</v>
          </cell>
          <cell r="CS21">
            <v>32.729999999999997</v>
          </cell>
          <cell r="CT21">
            <v>11.03</v>
          </cell>
          <cell r="CU21">
            <v>33.5</v>
          </cell>
          <cell r="CV21">
            <v>3.53</v>
          </cell>
          <cell r="CW21">
            <v>36</v>
          </cell>
          <cell r="CX21">
            <v>11.03</v>
          </cell>
          <cell r="CY21">
            <v>33.5</v>
          </cell>
          <cell r="CZ21">
            <v>3.53</v>
          </cell>
          <cell r="DA21">
            <v>23.57</v>
          </cell>
          <cell r="DB21">
            <v>10.73</v>
          </cell>
          <cell r="DC21">
            <v>29.46</v>
          </cell>
          <cell r="DD21">
            <v>13.41</v>
          </cell>
          <cell r="DE21">
            <v>39.28</v>
          </cell>
          <cell r="DF21">
            <v>17.88</v>
          </cell>
          <cell r="DG21">
            <v>9.39</v>
          </cell>
          <cell r="DH21">
            <v>1.93</v>
          </cell>
          <cell r="DI21">
            <v>2.17</v>
          </cell>
          <cell r="DJ21">
            <v>0.36</v>
          </cell>
          <cell r="DK21">
            <v>36.1</v>
          </cell>
          <cell r="DL21">
            <v>5.56</v>
          </cell>
          <cell r="DM21">
            <v>47.99</v>
          </cell>
          <cell r="DN21">
            <v>7.06</v>
          </cell>
          <cell r="DO21">
            <v>58.03</v>
          </cell>
          <cell r="DP21">
            <v>7.75</v>
          </cell>
          <cell r="DQ21">
            <v>70.260000000000005</v>
          </cell>
          <cell r="DR21">
            <v>8.59</v>
          </cell>
          <cell r="DS21">
            <v>9.93</v>
          </cell>
          <cell r="DT21">
            <v>1.72</v>
          </cell>
          <cell r="DU21">
            <v>11.58</v>
          </cell>
        </row>
        <row r="22">
          <cell r="L22">
            <v>31.5</v>
          </cell>
          <cell r="M22">
            <v>1.1499999999999999</v>
          </cell>
          <cell r="N22">
            <v>0.16</v>
          </cell>
          <cell r="O22">
            <v>2.67</v>
          </cell>
          <cell r="P22">
            <v>0.46</v>
          </cell>
          <cell r="Q22">
            <v>4.08</v>
          </cell>
          <cell r="R22">
            <v>0.66</v>
          </cell>
          <cell r="S22">
            <v>16.05</v>
          </cell>
          <cell r="T22">
            <v>3.47</v>
          </cell>
          <cell r="U22">
            <v>28.97</v>
          </cell>
          <cell r="V22">
            <v>7.92</v>
          </cell>
          <cell r="W22">
            <v>16.07</v>
          </cell>
          <cell r="X22">
            <v>2.93</v>
          </cell>
          <cell r="Y22">
            <v>5.94</v>
          </cell>
          <cell r="Z22">
            <v>1.7</v>
          </cell>
          <cell r="AA22">
            <v>28.26</v>
          </cell>
          <cell r="AB22">
            <v>3.34</v>
          </cell>
          <cell r="AC22">
            <v>33.520000000000003</v>
          </cell>
          <cell r="AD22">
            <v>5.04</v>
          </cell>
          <cell r="AE22">
            <v>46.26</v>
          </cell>
          <cell r="AF22">
            <v>4.66</v>
          </cell>
          <cell r="AG22">
            <v>57.47</v>
          </cell>
          <cell r="AH22">
            <v>19</v>
          </cell>
          <cell r="AI22">
            <v>22.82</v>
          </cell>
          <cell r="AJ22">
            <v>6.36</v>
          </cell>
          <cell r="AK22">
            <v>6.72</v>
          </cell>
          <cell r="AL22">
            <v>1.01</v>
          </cell>
          <cell r="AM22">
            <v>34.770000000000003</v>
          </cell>
          <cell r="AN22">
            <v>9.5</v>
          </cell>
          <cell r="AO22">
            <v>12.65</v>
          </cell>
          <cell r="AP22">
            <v>1.91</v>
          </cell>
          <cell r="AQ22">
            <v>40.880000000000003</v>
          </cell>
          <cell r="AR22">
            <v>15.33</v>
          </cell>
          <cell r="AS22">
            <v>14.68</v>
          </cell>
          <cell r="AT22">
            <v>2.91</v>
          </cell>
          <cell r="AU22">
            <v>50.58</v>
          </cell>
          <cell r="AV22">
            <v>19.100000000000001</v>
          </cell>
          <cell r="AW22">
            <v>5.4</v>
          </cell>
          <cell r="AX22">
            <v>1.3</v>
          </cell>
          <cell r="AY22">
            <v>7.21</v>
          </cell>
          <cell r="AZ22">
            <v>1.51</v>
          </cell>
          <cell r="BA22">
            <v>8.7899999999999991</v>
          </cell>
          <cell r="BB22">
            <v>2.4700000000000002</v>
          </cell>
          <cell r="BC22">
            <v>7.85</v>
          </cell>
          <cell r="BD22">
            <v>1.25</v>
          </cell>
          <cell r="BE22">
            <v>6.1</v>
          </cell>
          <cell r="BF22">
            <v>0.54</v>
          </cell>
          <cell r="BG22">
            <v>5.55</v>
          </cell>
          <cell r="BH22">
            <v>0.77</v>
          </cell>
          <cell r="BI22">
            <v>13.06</v>
          </cell>
          <cell r="BJ22">
            <v>1.94</v>
          </cell>
          <cell r="BK22">
            <v>18.04</v>
          </cell>
          <cell r="BL22">
            <v>2.68</v>
          </cell>
          <cell r="BM22">
            <v>26.82</v>
          </cell>
          <cell r="BN22">
            <v>3.99</v>
          </cell>
          <cell r="BO22">
            <v>39.29</v>
          </cell>
          <cell r="BP22">
            <v>5.84</v>
          </cell>
          <cell r="BQ22">
            <v>1.48</v>
          </cell>
          <cell r="BR22">
            <v>0.49</v>
          </cell>
          <cell r="BS22">
            <v>2.0499999999999998</v>
          </cell>
          <cell r="BT22">
            <v>0.68</v>
          </cell>
          <cell r="BU22">
            <v>3.05</v>
          </cell>
          <cell r="BV22">
            <v>1</v>
          </cell>
          <cell r="BW22">
            <v>4.46</v>
          </cell>
          <cell r="BX22">
            <v>1.47</v>
          </cell>
          <cell r="BY22">
            <v>374.95</v>
          </cell>
          <cell r="BZ22">
            <v>16.77</v>
          </cell>
          <cell r="CA22">
            <v>10.92</v>
          </cell>
          <cell r="CB22">
            <v>2.56</v>
          </cell>
          <cell r="CC22">
            <v>8.39</v>
          </cell>
          <cell r="CD22">
            <v>2.1</v>
          </cell>
          <cell r="CE22">
            <v>158.27000000000001</v>
          </cell>
          <cell r="CF22">
            <v>34.07</v>
          </cell>
          <cell r="CG22">
            <v>12.33</v>
          </cell>
          <cell r="CH22">
            <v>1.52</v>
          </cell>
          <cell r="CI22">
            <v>7.81</v>
          </cell>
          <cell r="CJ22">
            <v>3.69</v>
          </cell>
          <cell r="CK22">
            <v>7.66</v>
          </cell>
          <cell r="CL22">
            <v>1.92</v>
          </cell>
          <cell r="CM22">
            <v>19.559999999999999</v>
          </cell>
          <cell r="CN22">
            <v>2.4500000000000002</v>
          </cell>
          <cell r="CO22">
            <v>10.85</v>
          </cell>
          <cell r="CP22">
            <v>2.34</v>
          </cell>
          <cell r="CQ22">
            <v>6.83</v>
          </cell>
          <cell r="CR22">
            <v>0.71</v>
          </cell>
          <cell r="CS22">
            <v>33.130000000000003</v>
          </cell>
          <cell r="CT22">
            <v>11.03</v>
          </cell>
          <cell r="CU22">
            <v>34.17</v>
          </cell>
          <cell r="CV22">
            <v>3.53</v>
          </cell>
          <cell r="CW22">
            <v>36.44</v>
          </cell>
          <cell r="CX22">
            <v>11.03</v>
          </cell>
          <cell r="CY22">
            <v>34.17</v>
          </cell>
          <cell r="CZ22">
            <v>3.53</v>
          </cell>
          <cell r="DA22">
            <v>23.71</v>
          </cell>
          <cell r="DB22">
            <v>10.73</v>
          </cell>
          <cell r="DC22">
            <v>29.64</v>
          </cell>
          <cell r="DD22">
            <v>13.41</v>
          </cell>
          <cell r="DE22">
            <v>39.520000000000003</v>
          </cell>
          <cell r="DF22">
            <v>17.88</v>
          </cell>
          <cell r="DG22">
            <v>9.56</v>
          </cell>
          <cell r="DH22">
            <v>1.93</v>
          </cell>
          <cell r="DI22">
            <v>2.2200000000000002</v>
          </cell>
          <cell r="DJ22">
            <v>0.36</v>
          </cell>
          <cell r="DK22">
            <v>35.43</v>
          </cell>
          <cell r="DL22">
            <v>5.56</v>
          </cell>
          <cell r="DM22">
            <v>48.37</v>
          </cell>
          <cell r="DN22">
            <v>7.06</v>
          </cell>
          <cell r="DO22">
            <v>58.5</v>
          </cell>
          <cell r="DP22">
            <v>7.75</v>
          </cell>
          <cell r="DQ22">
            <v>70.83</v>
          </cell>
          <cell r="DR22">
            <v>8.59</v>
          </cell>
          <cell r="DS22">
            <v>10.119999999999999</v>
          </cell>
          <cell r="DT22">
            <v>1.72</v>
          </cell>
          <cell r="DU22">
            <v>11.81</v>
          </cell>
        </row>
        <row r="23">
          <cell r="L23">
            <v>32.5</v>
          </cell>
          <cell r="M23">
            <v>1.1599999999999999</v>
          </cell>
          <cell r="N23">
            <v>0.16</v>
          </cell>
          <cell r="O23">
            <v>2.7</v>
          </cell>
          <cell r="P23">
            <v>0.46</v>
          </cell>
          <cell r="Q23">
            <v>4.13</v>
          </cell>
          <cell r="R23">
            <v>0.66</v>
          </cell>
          <cell r="S23">
            <v>16.27</v>
          </cell>
          <cell r="T23">
            <v>3.47</v>
          </cell>
          <cell r="U23">
            <v>29.42</v>
          </cell>
          <cell r="V23">
            <v>7.92</v>
          </cell>
          <cell r="W23">
            <v>16.25</v>
          </cell>
          <cell r="X23">
            <v>2.93</v>
          </cell>
          <cell r="Y23">
            <v>6.02</v>
          </cell>
          <cell r="Z23">
            <v>1.7</v>
          </cell>
          <cell r="AA23">
            <v>28.64</v>
          </cell>
          <cell r="AB23">
            <v>3.34</v>
          </cell>
          <cell r="AC23">
            <v>33.97</v>
          </cell>
          <cell r="AD23">
            <v>5.04</v>
          </cell>
          <cell r="AE23">
            <v>46.7</v>
          </cell>
          <cell r="AF23">
            <v>4.66</v>
          </cell>
          <cell r="AG23">
            <v>58.42</v>
          </cell>
          <cell r="AH23">
            <v>19</v>
          </cell>
          <cell r="AI23">
            <v>23.13</v>
          </cell>
          <cell r="AJ23">
            <v>6.36</v>
          </cell>
          <cell r="AK23">
            <v>6.8</v>
          </cell>
          <cell r="AL23">
            <v>1.01</v>
          </cell>
          <cell r="AM23">
            <v>35.31</v>
          </cell>
          <cell r="AN23">
            <v>9.5</v>
          </cell>
          <cell r="AO23">
            <v>12.8</v>
          </cell>
          <cell r="AP23">
            <v>1.91</v>
          </cell>
          <cell r="AQ23">
            <v>41.5</v>
          </cell>
          <cell r="AR23">
            <v>15.33</v>
          </cell>
          <cell r="AS23">
            <v>14.82</v>
          </cell>
          <cell r="AT23">
            <v>2.91</v>
          </cell>
          <cell r="AU23">
            <v>51.36</v>
          </cell>
          <cell r="AV23">
            <v>19.100000000000001</v>
          </cell>
          <cell r="AW23">
            <v>5.48</v>
          </cell>
          <cell r="AX23">
            <v>1.3</v>
          </cell>
          <cell r="AY23">
            <v>7.31</v>
          </cell>
          <cell r="AZ23">
            <v>1.51</v>
          </cell>
          <cell r="BA23">
            <v>8.92</v>
          </cell>
          <cell r="BB23">
            <v>2.4700000000000002</v>
          </cell>
          <cell r="BC23">
            <v>7.95</v>
          </cell>
          <cell r="BD23">
            <v>1.25</v>
          </cell>
          <cell r="BE23">
            <v>6.23</v>
          </cell>
          <cell r="BF23">
            <v>0.54</v>
          </cell>
          <cell r="BG23">
            <v>5.66</v>
          </cell>
          <cell r="BH23">
            <v>0.77</v>
          </cell>
          <cell r="BI23">
            <v>13.32</v>
          </cell>
          <cell r="BJ23">
            <v>1.94</v>
          </cell>
          <cell r="BK23">
            <v>18.399999999999999</v>
          </cell>
          <cell r="BL23">
            <v>2.68</v>
          </cell>
          <cell r="BM23">
            <v>27.36</v>
          </cell>
          <cell r="BN23">
            <v>3.99</v>
          </cell>
          <cell r="BO23">
            <v>40.07</v>
          </cell>
          <cell r="BP23">
            <v>5.84</v>
          </cell>
          <cell r="BQ23">
            <v>1.5</v>
          </cell>
          <cell r="BR23">
            <v>0.49</v>
          </cell>
          <cell r="BS23">
            <v>2.08</v>
          </cell>
          <cell r="BT23">
            <v>0.68</v>
          </cell>
          <cell r="BU23">
            <v>3.09</v>
          </cell>
          <cell r="BV23">
            <v>1</v>
          </cell>
          <cell r="BW23">
            <v>4.5199999999999996</v>
          </cell>
          <cell r="BX23">
            <v>1.47</v>
          </cell>
          <cell r="BY23">
            <v>385.74</v>
          </cell>
          <cell r="BZ23">
            <v>16.77</v>
          </cell>
          <cell r="CA23">
            <v>11.09</v>
          </cell>
          <cell r="CB23">
            <v>2.56</v>
          </cell>
          <cell r="CC23">
            <v>8.5</v>
          </cell>
          <cell r="CD23">
            <v>2.1</v>
          </cell>
          <cell r="CE23">
            <v>161.72999999999999</v>
          </cell>
          <cell r="CF23">
            <v>34.07</v>
          </cell>
          <cell r="CG23">
            <v>12.61</v>
          </cell>
          <cell r="CH23">
            <v>1.52</v>
          </cell>
          <cell r="CI23">
            <v>7.81</v>
          </cell>
          <cell r="CJ23">
            <v>3.69</v>
          </cell>
          <cell r="CK23">
            <v>7.71</v>
          </cell>
          <cell r="CL23">
            <v>1.92</v>
          </cell>
          <cell r="CM23">
            <v>19.8</v>
          </cell>
          <cell r="CN23">
            <v>2.4500000000000002</v>
          </cell>
          <cell r="CO23">
            <v>11.08</v>
          </cell>
          <cell r="CP23">
            <v>2.34</v>
          </cell>
          <cell r="CQ23">
            <v>6.97</v>
          </cell>
          <cell r="CR23">
            <v>0.71</v>
          </cell>
          <cell r="CS23">
            <v>33.53</v>
          </cell>
          <cell r="CT23">
            <v>11.03</v>
          </cell>
          <cell r="CU23">
            <v>34.85</v>
          </cell>
          <cell r="CV23">
            <v>3.53</v>
          </cell>
          <cell r="CW23">
            <v>36.89</v>
          </cell>
          <cell r="CX23">
            <v>11.03</v>
          </cell>
          <cell r="CY23">
            <v>34.85</v>
          </cell>
          <cell r="CZ23">
            <v>3.53</v>
          </cell>
          <cell r="DA23">
            <v>23.85</v>
          </cell>
          <cell r="DB23">
            <v>10.73</v>
          </cell>
          <cell r="DC23">
            <v>29.82</v>
          </cell>
          <cell r="DD23">
            <v>13.41</v>
          </cell>
          <cell r="DE23">
            <v>39.76</v>
          </cell>
          <cell r="DF23">
            <v>17.88</v>
          </cell>
          <cell r="DG23">
            <v>9.73</v>
          </cell>
          <cell r="DH23">
            <v>1.93</v>
          </cell>
          <cell r="DI23">
            <v>2.2599999999999998</v>
          </cell>
          <cell r="DJ23">
            <v>0.36</v>
          </cell>
          <cell r="DK23">
            <v>36.75</v>
          </cell>
          <cell r="DL23">
            <v>5.56</v>
          </cell>
          <cell r="DM23">
            <v>48.75</v>
          </cell>
          <cell r="DN23">
            <v>7.06</v>
          </cell>
          <cell r="DO23">
            <v>58.96</v>
          </cell>
          <cell r="DP23">
            <v>7.75</v>
          </cell>
          <cell r="DQ23">
            <v>71.400000000000006</v>
          </cell>
          <cell r="DR23">
            <v>8.59</v>
          </cell>
          <cell r="DS23">
            <v>10.32</v>
          </cell>
          <cell r="DT23">
            <v>1.72</v>
          </cell>
          <cell r="DU23">
            <v>12.04</v>
          </cell>
        </row>
        <row r="24">
          <cell r="L24">
            <v>33.5</v>
          </cell>
          <cell r="M24">
            <v>1.17</v>
          </cell>
          <cell r="N24">
            <v>0.16</v>
          </cell>
          <cell r="O24">
            <v>2.73</v>
          </cell>
          <cell r="P24">
            <v>0.46</v>
          </cell>
          <cell r="Q24">
            <v>4.18</v>
          </cell>
          <cell r="R24">
            <v>0.66</v>
          </cell>
          <cell r="S24">
            <v>16.48</v>
          </cell>
          <cell r="T24">
            <v>3.47</v>
          </cell>
          <cell r="U24">
            <v>29.88</v>
          </cell>
          <cell r="V24">
            <v>7.92</v>
          </cell>
          <cell r="W24">
            <v>16.440000000000001</v>
          </cell>
          <cell r="X24">
            <v>2.93</v>
          </cell>
          <cell r="Y24">
            <v>6.1</v>
          </cell>
          <cell r="Z24">
            <v>1.7</v>
          </cell>
          <cell r="AA24">
            <v>29.03</v>
          </cell>
          <cell r="AB24">
            <v>3.34</v>
          </cell>
          <cell r="AC24">
            <v>34.42</v>
          </cell>
          <cell r="AD24">
            <v>5.04</v>
          </cell>
          <cell r="AE24">
            <v>47.13</v>
          </cell>
          <cell r="AF24">
            <v>4.66</v>
          </cell>
          <cell r="AG24">
            <v>59.37</v>
          </cell>
          <cell r="AH24">
            <v>19</v>
          </cell>
          <cell r="AI24">
            <v>23.43</v>
          </cell>
          <cell r="AJ24">
            <v>6.36</v>
          </cell>
          <cell r="AK24">
            <v>6.89</v>
          </cell>
          <cell r="AL24">
            <v>1.01</v>
          </cell>
          <cell r="AM24">
            <v>35.85</v>
          </cell>
          <cell r="AN24">
            <v>9.5</v>
          </cell>
          <cell r="AO24">
            <v>12.96</v>
          </cell>
          <cell r="AP24">
            <v>1.91</v>
          </cell>
          <cell r="AQ24">
            <v>42.13</v>
          </cell>
          <cell r="AR24">
            <v>15.33</v>
          </cell>
          <cell r="AS24">
            <v>14.96</v>
          </cell>
          <cell r="AT24">
            <v>2.91</v>
          </cell>
          <cell r="AU24">
            <v>52.13</v>
          </cell>
          <cell r="AV24">
            <v>19.100000000000001</v>
          </cell>
          <cell r="AW24">
            <v>5.56</v>
          </cell>
          <cell r="AX24">
            <v>1.3</v>
          </cell>
          <cell r="AY24">
            <v>7.41</v>
          </cell>
          <cell r="AZ24">
            <v>1.51</v>
          </cell>
          <cell r="BA24">
            <v>9.0399999999999991</v>
          </cell>
          <cell r="BB24">
            <v>2.4700000000000002</v>
          </cell>
          <cell r="BC24">
            <v>8.0500000000000007</v>
          </cell>
          <cell r="BD24">
            <v>1.25</v>
          </cell>
          <cell r="BE24">
            <v>6.36</v>
          </cell>
          <cell r="BF24">
            <v>0.54</v>
          </cell>
          <cell r="BG24">
            <v>5.78</v>
          </cell>
          <cell r="BH24">
            <v>0.77</v>
          </cell>
          <cell r="BI24">
            <v>13.58</v>
          </cell>
          <cell r="BJ24">
            <v>1.94</v>
          </cell>
          <cell r="BK24">
            <v>18.760000000000002</v>
          </cell>
          <cell r="BL24">
            <v>2.68</v>
          </cell>
          <cell r="BM24">
            <v>27.89</v>
          </cell>
          <cell r="BN24">
            <v>3.99</v>
          </cell>
          <cell r="BO24">
            <v>40.85</v>
          </cell>
          <cell r="BP24">
            <v>5.84</v>
          </cell>
          <cell r="BQ24">
            <v>1.52</v>
          </cell>
          <cell r="BR24">
            <v>0.49</v>
          </cell>
          <cell r="BS24">
            <v>2.1</v>
          </cell>
          <cell r="BT24">
            <v>0.68</v>
          </cell>
          <cell r="BU24">
            <v>3.12</v>
          </cell>
          <cell r="BV24">
            <v>1</v>
          </cell>
          <cell r="BW24">
            <v>4.57</v>
          </cell>
          <cell r="BX24">
            <v>1.47</v>
          </cell>
          <cell r="BY24">
            <v>396.52</v>
          </cell>
          <cell r="BZ24">
            <v>16.77</v>
          </cell>
          <cell r="CA24">
            <v>11.26</v>
          </cell>
          <cell r="CB24">
            <v>2.56</v>
          </cell>
          <cell r="CC24">
            <v>8.61</v>
          </cell>
          <cell r="CD24">
            <v>2.1</v>
          </cell>
          <cell r="CE24">
            <v>165.2</v>
          </cell>
          <cell r="CF24">
            <v>34.07</v>
          </cell>
          <cell r="CG24">
            <v>12.88</v>
          </cell>
          <cell r="CH24">
            <v>1.52</v>
          </cell>
          <cell r="CI24">
            <v>7.81</v>
          </cell>
          <cell r="CJ24">
            <v>3.69</v>
          </cell>
          <cell r="CK24">
            <v>7.76</v>
          </cell>
          <cell r="CL24">
            <v>1.92</v>
          </cell>
          <cell r="CM24">
            <v>20.05</v>
          </cell>
          <cell r="CN24">
            <v>2.4500000000000002</v>
          </cell>
          <cell r="CO24">
            <v>11.3</v>
          </cell>
          <cell r="CP24">
            <v>2.34</v>
          </cell>
          <cell r="CQ24">
            <v>7.11</v>
          </cell>
          <cell r="CR24">
            <v>0.71</v>
          </cell>
          <cell r="CS24">
            <v>33.93</v>
          </cell>
          <cell r="CT24">
            <v>11.03</v>
          </cell>
          <cell r="CU24">
            <v>35.53</v>
          </cell>
          <cell r="CV24">
            <v>3.53</v>
          </cell>
          <cell r="CW24">
            <v>37.33</v>
          </cell>
          <cell r="CX24">
            <v>11.03</v>
          </cell>
          <cell r="CY24">
            <v>35.53</v>
          </cell>
          <cell r="CZ24">
            <v>3.53</v>
          </cell>
          <cell r="DA24">
            <v>24</v>
          </cell>
          <cell r="DB24">
            <v>10.73</v>
          </cell>
          <cell r="DC24">
            <v>30</v>
          </cell>
          <cell r="DD24">
            <v>13.41</v>
          </cell>
          <cell r="DE24">
            <v>39.99</v>
          </cell>
          <cell r="DF24">
            <v>17.88</v>
          </cell>
          <cell r="DG24">
            <v>9.91</v>
          </cell>
          <cell r="DH24">
            <v>1.93</v>
          </cell>
          <cell r="DI24">
            <v>2.31</v>
          </cell>
          <cell r="DJ24">
            <v>0.36</v>
          </cell>
          <cell r="DK24">
            <v>37.07</v>
          </cell>
          <cell r="DL24">
            <v>5.56</v>
          </cell>
          <cell r="DM24">
            <v>49.13</v>
          </cell>
          <cell r="DN24">
            <v>7.06</v>
          </cell>
          <cell r="DO24">
            <v>59.43</v>
          </cell>
          <cell r="DP24">
            <v>7.75</v>
          </cell>
          <cell r="DQ24">
            <v>71.97</v>
          </cell>
          <cell r="DR24">
            <v>8.59</v>
          </cell>
          <cell r="DS24">
            <v>10.51</v>
          </cell>
          <cell r="DT24">
            <v>1.72</v>
          </cell>
          <cell r="DU24">
            <v>12.26</v>
          </cell>
        </row>
        <row r="25">
          <cell r="L25">
            <v>34.5</v>
          </cell>
          <cell r="M25">
            <v>1.19</v>
          </cell>
          <cell r="N25">
            <v>0.16</v>
          </cell>
          <cell r="O25">
            <v>2.77</v>
          </cell>
          <cell r="P25">
            <v>0.46</v>
          </cell>
          <cell r="Q25">
            <v>4.24</v>
          </cell>
          <cell r="R25">
            <v>0.66</v>
          </cell>
          <cell r="S25">
            <v>16.7</v>
          </cell>
          <cell r="T25">
            <v>3.47</v>
          </cell>
          <cell r="U25">
            <v>30.33</v>
          </cell>
          <cell r="V25">
            <v>7.92</v>
          </cell>
          <cell r="W25">
            <v>16.63</v>
          </cell>
          <cell r="X25">
            <v>2.93</v>
          </cell>
          <cell r="Y25">
            <v>6.18</v>
          </cell>
          <cell r="Z25">
            <v>1.7</v>
          </cell>
          <cell r="AA25">
            <v>29.41</v>
          </cell>
          <cell r="AB25">
            <v>3.34</v>
          </cell>
          <cell r="AC25">
            <v>34.86</v>
          </cell>
          <cell r="AD25">
            <v>5.04</v>
          </cell>
          <cell r="AE25">
            <v>47.56</v>
          </cell>
          <cell r="AF25">
            <v>4.66</v>
          </cell>
          <cell r="AG25">
            <v>60.31</v>
          </cell>
          <cell r="AH25">
            <v>19</v>
          </cell>
          <cell r="AI25">
            <v>23.73</v>
          </cell>
          <cell r="AJ25">
            <v>6.36</v>
          </cell>
          <cell r="AK25">
            <v>6.97</v>
          </cell>
          <cell r="AL25">
            <v>1.01</v>
          </cell>
          <cell r="AM25">
            <v>36.39</v>
          </cell>
          <cell r="AN25">
            <v>9.5</v>
          </cell>
          <cell r="AO25">
            <v>13.11</v>
          </cell>
          <cell r="AP25">
            <v>1.91</v>
          </cell>
          <cell r="AQ25">
            <v>42.75</v>
          </cell>
          <cell r="AR25">
            <v>15.33</v>
          </cell>
          <cell r="AS25">
            <v>15.11</v>
          </cell>
          <cell r="AT25">
            <v>2.91</v>
          </cell>
          <cell r="AU25">
            <v>52.91</v>
          </cell>
          <cell r="AV25">
            <v>19.100000000000001</v>
          </cell>
          <cell r="AW25">
            <v>5.63</v>
          </cell>
          <cell r="AX25">
            <v>1.3</v>
          </cell>
          <cell r="AY25">
            <v>7.51</v>
          </cell>
          <cell r="AZ25">
            <v>1.51</v>
          </cell>
          <cell r="BA25">
            <v>9.16</v>
          </cell>
          <cell r="BB25">
            <v>2.4700000000000002</v>
          </cell>
          <cell r="BC25">
            <v>8.15</v>
          </cell>
          <cell r="BD25">
            <v>1.25</v>
          </cell>
          <cell r="BE25">
            <v>6.49</v>
          </cell>
          <cell r="BF25">
            <v>0.54</v>
          </cell>
          <cell r="BG25">
            <v>5.9</v>
          </cell>
          <cell r="BH25">
            <v>0.77</v>
          </cell>
          <cell r="BI25">
            <v>13.84</v>
          </cell>
          <cell r="BJ25">
            <v>1.94</v>
          </cell>
          <cell r="BK25">
            <v>19.12</v>
          </cell>
          <cell r="BL25">
            <v>2.68</v>
          </cell>
          <cell r="BM25">
            <v>28.43</v>
          </cell>
          <cell r="BN25">
            <v>3.99</v>
          </cell>
          <cell r="BO25">
            <v>41.63</v>
          </cell>
          <cell r="BP25">
            <v>5.84</v>
          </cell>
          <cell r="BQ25">
            <v>1.54</v>
          </cell>
          <cell r="BR25">
            <v>0.49</v>
          </cell>
          <cell r="BS25">
            <v>2.13</v>
          </cell>
          <cell r="BT25">
            <v>0.68</v>
          </cell>
          <cell r="BU25">
            <v>3.16</v>
          </cell>
          <cell r="BV25">
            <v>1</v>
          </cell>
          <cell r="BW25">
            <v>4.63</v>
          </cell>
          <cell r="BX25">
            <v>1.47</v>
          </cell>
          <cell r="BY25">
            <v>407.31</v>
          </cell>
          <cell r="BZ25">
            <v>16.77</v>
          </cell>
          <cell r="CA25">
            <v>11.42</v>
          </cell>
          <cell r="CB25">
            <v>2.56</v>
          </cell>
          <cell r="CC25">
            <v>8.7200000000000006</v>
          </cell>
          <cell r="CD25">
            <v>2.1</v>
          </cell>
          <cell r="CE25">
            <v>168.66</v>
          </cell>
          <cell r="CF25">
            <v>34.07</v>
          </cell>
          <cell r="CG25">
            <v>13.16</v>
          </cell>
          <cell r="CH25">
            <v>1.52</v>
          </cell>
          <cell r="CI25">
            <v>7.81</v>
          </cell>
          <cell r="CJ25">
            <v>3.69</v>
          </cell>
          <cell r="CK25">
            <v>7.81</v>
          </cell>
          <cell r="CL25">
            <v>1.92</v>
          </cell>
          <cell r="CM25">
            <v>20.29</v>
          </cell>
          <cell r="CN25">
            <v>2.4500000000000002</v>
          </cell>
          <cell r="CO25">
            <v>11.52</v>
          </cell>
          <cell r="CP25">
            <v>2.34</v>
          </cell>
          <cell r="CQ25">
            <v>7.24</v>
          </cell>
          <cell r="CR25">
            <v>0.71</v>
          </cell>
          <cell r="CS25">
            <v>34.340000000000003</v>
          </cell>
          <cell r="CT25">
            <v>11.03</v>
          </cell>
          <cell r="CU25">
            <v>36.200000000000003</v>
          </cell>
          <cell r="CV25">
            <v>3.53</v>
          </cell>
          <cell r="CW25">
            <v>37.770000000000003</v>
          </cell>
          <cell r="CX25">
            <v>11.03</v>
          </cell>
          <cell r="CY25">
            <v>36.200000000000003</v>
          </cell>
          <cell r="CZ25">
            <v>3.53</v>
          </cell>
          <cell r="DA25">
            <v>24.14</v>
          </cell>
          <cell r="DB25">
            <v>10.73</v>
          </cell>
          <cell r="DC25">
            <v>30.17</v>
          </cell>
          <cell r="DD25">
            <v>13.41</v>
          </cell>
          <cell r="DE25">
            <v>40.229999999999997</v>
          </cell>
          <cell r="DF25">
            <v>17.88</v>
          </cell>
          <cell r="DG25">
            <v>10.08</v>
          </cell>
          <cell r="DH25">
            <v>1.93</v>
          </cell>
          <cell r="DI25">
            <v>2.35</v>
          </cell>
          <cell r="DJ25">
            <v>0.36</v>
          </cell>
          <cell r="DK25">
            <v>37.4</v>
          </cell>
          <cell r="DL25">
            <v>5.56</v>
          </cell>
          <cell r="DM25">
            <v>49.51</v>
          </cell>
          <cell r="DN25">
            <v>7.06</v>
          </cell>
          <cell r="DO25">
            <v>59.9</v>
          </cell>
          <cell r="DP25">
            <v>7.75</v>
          </cell>
          <cell r="DQ25">
            <v>72.540000000000006</v>
          </cell>
          <cell r="DR25">
            <v>8.59</v>
          </cell>
          <cell r="DS25">
            <v>10.7</v>
          </cell>
          <cell r="DT25">
            <v>1.72</v>
          </cell>
          <cell r="DU25">
            <v>12.49</v>
          </cell>
        </row>
        <row r="26">
          <cell r="L26">
            <v>35.5</v>
          </cell>
          <cell r="M26">
            <v>1.2</v>
          </cell>
          <cell r="N26">
            <v>0.16</v>
          </cell>
          <cell r="O26">
            <v>2.8</v>
          </cell>
          <cell r="P26">
            <v>0.46</v>
          </cell>
          <cell r="Q26">
            <v>4.29</v>
          </cell>
          <cell r="R26">
            <v>0.66</v>
          </cell>
          <cell r="S26">
            <v>16.920000000000002</v>
          </cell>
          <cell r="T26">
            <v>3.47</v>
          </cell>
          <cell r="U26">
            <v>30.78</v>
          </cell>
          <cell r="V26">
            <v>7.92</v>
          </cell>
          <cell r="W26">
            <v>16.82</v>
          </cell>
          <cell r="X26">
            <v>2.93</v>
          </cell>
          <cell r="Y26">
            <v>6.26</v>
          </cell>
          <cell r="Z26">
            <v>1.7</v>
          </cell>
          <cell r="AA26">
            <v>29.8</v>
          </cell>
          <cell r="AB26">
            <v>3.34</v>
          </cell>
          <cell r="AC26">
            <v>35.31</v>
          </cell>
          <cell r="AD26">
            <v>5.04</v>
          </cell>
          <cell r="AE26">
            <v>47.99</v>
          </cell>
          <cell r="AF26">
            <v>4.66</v>
          </cell>
          <cell r="AG26">
            <v>61.26</v>
          </cell>
          <cell r="AH26">
            <v>19</v>
          </cell>
          <cell r="AI26">
            <v>24.04</v>
          </cell>
          <cell r="AJ26">
            <v>6.36</v>
          </cell>
          <cell r="AK26">
            <v>7.05</v>
          </cell>
          <cell r="AL26">
            <v>1.01</v>
          </cell>
          <cell r="AM26">
            <v>36.93</v>
          </cell>
          <cell r="AN26">
            <v>9.5</v>
          </cell>
          <cell r="AO26">
            <v>13.27</v>
          </cell>
          <cell r="AP26">
            <v>1.91</v>
          </cell>
          <cell r="AQ26">
            <v>43.37</v>
          </cell>
          <cell r="AR26">
            <v>15.33</v>
          </cell>
          <cell r="AS26">
            <v>15.25</v>
          </cell>
          <cell r="AT26">
            <v>2.91</v>
          </cell>
          <cell r="AU26">
            <v>53.69</v>
          </cell>
          <cell r="AV26">
            <v>19.100000000000001</v>
          </cell>
          <cell r="AW26">
            <v>5.71</v>
          </cell>
          <cell r="AX26">
            <v>1.3</v>
          </cell>
          <cell r="AY26">
            <v>7.61</v>
          </cell>
          <cell r="AZ26">
            <v>1.51</v>
          </cell>
          <cell r="BA26">
            <v>9.2899999999999991</v>
          </cell>
          <cell r="BB26">
            <v>2.4700000000000002</v>
          </cell>
          <cell r="BC26">
            <v>8.24</v>
          </cell>
          <cell r="BD26">
            <v>1.25</v>
          </cell>
          <cell r="BE26">
            <v>6.62</v>
          </cell>
          <cell r="BF26">
            <v>0.54</v>
          </cell>
          <cell r="BG26">
            <v>6.02</v>
          </cell>
          <cell r="BH26">
            <v>0.77</v>
          </cell>
          <cell r="BI26">
            <v>14.1</v>
          </cell>
          <cell r="BJ26">
            <v>1.94</v>
          </cell>
          <cell r="BK26">
            <v>19.48</v>
          </cell>
          <cell r="BL26">
            <v>2.68</v>
          </cell>
          <cell r="BM26">
            <v>28.96</v>
          </cell>
          <cell r="BN26">
            <v>3.99</v>
          </cell>
          <cell r="BO26">
            <v>42.42</v>
          </cell>
          <cell r="BP26">
            <v>5.84</v>
          </cell>
          <cell r="BQ26">
            <v>1.56</v>
          </cell>
          <cell r="BR26">
            <v>0.49</v>
          </cell>
          <cell r="BS26">
            <v>2.15</v>
          </cell>
          <cell r="BT26">
            <v>0.68</v>
          </cell>
          <cell r="BU26">
            <v>3.2</v>
          </cell>
          <cell r="BV26">
            <v>1</v>
          </cell>
          <cell r="BW26">
            <v>4.68</v>
          </cell>
          <cell r="BX26">
            <v>1.47</v>
          </cell>
          <cell r="BY26">
            <v>418.09</v>
          </cell>
          <cell r="BZ26">
            <v>16.77</v>
          </cell>
          <cell r="CA26">
            <v>11.59</v>
          </cell>
          <cell r="CB26">
            <v>2.56</v>
          </cell>
          <cell r="CC26">
            <v>8.83</v>
          </cell>
          <cell r="CD26">
            <v>2.1</v>
          </cell>
          <cell r="CE26">
            <v>172.13</v>
          </cell>
          <cell r="CF26">
            <v>34.07</v>
          </cell>
          <cell r="CG26">
            <v>13.43</v>
          </cell>
          <cell r="CH26">
            <v>1.52</v>
          </cell>
          <cell r="CI26">
            <v>7.81</v>
          </cell>
          <cell r="CJ26">
            <v>3.69</v>
          </cell>
          <cell r="CK26">
            <v>7.86</v>
          </cell>
          <cell r="CL26">
            <v>1.92</v>
          </cell>
          <cell r="CM26">
            <v>20.54</v>
          </cell>
          <cell r="CN26">
            <v>2.4500000000000002</v>
          </cell>
          <cell r="CO26">
            <v>11.75</v>
          </cell>
          <cell r="CP26">
            <v>2.34</v>
          </cell>
          <cell r="CQ26">
            <v>7.38</v>
          </cell>
          <cell r="CR26">
            <v>0.71</v>
          </cell>
          <cell r="CS26">
            <v>34.74</v>
          </cell>
          <cell r="CT26">
            <v>11.03</v>
          </cell>
          <cell r="CU26">
            <v>36.880000000000003</v>
          </cell>
          <cell r="CV26">
            <v>3.53</v>
          </cell>
          <cell r="CW26">
            <v>38.21</v>
          </cell>
          <cell r="CX26">
            <v>11.03</v>
          </cell>
          <cell r="CY26">
            <v>36.880000000000003</v>
          </cell>
          <cell r="CZ26">
            <v>3.53</v>
          </cell>
          <cell r="DA26">
            <v>24.28</v>
          </cell>
          <cell r="DB26">
            <v>10.73</v>
          </cell>
          <cell r="DC26">
            <v>30.35</v>
          </cell>
          <cell r="DD26">
            <v>13.41</v>
          </cell>
          <cell r="DE26">
            <v>40.47</v>
          </cell>
          <cell r="DF26">
            <v>17.88</v>
          </cell>
          <cell r="DG26">
            <v>10.25</v>
          </cell>
          <cell r="DH26">
            <v>1.93</v>
          </cell>
          <cell r="DI26">
            <v>2.39</v>
          </cell>
          <cell r="DJ26">
            <v>0.36</v>
          </cell>
          <cell r="DK26">
            <v>37.72</v>
          </cell>
          <cell r="DL26">
            <v>5.56</v>
          </cell>
          <cell r="DM26">
            <v>49.99</v>
          </cell>
          <cell r="DN26">
            <v>7.06</v>
          </cell>
          <cell r="DO26">
            <v>60.36</v>
          </cell>
          <cell r="DP26">
            <v>7.75</v>
          </cell>
          <cell r="DQ26">
            <v>73.099999999999994</v>
          </cell>
          <cell r="DR26">
            <v>8.59</v>
          </cell>
          <cell r="DS26">
            <v>10.9</v>
          </cell>
          <cell r="DT26">
            <v>1.72</v>
          </cell>
          <cell r="DU26">
            <v>12.71</v>
          </cell>
        </row>
        <row r="27">
          <cell r="L27">
            <v>36.5</v>
          </cell>
          <cell r="M27">
            <v>1.21</v>
          </cell>
          <cell r="N27">
            <v>0.16</v>
          </cell>
          <cell r="O27">
            <v>2.83</v>
          </cell>
          <cell r="P27">
            <v>0.46</v>
          </cell>
          <cell r="Q27">
            <v>4.34</v>
          </cell>
          <cell r="R27">
            <v>0.66</v>
          </cell>
          <cell r="S27">
            <v>17.13</v>
          </cell>
          <cell r="T27">
            <v>3.47</v>
          </cell>
          <cell r="U27">
            <v>31.23</v>
          </cell>
          <cell r="V27">
            <v>7.92</v>
          </cell>
          <cell r="W27">
            <v>17.010000000000002</v>
          </cell>
          <cell r="X27">
            <v>2.93</v>
          </cell>
          <cell r="Y27">
            <v>6.34</v>
          </cell>
          <cell r="Z27">
            <v>1.7</v>
          </cell>
          <cell r="AA27">
            <v>30.19</v>
          </cell>
          <cell r="AB27">
            <v>3.34</v>
          </cell>
          <cell r="AC27">
            <v>35.76</v>
          </cell>
          <cell r="AD27">
            <v>5.04</v>
          </cell>
          <cell r="AE27">
            <v>48.43</v>
          </cell>
          <cell r="AF27">
            <v>4.66</v>
          </cell>
          <cell r="AG27">
            <v>62.21</v>
          </cell>
          <cell r="AH27">
            <v>19</v>
          </cell>
          <cell r="AI27">
            <v>24.34</v>
          </cell>
          <cell r="AJ27">
            <v>6.36</v>
          </cell>
          <cell r="AK27">
            <v>7.13</v>
          </cell>
          <cell r="AL27">
            <v>1.01</v>
          </cell>
          <cell r="AM27">
            <v>37.47</v>
          </cell>
          <cell r="AN27">
            <v>9.5</v>
          </cell>
          <cell r="AO27">
            <v>13.43</v>
          </cell>
          <cell r="AP27">
            <v>1.91</v>
          </cell>
          <cell r="AQ27">
            <v>44</v>
          </cell>
          <cell r="AR27">
            <v>15.33</v>
          </cell>
          <cell r="AS27">
            <v>15.39</v>
          </cell>
          <cell r="AT27">
            <v>2.91</v>
          </cell>
          <cell r="AU27">
            <v>54.46</v>
          </cell>
          <cell r="AV27">
            <v>19.100000000000001</v>
          </cell>
          <cell r="AW27">
            <v>5.79</v>
          </cell>
          <cell r="AX27">
            <v>1.3</v>
          </cell>
          <cell r="AY27">
            <v>7.71</v>
          </cell>
          <cell r="AZ27">
            <v>1.51</v>
          </cell>
          <cell r="BA27">
            <v>9.41</v>
          </cell>
          <cell r="BB27">
            <v>2.4700000000000002</v>
          </cell>
          <cell r="BC27">
            <v>8.34</v>
          </cell>
          <cell r="BD27">
            <v>1.25</v>
          </cell>
          <cell r="BE27">
            <v>6.74</v>
          </cell>
          <cell r="BF27">
            <v>0.54</v>
          </cell>
          <cell r="BG27">
            <v>6.14</v>
          </cell>
          <cell r="BH27">
            <v>0.77</v>
          </cell>
          <cell r="BI27">
            <v>14.36</v>
          </cell>
          <cell r="BJ27">
            <v>1.94</v>
          </cell>
          <cell r="BK27">
            <v>19.84</v>
          </cell>
          <cell r="BL27">
            <v>2.68</v>
          </cell>
          <cell r="BM27">
            <v>29.5</v>
          </cell>
          <cell r="BN27">
            <v>3.99</v>
          </cell>
          <cell r="BO27">
            <v>43.2</v>
          </cell>
          <cell r="BP27">
            <v>5.84</v>
          </cell>
          <cell r="BQ27">
            <v>1.57</v>
          </cell>
          <cell r="BR27">
            <v>0.49</v>
          </cell>
          <cell r="BS27">
            <v>2.1800000000000002</v>
          </cell>
          <cell r="BT27">
            <v>0.68</v>
          </cell>
          <cell r="BU27">
            <v>3.23</v>
          </cell>
          <cell r="BV27">
            <v>1</v>
          </cell>
          <cell r="BW27">
            <v>4.74</v>
          </cell>
          <cell r="BX27">
            <v>1.47</v>
          </cell>
          <cell r="BY27">
            <v>428.87</v>
          </cell>
          <cell r="BZ27">
            <v>16.77</v>
          </cell>
          <cell r="CA27">
            <v>11.75</v>
          </cell>
          <cell r="CB27">
            <v>2.56</v>
          </cell>
          <cell r="CC27">
            <v>8.94</v>
          </cell>
          <cell r="CD27">
            <v>2.1</v>
          </cell>
          <cell r="CE27">
            <v>175.59</v>
          </cell>
          <cell r="CF27">
            <v>34.07</v>
          </cell>
          <cell r="CG27">
            <v>13.71</v>
          </cell>
          <cell r="CH27">
            <v>1.52</v>
          </cell>
          <cell r="CI27">
            <v>7.81</v>
          </cell>
          <cell r="CJ27">
            <v>3.69</v>
          </cell>
          <cell r="CK27">
            <v>7.9</v>
          </cell>
          <cell r="CL27">
            <v>1.92</v>
          </cell>
          <cell r="CM27">
            <v>20.78</v>
          </cell>
          <cell r="CN27">
            <v>2.4500000000000002</v>
          </cell>
          <cell r="CO27">
            <v>11.97</v>
          </cell>
          <cell r="CP27">
            <v>2.34</v>
          </cell>
          <cell r="CQ27">
            <v>7.51</v>
          </cell>
          <cell r="CR27">
            <v>0.71</v>
          </cell>
          <cell r="CS27">
            <v>35.14</v>
          </cell>
          <cell r="CT27">
            <v>11.03</v>
          </cell>
          <cell r="CU27">
            <v>37.56</v>
          </cell>
          <cell r="CV27">
            <v>3.53</v>
          </cell>
          <cell r="CW27">
            <v>38.659999999999997</v>
          </cell>
          <cell r="CX27">
            <v>11.03</v>
          </cell>
          <cell r="CY27">
            <v>37.56</v>
          </cell>
          <cell r="CZ27">
            <v>3.53</v>
          </cell>
          <cell r="DA27">
            <v>24.42</v>
          </cell>
          <cell r="DB27">
            <v>10.73</v>
          </cell>
          <cell r="DC27">
            <v>30.53</v>
          </cell>
          <cell r="DD27">
            <v>13.41</v>
          </cell>
          <cell r="DE27">
            <v>40.700000000000003</v>
          </cell>
          <cell r="DF27">
            <v>17.88</v>
          </cell>
          <cell r="DG27">
            <v>10.42</v>
          </cell>
          <cell r="DH27">
            <v>1.93</v>
          </cell>
          <cell r="DI27">
            <v>2.44</v>
          </cell>
          <cell r="DJ27">
            <v>0.36</v>
          </cell>
          <cell r="DK27">
            <v>38.04</v>
          </cell>
          <cell r="DL27">
            <v>5.56</v>
          </cell>
          <cell r="DM27">
            <v>50.28</v>
          </cell>
          <cell r="DN27">
            <v>7.06</v>
          </cell>
          <cell r="DO27">
            <v>60.83</v>
          </cell>
          <cell r="DP27">
            <v>7.75</v>
          </cell>
          <cell r="DQ27">
            <v>73.67</v>
          </cell>
          <cell r="DR27">
            <v>8.59</v>
          </cell>
          <cell r="DS27">
            <v>11.09</v>
          </cell>
          <cell r="DT27">
            <v>1.72</v>
          </cell>
          <cell r="DU27">
            <v>12.94</v>
          </cell>
        </row>
        <row r="28">
          <cell r="L28">
            <v>37.5</v>
          </cell>
          <cell r="M28">
            <v>1.23</v>
          </cell>
          <cell r="N28">
            <v>0.16</v>
          </cell>
          <cell r="O28">
            <v>2.86</v>
          </cell>
          <cell r="P28">
            <v>0.46</v>
          </cell>
          <cell r="Q28">
            <v>4.3899999999999997</v>
          </cell>
          <cell r="R28">
            <v>0.66</v>
          </cell>
          <cell r="S28">
            <v>17.350000000000001</v>
          </cell>
          <cell r="T28">
            <v>3.47</v>
          </cell>
          <cell r="U28">
            <v>31.68</v>
          </cell>
          <cell r="V28">
            <v>7.92</v>
          </cell>
          <cell r="W28">
            <v>17.190000000000001</v>
          </cell>
          <cell r="X28">
            <v>2.93</v>
          </cell>
          <cell r="Y28">
            <v>6.43</v>
          </cell>
          <cell r="Z28">
            <v>1.7</v>
          </cell>
          <cell r="AA28">
            <v>30.57</v>
          </cell>
          <cell r="AB28">
            <v>3.34</v>
          </cell>
          <cell r="AC28">
            <v>36.21</v>
          </cell>
          <cell r="AD28">
            <v>5.04</v>
          </cell>
          <cell r="AE28">
            <v>48.86</v>
          </cell>
          <cell r="AF28">
            <v>4.66</v>
          </cell>
          <cell r="AG28">
            <v>63.16</v>
          </cell>
          <cell r="AH28">
            <v>19</v>
          </cell>
          <cell r="AI28">
            <v>24.64</v>
          </cell>
          <cell r="AJ28">
            <v>6.36</v>
          </cell>
          <cell r="AK28">
            <v>7.22</v>
          </cell>
          <cell r="AL28">
            <v>1.01</v>
          </cell>
          <cell r="AM28">
            <v>38.01</v>
          </cell>
          <cell r="AN28">
            <v>9.5</v>
          </cell>
          <cell r="AO28">
            <v>13.58</v>
          </cell>
          <cell r="AP28">
            <v>1.91</v>
          </cell>
          <cell r="AQ28">
            <v>44.62</v>
          </cell>
          <cell r="AR28">
            <v>15.33</v>
          </cell>
          <cell r="AS28">
            <v>15.53</v>
          </cell>
          <cell r="AT28">
            <v>2.91</v>
          </cell>
          <cell r="AU28">
            <v>55.24</v>
          </cell>
          <cell r="AV28">
            <v>19.100000000000001</v>
          </cell>
          <cell r="AW28">
            <v>5.86</v>
          </cell>
          <cell r="AX28">
            <v>1.3</v>
          </cell>
          <cell r="AY28">
            <v>7.81</v>
          </cell>
          <cell r="AZ28">
            <v>1.51</v>
          </cell>
          <cell r="BA28">
            <v>9.5299999999999994</v>
          </cell>
          <cell r="BB28">
            <v>2.4700000000000002</v>
          </cell>
          <cell r="BC28">
            <v>8.44</v>
          </cell>
          <cell r="BD28">
            <v>1.25</v>
          </cell>
          <cell r="BE28">
            <v>6.87</v>
          </cell>
          <cell r="BF28">
            <v>0.54</v>
          </cell>
          <cell r="BG28">
            <v>6.26</v>
          </cell>
          <cell r="BH28">
            <v>0.77</v>
          </cell>
          <cell r="BI28">
            <v>14.62</v>
          </cell>
          <cell r="BJ28">
            <v>1.94</v>
          </cell>
          <cell r="BK28">
            <v>20.2</v>
          </cell>
          <cell r="BL28">
            <v>2.68</v>
          </cell>
          <cell r="BM28">
            <v>30.3</v>
          </cell>
          <cell r="BN28">
            <v>3.99</v>
          </cell>
          <cell r="BO28">
            <v>43.98</v>
          </cell>
          <cell r="BP28">
            <v>5.84</v>
          </cell>
          <cell r="BQ28">
            <v>1.59</v>
          </cell>
          <cell r="BR28">
            <v>0.49</v>
          </cell>
          <cell r="BS28">
            <v>2.2000000000000002</v>
          </cell>
          <cell r="BT28">
            <v>0.68</v>
          </cell>
          <cell r="BU28">
            <v>3.27</v>
          </cell>
          <cell r="BV28">
            <v>1</v>
          </cell>
          <cell r="BW28">
            <v>4.79</v>
          </cell>
          <cell r="BX28">
            <v>1.47</v>
          </cell>
          <cell r="BY28">
            <v>439.66</v>
          </cell>
          <cell r="BZ28">
            <v>16.77</v>
          </cell>
          <cell r="CA28">
            <v>11.92</v>
          </cell>
          <cell r="CB28">
            <v>2.56</v>
          </cell>
          <cell r="CC28">
            <v>9.0500000000000007</v>
          </cell>
          <cell r="CD28">
            <v>2.1</v>
          </cell>
          <cell r="CE28">
            <v>179.05</v>
          </cell>
          <cell r="CF28">
            <v>34.07</v>
          </cell>
          <cell r="CG28">
            <v>13.99</v>
          </cell>
          <cell r="CH28">
            <v>1.52</v>
          </cell>
          <cell r="CI28">
            <v>7.81</v>
          </cell>
          <cell r="CJ28">
            <v>3.69</v>
          </cell>
          <cell r="CK28">
            <v>7.95</v>
          </cell>
          <cell r="CL28">
            <v>1.92</v>
          </cell>
          <cell r="CM28">
            <v>21.02</v>
          </cell>
          <cell r="CN28">
            <v>2.4500000000000002</v>
          </cell>
          <cell r="CO28">
            <v>12.2</v>
          </cell>
          <cell r="CP28">
            <v>2.34</v>
          </cell>
          <cell r="CQ28">
            <v>7.65</v>
          </cell>
          <cell r="CR28">
            <v>0.71</v>
          </cell>
          <cell r="CS28">
            <v>35.54</v>
          </cell>
          <cell r="CT28">
            <v>11.03</v>
          </cell>
          <cell r="CU28">
            <v>38.229999999999997</v>
          </cell>
          <cell r="CV28">
            <v>3.53</v>
          </cell>
          <cell r="CW28">
            <v>39.1</v>
          </cell>
          <cell r="CX28">
            <v>11.03</v>
          </cell>
          <cell r="CY28">
            <v>38.229999999999997</v>
          </cell>
          <cell r="CZ28">
            <v>3.53</v>
          </cell>
          <cell r="DA28">
            <v>24.56</v>
          </cell>
          <cell r="DB28">
            <v>10.73</v>
          </cell>
          <cell r="DC28">
            <v>30.71</v>
          </cell>
          <cell r="DD28">
            <v>13.41</v>
          </cell>
          <cell r="DE28">
            <v>40.94</v>
          </cell>
          <cell r="DF28">
            <v>17.88</v>
          </cell>
          <cell r="DG28">
            <v>10.6</v>
          </cell>
          <cell r="DH28">
            <v>1.93</v>
          </cell>
          <cell r="DI28">
            <v>2.48</v>
          </cell>
          <cell r="DJ28">
            <v>0.36</v>
          </cell>
          <cell r="DK28">
            <v>38.369999999999997</v>
          </cell>
          <cell r="DL28">
            <v>5.56</v>
          </cell>
          <cell r="DM28">
            <v>50.66</v>
          </cell>
          <cell r="DN28">
            <v>7.06</v>
          </cell>
          <cell r="DO28">
            <v>61.29</v>
          </cell>
          <cell r="DP28">
            <v>7.75</v>
          </cell>
          <cell r="DQ28">
            <v>74.239999999999995</v>
          </cell>
          <cell r="DR28">
            <v>8.59</v>
          </cell>
          <cell r="DS28">
            <v>11.29</v>
          </cell>
          <cell r="DT28">
            <v>1.72</v>
          </cell>
          <cell r="DU28">
            <v>13.17</v>
          </cell>
        </row>
        <row r="29">
          <cell r="L29">
            <v>38.5</v>
          </cell>
          <cell r="M29">
            <v>1.24</v>
          </cell>
          <cell r="N29">
            <v>0.16</v>
          </cell>
          <cell r="O29">
            <v>2.89</v>
          </cell>
          <cell r="P29">
            <v>0.46</v>
          </cell>
          <cell r="Q29">
            <v>4.4400000000000004</v>
          </cell>
          <cell r="R29">
            <v>0.66</v>
          </cell>
          <cell r="S29">
            <v>17.559999999999999</v>
          </cell>
          <cell r="T29">
            <v>3.47</v>
          </cell>
          <cell r="U29">
            <v>32.130000000000003</v>
          </cell>
          <cell r="V29">
            <v>7.92</v>
          </cell>
          <cell r="W29">
            <v>17.38</v>
          </cell>
          <cell r="X29">
            <v>2.93</v>
          </cell>
          <cell r="Y29">
            <v>6.51</v>
          </cell>
          <cell r="Z29">
            <v>1.7</v>
          </cell>
          <cell r="AA29">
            <v>30.96</v>
          </cell>
          <cell r="AB29">
            <v>3.34</v>
          </cell>
          <cell r="AC29">
            <v>36.659999999999997</v>
          </cell>
          <cell r="AD29">
            <v>5.04</v>
          </cell>
          <cell r="AE29">
            <v>49.29</v>
          </cell>
          <cell r="AF29">
            <v>4.66</v>
          </cell>
          <cell r="AG29">
            <v>64.099999999999994</v>
          </cell>
          <cell r="AH29">
            <v>19</v>
          </cell>
          <cell r="AI29">
            <v>24.95</v>
          </cell>
          <cell r="AJ29">
            <v>6.36</v>
          </cell>
          <cell r="AK29">
            <v>7.3</v>
          </cell>
          <cell r="AL29">
            <v>1.01</v>
          </cell>
          <cell r="AM29">
            <v>38.549999999999997</v>
          </cell>
          <cell r="AN29">
            <v>9.5</v>
          </cell>
          <cell r="AO29">
            <v>13.74</v>
          </cell>
          <cell r="AP29">
            <v>1.91</v>
          </cell>
          <cell r="AQ29">
            <v>45.24</v>
          </cell>
          <cell r="AR29">
            <v>15.33</v>
          </cell>
          <cell r="AS29">
            <v>15.68</v>
          </cell>
          <cell r="AT29">
            <v>2.91</v>
          </cell>
          <cell r="AU29">
            <v>56.02</v>
          </cell>
          <cell r="AV29">
            <v>19.100000000000001</v>
          </cell>
          <cell r="AW29">
            <v>5.94</v>
          </cell>
          <cell r="AX29">
            <v>1.3</v>
          </cell>
          <cell r="AY29">
            <v>7.91</v>
          </cell>
          <cell r="AZ29">
            <v>1.51</v>
          </cell>
          <cell r="BA29">
            <v>9.66</v>
          </cell>
          <cell r="BB29">
            <v>2.4700000000000002</v>
          </cell>
          <cell r="BC29">
            <v>8.5399999999999991</v>
          </cell>
          <cell r="BD29">
            <v>1.25</v>
          </cell>
          <cell r="BE29">
            <v>7</v>
          </cell>
          <cell r="BF29">
            <v>0.54</v>
          </cell>
          <cell r="BG29">
            <v>6.38</v>
          </cell>
          <cell r="BH29">
            <v>0.77</v>
          </cell>
          <cell r="BI29">
            <v>14.88</v>
          </cell>
          <cell r="BJ29">
            <v>1.94</v>
          </cell>
          <cell r="BK29">
            <v>20.56</v>
          </cell>
          <cell r="BL29">
            <v>2.68</v>
          </cell>
          <cell r="BM29">
            <v>30.56</v>
          </cell>
          <cell r="BN29">
            <v>3.99</v>
          </cell>
          <cell r="BO29">
            <v>44.76</v>
          </cell>
          <cell r="BP29">
            <v>5.84</v>
          </cell>
          <cell r="BQ29">
            <v>1.61</v>
          </cell>
          <cell r="BR29">
            <v>0.49</v>
          </cell>
          <cell r="BS29">
            <v>2.2200000000000002</v>
          </cell>
          <cell r="BT29">
            <v>0.68</v>
          </cell>
          <cell r="BU29">
            <v>3.31</v>
          </cell>
          <cell r="BV29">
            <v>1</v>
          </cell>
          <cell r="BW29">
            <v>4.84</v>
          </cell>
          <cell r="BX29">
            <v>1.47</v>
          </cell>
          <cell r="BY29">
            <v>450.44</v>
          </cell>
          <cell r="BZ29">
            <v>16.77</v>
          </cell>
          <cell r="CA29">
            <v>12.08</v>
          </cell>
          <cell r="CB29">
            <v>2.56</v>
          </cell>
          <cell r="CC29">
            <v>9.16</v>
          </cell>
          <cell r="CD29">
            <v>2.1</v>
          </cell>
          <cell r="CE29">
            <v>182.52</v>
          </cell>
          <cell r="CF29">
            <v>34.07</v>
          </cell>
          <cell r="CG29">
            <v>14.26</v>
          </cell>
          <cell r="CH29">
            <v>1.52</v>
          </cell>
          <cell r="CI29">
            <v>7.81</v>
          </cell>
          <cell r="CJ29">
            <v>3.69</v>
          </cell>
          <cell r="CK29">
            <v>8</v>
          </cell>
          <cell r="CL29">
            <v>1.92</v>
          </cell>
          <cell r="CM29">
            <v>21.27</v>
          </cell>
          <cell r="CN29">
            <v>2.4500000000000002</v>
          </cell>
          <cell r="CO29">
            <v>12.42</v>
          </cell>
          <cell r="CP29">
            <v>2.34</v>
          </cell>
          <cell r="CQ29">
            <v>7.78</v>
          </cell>
          <cell r="CR29">
            <v>0.71</v>
          </cell>
          <cell r="CS29">
            <v>35.950000000000003</v>
          </cell>
          <cell r="CT29">
            <v>11.03</v>
          </cell>
          <cell r="CU29">
            <v>38.909999999999997</v>
          </cell>
          <cell r="CV29">
            <v>3.53</v>
          </cell>
          <cell r="CW29">
            <v>39.54</v>
          </cell>
          <cell r="CX29">
            <v>11.03</v>
          </cell>
          <cell r="CY29">
            <v>38.909999999999997</v>
          </cell>
          <cell r="CZ29">
            <v>3.53</v>
          </cell>
          <cell r="DA29">
            <v>24.71</v>
          </cell>
          <cell r="DB29">
            <v>10.73</v>
          </cell>
          <cell r="DC29">
            <v>30.88</v>
          </cell>
          <cell r="DD29">
            <v>13.41</v>
          </cell>
          <cell r="DE29">
            <v>41.18</v>
          </cell>
          <cell r="DF29">
            <v>17.88</v>
          </cell>
          <cell r="DG29">
            <v>10.77</v>
          </cell>
          <cell r="DH29">
            <v>1.93</v>
          </cell>
          <cell r="DI29">
            <v>2.5299999999999998</v>
          </cell>
          <cell r="DJ29">
            <v>0.36</v>
          </cell>
          <cell r="DK29">
            <v>38.69</v>
          </cell>
          <cell r="DL29">
            <v>5.56</v>
          </cell>
          <cell r="DM29">
            <v>51.04</v>
          </cell>
          <cell r="DN29">
            <v>7.06</v>
          </cell>
          <cell r="DO29">
            <v>61.76</v>
          </cell>
          <cell r="DP29">
            <v>7.75</v>
          </cell>
          <cell r="DQ29">
            <v>74.81</v>
          </cell>
          <cell r="DR29">
            <v>8.59</v>
          </cell>
          <cell r="DS29">
            <v>11.48</v>
          </cell>
          <cell r="DT29">
            <v>1.72</v>
          </cell>
          <cell r="DU29">
            <v>13.39</v>
          </cell>
        </row>
        <row r="30">
          <cell r="L30">
            <v>39.5</v>
          </cell>
          <cell r="M30">
            <v>1.25</v>
          </cell>
          <cell r="N30">
            <v>0.16</v>
          </cell>
          <cell r="O30">
            <v>2.93</v>
          </cell>
          <cell r="P30">
            <v>0.46</v>
          </cell>
          <cell r="Q30">
            <v>4.5</v>
          </cell>
          <cell r="R30">
            <v>0.66</v>
          </cell>
          <cell r="S30">
            <v>17.78</v>
          </cell>
          <cell r="T30">
            <v>3.47</v>
          </cell>
          <cell r="U30">
            <v>32.58</v>
          </cell>
          <cell r="V30">
            <v>7.92</v>
          </cell>
          <cell r="W30">
            <v>17.57</v>
          </cell>
          <cell r="X30">
            <v>2.93</v>
          </cell>
          <cell r="Y30">
            <v>6.59</v>
          </cell>
          <cell r="Z30">
            <v>1.7</v>
          </cell>
          <cell r="AA30">
            <v>31.35</v>
          </cell>
          <cell r="AB30">
            <v>3.34</v>
          </cell>
          <cell r="AC30">
            <v>37.11</v>
          </cell>
          <cell r="AD30">
            <v>5.04</v>
          </cell>
          <cell r="AE30">
            <v>49.72</v>
          </cell>
          <cell r="AF30">
            <v>4.66</v>
          </cell>
          <cell r="AG30">
            <v>65.05</v>
          </cell>
          <cell r="AH30">
            <v>19</v>
          </cell>
          <cell r="AI30">
            <v>25.25</v>
          </cell>
          <cell r="AJ30">
            <v>6.36</v>
          </cell>
          <cell r="AK30">
            <v>7.38</v>
          </cell>
          <cell r="AL30">
            <v>1.01</v>
          </cell>
          <cell r="AM30">
            <v>39.1</v>
          </cell>
          <cell r="AN30">
            <v>9.5</v>
          </cell>
          <cell r="AO30">
            <v>13.89</v>
          </cell>
          <cell r="AP30">
            <v>1.91</v>
          </cell>
          <cell r="AQ30">
            <v>45.87</v>
          </cell>
          <cell r="AR30">
            <v>15.33</v>
          </cell>
          <cell r="AS30">
            <v>15.82</v>
          </cell>
          <cell r="AT30">
            <v>2.91</v>
          </cell>
          <cell r="AU30">
            <v>56.8</v>
          </cell>
          <cell r="AV30">
            <v>19.100000000000001</v>
          </cell>
          <cell r="AW30">
            <v>6.02</v>
          </cell>
          <cell r="AX30">
            <v>1.3</v>
          </cell>
          <cell r="AY30">
            <v>8.01</v>
          </cell>
          <cell r="AZ30">
            <v>1.51</v>
          </cell>
          <cell r="BA30">
            <v>9.7799999999999994</v>
          </cell>
          <cell r="BB30">
            <v>2.4700000000000002</v>
          </cell>
          <cell r="BC30">
            <v>8.6300000000000008</v>
          </cell>
          <cell r="BD30">
            <v>1.25</v>
          </cell>
          <cell r="BE30">
            <v>7.13</v>
          </cell>
          <cell r="BF30">
            <v>0.54</v>
          </cell>
          <cell r="BG30">
            <v>6.5</v>
          </cell>
          <cell r="BH30">
            <v>0.77</v>
          </cell>
          <cell r="BI30">
            <v>15.14</v>
          </cell>
          <cell r="BJ30">
            <v>1.94</v>
          </cell>
          <cell r="BK30">
            <v>20.92</v>
          </cell>
          <cell r="BL30">
            <v>2.68</v>
          </cell>
          <cell r="BM30">
            <v>31.1</v>
          </cell>
          <cell r="BN30">
            <v>3.99</v>
          </cell>
          <cell r="BO30">
            <v>45.55</v>
          </cell>
          <cell r="BP30">
            <v>5.84</v>
          </cell>
          <cell r="BQ30">
            <v>1.63</v>
          </cell>
          <cell r="BR30">
            <v>0.49</v>
          </cell>
          <cell r="BS30">
            <v>2.25</v>
          </cell>
          <cell r="BT30">
            <v>0.68</v>
          </cell>
          <cell r="BU30">
            <v>3.35</v>
          </cell>
          <cell r="BV30">
            <v>1</v>
          </cell>
          <cell r="BW30">
            <v>4.9000000000000004</v>
          </cell>
          <cell r="BX30">
            <v>1.47</v>
          </cell>
          <cell r="BY30">
            <v>461.22</v>
          </cell>
          <cell r="BZ30">
            <v>16.77</v>
          </cell>
          <cell r="CA30">
            <v>12.25</v>
          </cell>
          <cell r="CB30">
            <v>2.56</v>
          </cell>
          <cell r="CC30">
            <v>9.27</v>
          </cell>
          <cell r="CD30">
            <v>2.1</v>
          </cell>
          <cell r="CE30">
            <v>185.98</v>
          </cell>
          <cell r="CF30">
            <v>34.07</v>
          </cell>
          <cell r="CG30">
            <v>14.34</v>
          </cell>
          <cell r="CH30">
            <v>1.52</v>
          </cell>
          <cell r="CI30">
            <v>7.81</v>
          </cell>
          <cell r="CJ30">
            <v>3.69</v>
          </cell>
          <cell r="CK30">
            <v>8.0500000000000007</v>
          </cell>
          <cell r="CL30">
            <v>1.92</v>
          </cell>
          <cell r="CM30">
            <v>21.51</v>
          </cell>
          <cell r="CN30">
            <v>2.4500000000000002</v>
          </cell>
          <cell r="CO30">
            <v>12.64</v>
          </cell>
          <cell r="CP30">
            <v>2.34</v>
          </cell>
          <cell r="CQ30">
            <v>7.92</v>
          </cell>
          <cell r="CR30">
            <v>0.71</v>
          </cell>
          <cell r="CS30">
            <v>36.35</v>
          </cell>
          <cell r="CT30">
            <v>11.03</v>
          </cell>
          <cell r="CU30">
            <v>39.58</v>
          </cell>
          <cell r="CV30">
            <v>3.53</v>
          </cell>
          <cell r="CW30">
            <v>39.979999999999997</v>
          </cell>
          <cell r="CX30">
            <v>11.03</v>
          </cell>
          <cell r="CY30">
            <v>39.58</v>
          </cell>
          <cell r="CZ30">
            <v>3.53</v>
          </cell>
          <cell r="DA30">
            <v>24.85</v>
          </cell>
          <cell r="DB30">
            <v>10.73</v>
          </cell>
          <cell r="DC30">
            <v>31.06</v>
          </cell>
          <cell r="DD30">
            <v>13.41</v>
          </cell>
          <cell r="DE30">
            <v>41.41</v>
          </cell>
          <cell r="DF30">
            <v>17.88</v>
          </cell>
          <cell r="DG30">
            <v>10.94</v>
          </cell>
          <cell r="DH30">
            <v>1.93</v>
          </cell>
          <cell r="DI30">
            <v>2.57</v>
          </cell>
          <cell r="DJ30">
            <v>0.36</v>
          </cell>
          <cell r="DK30">
            <v>39.01</v>
          </cell>
          <cell r="DL30">
            <v>5.56</v>
          </cell>
          <cell r="DM30">
            <v>51.42</v>
          </cell>
          <cell r="DN30">
            <v>7.06</v>
          </cell>
          <cell r="DO30">
            <v>62.23</v>
          </cell>
          <cell r="DP30">
            <v>7.75</v>
          </cell>
          <cell r="DQ30">
            <v>75.38</v>
          </cell>
          <cell r="DR30">
            <v>8.59</v>
          </cell>
          <cell r="DS30">
            <v>11.67</v>
          </cell>
          <cell r="DT30">
            <v>1.72</v>
          </cell>
          <cell r="DU30">
            <v>13.62</v>
          </cell>
        </row>
        <row r="31">
          <cell r="L31">
            <v>40.5</v>
          </cell>
        </row>
        <row r="32">
          <cell r="L32">
            <v>41.5</v>
          </cell>
        </row>
        <row r="33">
          <cell r="L33">
            <v>42.5</v>
          </cell>
        </row>
        <row r="34">
          <cell r="L34">
            <v>43.5</v>
          </cell>
        </row>
        <row r="35">
          <cell r="L35">
            <v>44.5</v>
          </cell>
        </row>
        <row r="36">
          <cell r="L36">
            <v>45.5</v>
          </cell>
        </row>
        <row r="37">
          <cell r="L37">
            <v>46.5</v>
          </cell>
        </row>
        <row r="38">
          <cell r="L38">
            <v>47.5</v>
          </cell>
        </row>
        <row r="39">
          <cell r="L39">
            <v>48.5</v>
          </cell>
        </row>
        <row r="40">
          <cell r="L40">
            <v>49.5</v>
          </cell>
        </row>
        <row r="41">
          <cell r="L41">
            <v>50.5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Y334"/>
  <sheetViews>
    <sheetView topLeftCell="A4" zoomScale="130" zoomScaleNormal="130" zoomScaleSheetLayoutView="100" workbookViewId="0">
      <selection activeCell="B3" sqref="B3"/>
    </sheetView>
  </sheetViews>
  <sheetFormatPr defaultColWidth="9.140625" defaultRowHeight="18"/>
  <cols>
    <col min="1" max="1" width="2.140625" style="14" customWidth="1"/>
    <col min="2" max="2" width="8.7109375" style="14" customWidth="1"/>
    <col min="3" max="3" width="6.42578125" style="14" customWidth="1"/>
    <col min="4" max="4" width="7.5703125" style="14" customWidth="1"/>
    <col min="5" max="5" width="6.85546875" style="14" customWidth="1"/>
    <col min="6" max="6" width="6" style="14" customWidth="1"/>
    <col min="7" max="7" width="13.140625" style="14" customWidth="1"/>
    <col min="8" max="8" width="7" style="14" customWidth="1"/>
    <col min="9" max="9" width="9" style="14" customWidth="1"/>
    <col min="10" max="10" width="4.28515625" style="14" customWidth="1"/>
    <col min="11" max="11" width="4.7109375" style="14" customWidth="1"/>
    <col min="12" max="12" width="11" style="14" customWidth="1"/>
    <col min="13" max="13" width="13.85546875" style="14" customWidth="1"/>
    <col min="14" max="14" width="6.85546875" style="14" customWidth="1"/>
    <col min="15" max="15" width="14.140625" style="14" customWidth="1"/>
    <col min="16" max="16" width="7.5703125" style="14" customWidth="1"/>
    <col min="17" max="17" width="3.28515625" style="14" customWidth="1"/>
    <col min="18" max="18" width="12.85546875" style="14" customWidth="1"/>
    <col min="19" max="19" width="9.42578125" style="14" customWidth="1"/>
    <col min="20" max="20" width="24.140625" style="14" customWidth="1"/>
    <col min="21" max="21" width="7.85546875" style="14" customWidth="1"/>
    <col min="22" max="22" width="8.140625" style="14" customWidth="1"/>
    <col min="23" max="23" width="6" style="14" bestFit="1" customWidth="1"/>
    <col min="24" max="24" width="7.7109375" style="14" customWidth="1"/>
    <col min="25" max="16384" width="9.140625" style="14"/>
  </cols>
  <sheetData>
    <row r="1" spans="1:23" ht="23.25">
      <c r="B1" s="799" t="s">
        <v>3</v>
      </c>
      <c r="C1" s="799"/>
      <c r="D1" s="799"/>
      <c r="E1" s="799"/>
      <c r="F1" s="799"/>
      <c r="G1" s="799"/>
      <c r="H1" s="799"/>
      <c r="I1" s="799"/>
      <c r="J1" s="799"/>
      <c r="K1" s="799"/>
      <c r="L1" s="799"/>
      <c r="O1" s="125" t="s">
        <v>316</v>
      </c>
      <c r="P1" s="126"/>
      <c r="T1" s="27"/>
      <c r="U1" s="27"/>
    </row>
    <row r="2" spans="1:23" s="128" customFormat="1" ht="23.25">
      <c r="A2" s="127"/>
      <c r="B2" s="800" t="s">
        <v>415</v>
      </c>
      <c r="C2" s="800"/>
      <c r="D2" s="800"/>
      <c r="E2" s="800"/>
      <c r="F2" s="800"/>
      <c r="G2" s="800"/>
      <c r="H2" s="800"/>
      <c r="I2" s="800"/>
      <c r="J2" s="800"/>
      <c r="K2" s="800"/>
      <c r="L2" s="800"/>
      <c r="N2" s="14"/>
      <c r="O2" s="129" t="s">
        <v>317</v>
      </c>
      <c r="P2" s="130"/>
      <c r="Q2" s="131"/>
      <c r="R2" s="130"/>
      <c r="S2" s="132"/>
      <c r="T2" s="27"/>
      <c r="U2" s="27"/>
    </row>
    <row r="3" spans="1:23" s="128" customFormat="1" ht="17.25" customHeight="1">
      <c r="A3" s="14"/>
      <c r="B3" s="27"/>
      <c r="C3" s="27"/>
      <c r="D3" s="27"/>
      <c r="E3" s="27"/>
      <c r="F3" s="27"/>
      <c r="G3" s="27"/>
      <c r="I3" s="133" t="s">
        <v>507</v>
      </c>
      <c r="J3" s="27"/>
      <c r="K3" s="27"/>
      <c r="L3" s="27"/>
      <c r="M3" s="27"/>
      <c r="N3" s="14"/>
      <c r="O3" s="14" t="s">
        <v>63</v>
      </c>
      <c r="P3" s="134">
        <v>2</v>
      </c>
      <c r="Q3" s="22" t="s">
        <v>133</v>
      </c>
      <c r="R3" s="27" t="s">
        <v>136</v>
      </c>
      <c r="S3" s="27"/>
      <c r="T3" s="135"/>
    </row>
    <row r="4" spans="1:23" ht="17.25" customHeight="1">
      <c r="B4" s="124" t="s">
        <v>318</v>
      </c>
      <c r="D4" s="136" t="s">
        <v>490</v>
      </c>
      <c r="M4" s="279"/>
      <c r="O4" s="14" t="s">
        <v>65</v>
      </c>
      <c r="P4" s="134">
        <v>2</v>
      </c>
      <c r="Q4" s="22" t="s">
        <v>133</v>
      </c>
      <c r="R4" s="27" t="s">
        <v>152</v>
      </c>
      <c r="S4" s="27"/>
      <c r="T4" s="135"/>
      <c r="U4" s="128"/>
    </row>
    <row r="5" spans="1:23" s="327" customFormat="1" ht="17.25" hidden="1" customHeight="1">
      <c r="B5" s="328"/>
      <c r="D5" s="136"/>
      <c r="M5" s="279"/>
      <c r="O5" s="630"/>
      <c r="P5" s="134"/>
      <c r="Q5" s="22"/>
      <c r="R5" s="27"/>
      <c r="S5" s="27"/>
      <c r="T5" s="135"/>
      <c r="U5" s="128"/>
    </row>
    <row r="6" spans="1:23" ht="17.25" customHeight="1">
      <c r="B6" s="274" t="s">
        <v>319</v>
      </c>
      <c r="D6" s="136" t="s">
        <v>493</v>
      </c>
      <c r="J6" s="27"/>
      <c r="K6" s="27"/>
      <c r="M6" s="27"/>
      <c r="O6" s="138" t="s">
        <v>67</v>
      </c>
      <c r="P6" s="139">
        <v>1.0129999999999999</v>
      </c>
      <c r="Q6" s="22" t="s">
        <v>133</v>
      </c>
      <c r="R6" s="140" t="s">
        <v>134</v>
      </c>
      <c r="S6" s="141"/>
    </row>
    <row r="7" spans="1:23" ht="17.25" customHeight="1">
      <c r="B7" s="14" t="s">
        <v>46</v>
      </c>
      <c r="C7" s="283"/>
      <c r="D7" s="273" t="s">
        <v>45</v>
      </c>
      <c r="E7" s="142" t="s">
        <v>494</v>
      </c>
      <c r="F7" s="142"/>
      <c r="G7" s="142"/>
      <c r="H7" s="142"/>
      <c r="I7" s="143" t="s">
        <v>254</v>
      </c>
      <c r="J7" s="280"/>
      <c r="K7" s="280"/>
      <c r="L7" s="144">
        <v>0.251</v>
      </c>
      <c r="M7" s="27" t="s">
        <v>41</v>
      </c>
      <c r="Q7" s="22" t="s">
        <v>133</v>
      </c>
      <c r="R7" s="140" t="s">
        <v>135</v>
      </c>
      <c r="U7" s="27"/>
    </row>
    <row r="8" spans="1:23" ht="17.25" customHeight="1">
      <c r="B8" s="665" t="s">
        <v>47</v>
      </c>
      <c r="C8" s="136" t="s">
        <v>489</v>
      </c>
      <c r="D8" s="145"/>
      <c r="F8" s="145"/>
      <c r="G8" s="281"/>
      <c r="I8" s="145" t="s">
        <v>253</v>
      </c>
      <c r="J8" s="280"/>
      <c r="K8" s="280"/>
      <c r="L8" s="144"/>
      <c r="M8" s="27" t="s">
        <v>41</v>
      </c>
      <c r="O8" s="14" t="s">
        <v>137</v>
      </c>
      <c r="P8" s="134">
        <v>7</v>
      </c>
      <c r="Q8" s="14" t="s">
        <v>62</v>
      </c>
      <c r="R8" s="14" t="s">
        <v>138</v>
      </c>
    </row>
    <row r="9" spans="1:23" ht="17.25" customHeight="1">
      <c r="B9" s="146"/>
      <c r="G9" s="42" t="s">
        <v>132</v>
      </c>
      <c r="I9" s="22"/>
      <c r="J9" s="27"/>
      <c r="K9" s="27"/>
      <c r="M9" s="27"/>
      <c r="N9" s="128"/>
      <c r="O9" s="14" t="s">
        <v>64</v>
      </c>
      <c r="P9" s="134">
        <v>0</v>
      </c>
      <c r="Q9" s="14" t="s">
        <v>62</v>
      </c>
    </row>
    <row r="10" spans="1:23" ht="17.25" customHeight="1">
      <c r="A10" s="14">
        <v>1</v>
      </c>
      <c r="B10" s="147" t="s">
        <v>487</v>
      </c>
      <c r="E10" s="14" t="s">
        <v>52</v>
      </c>
      <c r="G10" s="148">
        <v>180</v>
      </c>
      <c r="H10" s="145" t="s">
        <v>4</v>
      </c>
      <c r="I10" s="14" t="s">
        <v>5</v>
      </c>
      <c r="J10" s="136">
        <v>40</v>
      </c>
      <c r="K10" s="22" t="s">
        <v>6</v>
      </c>
      <c r="L10" s="11">
        <f>IF(P$3=1,IF(J10&lt;=200,VLOOKUP(J10,'S2'!B$5:'S2'!F$204,3),IF(J10&gt;200,(J10-200)*'S2'!D$205+'S2'!D$204)),IF(P$3=2,IF(J10&lt;=200,VLOOKUP(J10,'S2'!B$5:'S2'!F$204,5),IF(J10&gt;200,(J10-200)*'S2'!F$205+'S2'!F$204))))</f>
        <v>87.96</v>
      </c>
      <c r="M10" s="14" t="s">
        <v>19</v>
      </c>
      <c r="N10" s="128"/>
      <c r="O10" s="14" t="s">
        <v>66</v>
      </c>
      <c r="P10" s="134">
        <v>0</v>
      </c>
      <c r="Q10" s="14" t="s">
        <v>62</v>
      </c>
      <c r="S10" s="128"/>
    </row>
    <row r="11" spans="1:23" ht="17.25" customHeight="1">
      <c r="A11" s="14">
        <v>2</v>
      </c>
      <c r="B11" s="147" t="s">
        <v>487</v>
      </c>
      <c r="C11" s="661"/>
      <c r="E11" s="14" t="s">
        <v>60</v>
      </c>
      <c r="G11" s="148">
        <v>180</v>
      </c>
      <c r="H11" s="145" t="s">
        <v>4</v>
      </c>
      <c r="I11" s="14" t="s">
        <v>5</v>
      </c>
      <c r="J11" s="136">
        <f>J10</f>
        <v>40</v>
      </c>
      <c r="K11" s="22" t="s">
        <v>6</v>
      </c>
      <c r="L11" s="11">
        <f>IF(P$3=1,IF(J11&lt;=200,VLOOKUP(J11,'S2'!B$5:'S2'!F$204,3),IF(J11&gt;200,(J11-200)*'S2'!D$205+'S2'!D$204)),IF(P$3=2,IF(J11&lt;=200,VLOOKUP(J11,'S2'!B$5:'S2'!F$204,5),IF(J11&gt;200,(J11-200)*'S2'!F$205+'S2'!F$204))))</f>
        <v>87.96</v>
      </c>
      <c r="M11" s="14" t="s">
        <v>19</v>
      </c>
      <c r="O11" s="14" t="s">
        <v>68</v>
      </c>
      <c r="P11" s="134">
        <v>0</v>
      </c>
      <c r="Q11" s="14" t="s">
        <v>62</v>
      </c>
    </row>
    <row r="12" spans="1:23" ht="17.25" customHeight="1">
      <c r="A12" s="14">
        <v>3</v>
      </c>
      <c r="B12" s="147" t="s">
        <v>487</v>
      </c>
      <c r="C12" s="661"/>
      <c r="E12" s="14" t="s">
        <v>128</v>
      </c>
      <c r="G12" s="148">
        <v>330</v>
      </c>
      <c r="H12" s="145" t="s">
        <v>4</v>
      </c>
      <c r="I12" s="14" t="s">
        <v>7</v>
      </c>
      <c r="J12" s="136">
        <f>J10</f>
        <v>40</v>
      </c>
      <c r="K12" s="22" t="s">
        <v>6</v>
      </c>
      <c r="L12" s="11">
        <f>IF(P$3=1,IF(J12&lt;=200,VLOOKUP(J12,'S2'!B$5:'S2'!F$204,3),IF(J12&gt;200,(J12-200)*'S2'!D$205+'S2'!D$204)),IF(P$3=2,IF(J12&lt;=200,VLOOKUP(J12,'S2'!B$5:'S2'!F$204,5),IF(J12&gt;200,(J12-200)*'S2'!F$205+'S2'!F$204))))</f>
        <v>87.96</v>
      </c>
      <c r="M12" s="14" t="s">
        <v>19</v>
      </c>
      <c r="O12" s="14" t="s">
        <v>69</v>
      </c>
      <c r="P12" s="134">
        <v>7</v>
      </c>
      <c r="Q12" s="14" t="s">
        <v>62</v>
      </c>
    </row>
    <row r="13" spans="1:23" ht="17.25" customHeight="1">
      <c r="A13" s="14">
        <v>4</v>
      </c>
      <c r="B13" s="147" t="s">
        <v>487</v>
      </c>
      <c r="C13" s="661"/>
      <c r="E13" s="14" t="s">
        <v>129</v>
      </c>
      <c r="G13" s="148">
        <v>330</v>
      </c>
      <c r="H13" s="145" t="s">
        <v>4</v>
      </c>
      <c r="I13" s="14" t="s">
        <v>7</v>
      </c>
      <c r="J13" s="136">
        <f>J10</f>
        <v>40</v>
      </c>
      <c r="K13" s="22" t="s">
        <v>6</v>
      </c>
      <c r="L13" s="11">
        <f>IF(P$3=1,IF(J13&lt;=200,VLOOKUP(J13,'S2'!B$5:'S2'!F$204,3),IF(J13&gt;200,(J13-200)*'S2'!D$205+'S2'!D$204)),IF(P$3=2,IF(J13&lt;=200,VLOOKUP(J13,'S2'!B$5:'S2'!F$204,5),IF(J13&gt;200,(J13-200)*'S2'!F$205+'S2'!F$204))))</f>
        <v>87.96</v>
      </c>
      <c r="M13" s="14" t="s">
        <v>19</v>
      </c>
      <c r="O13" s="1" t="s">
        <v>70</v>
      </c>
      <c r="P13" s="149">
        <v>30.5</v>
      </c>
      <c r="Q13" s="15"/>
      <c r="R13" s="145" t="s">
        <v>485</v>
      </c>
      <c r="S13" s="1"/>
    </row>
    <row r="14" spans="1:23" ht="17.25" customHeight="1">
      <c r="A14" s="14">
        <v>5</v>
      </c>
      <c r="B14" s="147" t="s">
        <v>487</v>
      </c>
      <c r="C14" s="661"/>
      <c r="E14" s="14" t="s">
        <v>130</v>
      </c>
      <c r="G14" s="148">
        <v>225</v>
      </c>
      <c r="H14" s="145" t="s">
        <v>4</v>
      </c>
      <c r="I14" s="14" t="s">
        <v>7</v>
      </c>
      <c r="J14" s="136">
        <f>J10</f>
        <v>40</v>
      </c>
      <c r="K14" s="22" t="s">
        <v>6</v>
      </c>
      <c r="L14" s="11">
        <f>IF(P$3=1,IF(J14&lt;=200,VLOOKUP(J14,'S2'!B$5:'S2'!F$204,3),IF(J14&gt;200,(J14-200)*'S2'!D$205+'S2'!D$204)),IF(P$3=2,IF(J14&lt;=200,VLOOKUP(J14,'S2'!B$5:'S2'!F$204,5),IF(J14&gt;200,(J14-200)*'S2'!F$205+'S2'!F$204))))</f>
        <v>87.96</v>
      </c>
      <c r="M14" s="14" t="s">
        <v>19</v>
      </c>
      <c r="O14" s="2" t="s">
        <v>71</v>
      </c>
      <c r="P14" s="61">
        <v>0</v>
      </c>
      <c r="Q14" s="16">
        <v>0</v>
      </c>
      <c r="R14" s="1" t="s">
        <v>72</v>
      </c>
      <c r="S14" s="10"/>
    </row>
    <row r="15" spans="1:23" ht="17.25" customHeight="1">
      <c r="A15" s="14">
        <v>6</v>
      </c>
      <c r="B15" s="147" t="s">
        <v>487</v>
      </c>
      <c r="C15" s="661"/>
      <c r="E15" s="635" t="s">
        <v>131</v>
      </c>
      <c r="F15" s="635"/>
      <c r="G15" s="636">
        <v>236</v>
      </c>
      <c r="H15" s="145" t="s">
        <v>4</v>
      </c>
      <c r="I15" s="14" t="s">
        <v>7</v>
      </c>
      <c r="J15" s="136">
        <f t="shared" ref="J15" si="0">J14</f>
        <v>40</v>
      </c>
      <c r="K15" s="22" t="s">
        <v>6</v>
      </c>
      <c r="L15" s="11">
        <f>IF(P$3=1,IF(J15&lt;=200,VLOOKUP(J15,'S2'!B$5:'S2'!F$204,3),IF(J15&gt;200,(J15-200)*'S2'!D$205+'S2'!D$204)),IF(P$3=2,IF(J15&lt;=200,VLOOKUP(J15,'S2'!B$5:'S2'!F$204,5),IF(J15&gt;200,(J15-200)*'S2'!F$205+'S2'!F$204))))</f>
        <v>87.96</v>
      </c>
      <c r="M15" s="14" t="s">
        <v>19</v>
      </c>
      <c r="O15" s="3"/>
      <c r="P15" s="17"/>
      <c r="Q15" s="16">
        <v>1</v>
      </c>
      <c r="R15" s="18" t="s">
        <v>262</v>
      </c>
      <c r="S15" s="798"/>
      <c r="T15" s="798"/>
      <c r="U15" s="798"/>
      <c r="V15" s="798"/>
      <c r="W15" s="798"/>
    </row>
    <row r="16" spans="1:23" ht="17.25" customHeight="1">
      <c r="A16" s="14">
        <v>7</v>
      </c>
      <c r="B16" s="147" t="s">
        <v>270</v>
      </c>
      <c r="E16" s="635" t="s">
        <v>188</v>
      </c>
      <c r="F16" s="635"/>
      <c r="G16" s="329" t="s">
        <v>345</v>
      </c>
      <c r="H16" s="145" t="s">
        <v>4</v>
      </c>
      <c r="I16" s="14" t="s">
        <v>7</v>
      </c>
      <c r="J16" s="136">
        <v>1</v>
      </c>
      <c r="K16" s="22" t="s">
        <v>6</v>
      </c>
      <c r="L16" s="11">
        <f>IF(P$3=1,IF(J16&lt;=200,VLOOKUP(J16,'S2'!B$5:'S2'!F$204,3),IF(J16&gt;200,(J16-200)*'S2'!D$205+'S2'!D$204)),IF(P$3=2,IF(J16&lt;=200,VLOOKUP(J16,'S2'!B$5:'S2'!F$204,5),IF(J16&gt;200,(J16-200)*'S2'!F$205+'S2'!F$204))))</f>
        <v>6.3</v>
      </c>
      <c r="M16" s="14" t="s">
        <v>19</v>
      </c>
      <c r="Q16" s="16">
        <v>2</v>
      </c>
      <c r="R16" s="18" t="s">
        <v>263</v>
      </c>
    </row>
    <row r="17" spans="1:25" ht="17.25" customHeight="1">
      <c r="A17" s="14">
        <v>8</v>
      </c>
      <c r="B17" s="147" t="s">
        <v>270</v>
      </c>
      <c r="E17" s="635" t="s">
        <v>8</v>
      </c>
      <c r="F17" s="635"/>
      <c r="G17" s="329" t="s">
        <v>345</v>
      </c>
      <c r="H17" s="145" t="s">
        <v>4</v>
      </c>
      <c r="I17" s="14" t="s">
        <v>7</v>
      </c>
      <c r="J17" s="136">
        <v>1</v>
      </c>
      <c r="K17" s="22" t="s">
        <v>6</v>
      </c>
      <c r="L17" s="11">
        <f>IF(P$3=1,IF(J17&lt;=200,VLOOKUP(J17,'S2'!B$5:'S2'!F$204,3),IF(J17&gt;200,(J17-200)*'S2'!D$205+'S2'!D$204)),IF(P$3=2,IF(J17&lt;=200,VLOOKUP(J17,'S2'!B$5:'S2'!F$204,5),IF(J17&gt;200,(J17-200)*'S2'!F$205+'S2'!F$204))))</f>
        <v>6.3</v>
      </c>
      <c r="M17" s="14" t="s">
        <v>19</v>
      </c>
      <c r="O17" s="14" t="s">
        <v>320</v>
      </c>
      <c r="P17" s="15"/>
      <c r="Q17" s="18"/>
    </row>
    <row r="18" spans="1:25" ht="17.25" customHeight="1">
      <c r="A18" s="14">
        <v>9</v>
      </c>
      <c r="B18" s="147" t="s">
        <v>270</v>
      </c>
      <c r="E18" s="635" t="s">
        <v>157</v>
      </c>
      <c r="F18" s="635"/>
      <c r="G18" s="329" t="s">
        <v>345</v>
      </c>
      <c r="H18" s="145" t="s">
        <v>4</v>
      </c>
      <c r="I18" s="14" t="s">
        <v>7</v>
      </c>
      <c r="J18" s="136">
        <v>1</v>
      </c>
      <c r="K18" s="22" t="s">
        <v>6</v>
      </c>
      <c r="L18" s="11">
        <f>IF(P$3=1,IF(J18&lt;=200,VLOOKUP(J18,'S2'!B$5:'S2'!F$204,3),IF(J18&gt;200,(J18-200)*'S2'!D$205+'S2'!D$204)),IF(P$3=2,IF(J18&lt;=200,VLOOKUP(J18,'S2'!B$5:'S2'!F$204,5),IF(J18&gt;200,(J18-200)*'S2'!F$205+'S2'!F$204))))</f>
        <v>6.3</v>
      </c>
      <c r="M18" s="14" t="s">
        <v>19</v>
      </c>
      <c r="O18" s="14" t="s">
        <v>321</v>
      </c>
      <c r="P18" s="65"/>
      <c r="Q18" s="15"/>
      <c r="R18" s="27"/>
      <c r="S18" s="27"/>
      <c r="T18" s="27"/>
    </row>
    <row r="19" spans="1:25" ht="17.25" customHeight="1">
      <c r="A19" s="14">
        <v>10</v>
      </c>
      <c r="B19" s="147" t="s">
        <v>486</v>
      </c>
      <c r="E19" s="635" t="s">
        <v>208</v>
      </c>
      <c r="F19" s="635"/>
      <c r="G19" s="150">
        <v>3149.54</v>
      </c>
      <c r="H19" s="145" t="s">
        <v>9</v>
      </c>
      <c r="I19" s="14" t="s">
        <v>13</v>
      </c>
      <c r="J19" s="136">
        <v>10</v>
      </c>
      <c r="K19" s="22" t="s">
        <v>6</v>
      </c>
      <c r="L19" s="11">
        <f>IF(P$4=1,IF(J19&lt;=200,VLOOKUP(J19,'S2'!B$5:'S2'!F$204,2),IF(J19&gt;200,(J19-200)*'S2'!C$205+'S2'!C$204)),IF(P$4=2,IF(J19&lt;=200,VLOOKUP(J19,'S2'!B$5:'S2'!F$204,4),IF(J19&gt;200,(J19-200)*'S2'!E$205+'S2'!E$204))))</f>
        <v>16.97</v>
      </c>
      <c r="M19" s="14" t="s">
        <v>10</v>
      </c>
      <c r="O19" s="67"/>
      <c r="P19" s="27"/>
      <c r="Q19" s="15"/>
      <c r="R19" s="27"/>
      <c r="S19" s="66"/>
      <c r="T19" s="27"/>
    </row>
    <row r="20" spans="1:25" ht="17.25" customHeight="1">
      <c r="A20" s="14">
        <v>11</v>
      </c>
      <c r="B20" s="147" t="s">
        <v>478</v>
      </c>
      <c r="C20" s="27"/>
      <c r="D20" s="27"/>
      <c r="E20" s="635" t="s">
        <v>454</v>
      </c>
      <c r="F20" s="635"/>
      <c r="G20" s="278">
        <v>25600</v>
      </c>
      <c r="H20" s="151" t="s">
        <v>9</v>
      </c>
      <c r="I20" s="27" t="s">
        <v>12</v>
      </c>
      <c r="J20" s="136">
        <v>140</v>
      </c>
      <c r="K20" s="22" t="s">
        <v>6</v>
      </c>
      <c r="L20" s="11">
        <f>IF(P$4=1,IF(J20&lt;=200,VLOOKUP(J20,'S2'!B$5:'S2'!F$204,2),IF(J20&gt;200,(J20-200)*'S2'!C$205+'S2'!C$204)),IF(P$4=2,IF(J20&lt;=200,VLOOKUP(J20,'S2'!B$5:'S2'!F$204,4),IF(J20&gt;200,(J20-200)*'S2'!E$205+'S2'!E$204))))</f>
        <v>218.33</v>
      </c>
      <c r="M20" s="14" t="s">
        <v>10</v>
      </c>
      <c r="O20" s="67"/>
      <c r="P20" s="27"/>
      <c r="Q20" s="15"/>
      <c r="R20" s="27"/>
      <c r="S20" s="66"/>
      <c r="T20" s="27"/>
    </row>
    <row r="21" spans="1:25" ht="17.25" customHeight="1">
      <c r="A21" s="14">
        <v>12</v>
      </c>
      <c r="B21" s="147" t="str">
        <f>B20</f>
        <v>พานิชย์กรุงเทพมหานคร</v>
      </c>
      <c r="C21" s="27"/>
      <c r="D21" s="27"/>
      <c r="E21" s="635" t="s">
        <v>455</v>
      </c>
      <c r="F21" s="635"/>
      <c r="G21" s="278">
        <v>21900</v>
      </c>
      <c r="H21" s="151" t="s">
        <v>9</v>
      </c>
      <c r="I21" s="27" t="s">
        <v>11</v>
      </c>
      <c r="J21" s="136">
        <v>140</v>
      </c>
      <c r="K21" s="22" t="s">
        <v>6</v>
      </c>
      <c r="L21" s="11">
        <f>IF(P$4=1,IF(J21&lt;=200,VLOOKUP(J21,'S2'!B$5:'S2'!F$204,2),IF(J21&gt;200,(J21-200)*'S2'!C$205+'S2'!C$204)),IF(P$4=2,IF(J21&lt;=200,VLOOKUP(J21,'S2'!B$5:'S2'!F$204,4),IF(J21&gt;200,(J21-200)*'S2'!E$205+'S2'!E$204))))</f>
        <v>218.33</v>
      </c>
      <c r="M21" s="14" t="s">
        <v>10</v>
      </c>
      <c r="O21" s="124" t="s">
        <v>259</v>
      </c>
      <c r="P21" s="166" t="s">
        <v>511</v>
      </c>
      <c r="S21" s="124" t="s">
        <v>261</v>
      </c>
      <c r="T21" s="166" t="s">
        <v>508</v>
      </c>
      <c r="U21" s="152"/>
    </row>
    <row r="22" spans="1:25" ht="17.25" customHeight="1">
      <c r="A22" s="14">
        <v>13</v>
      </c>
      <c r="B22" s="147" t="str">
        <f>B20</f>
        <v>พานิชย์กรุงเทพมหานคร</v>
      </c>
      <c r="C22" s="27"/>
      <c r="D22" s="27"/>
      <c r="E22" s="635" t="s">
        <v>127</v>
      </c>
      <c r="F22" s="635"/>
      <c r="G22" s="278">
        <v>22500</v>
      </c>
      <c r="H22" s="151" t="s">
        <v>9</v>
      </c>
      <c r="I22" s="27" t="s">
        <v>13</v>
      </c>
      <c r="J22" s="136">
        <v>140</v>
      </c>
      <c r="K22" s="22" t="s">
        <v>6</v>
      </c>
      <c r="L22" s="11">
        <f>IF(P$4=1,IF(J22&lt;=200,VLOOKUP(J22,'S2'!B$5:'S2'!F$204,2),IF(J22&gt;200,(J22-200)*'S2'!C$205+'S2'!C$204)),IF(P$4=2,IF(J22&lt;=200,VLOOKUP(J22,'S2'!B$5:'S2'!F$204,4),IF(J22&gt;200,(J22-200)*'S2'!E$205+'S2'!E$204))))</f>
        <v>218.33</v>
      </c>
      <c r="M22" s="14" t="s">
        <v>10</v>
      </c>
      <c r="O22" s="124" t="s">
        <v>260</v>
      </c>
      <c r="P22" s="166" t="s">
        <v>512</v>
      </c>
      <c r="S22" s="124" t="s">
        <v>261</v>
      </c>
      <c r="T22" s="166" t="s">
        <v>509</v>
      </c>
      <c r="U22" s="154"/>
      <c r="V22" s="155"/>
      <c r="W22" s="27"/>
      <c r="X22" s="22"/>
      <c r="Y22" s="68"/>
    </row>
    <row r="23" spans="1:25" ht="17.25" customHeight="1">
      <c r="G23" s="42" t="s">
        <v>14</v>
      </c>
      <c r="H23" s="146"/>
      <c r="O23" s="662" t="s">
        <v>484</v>
      </c>
      <c r="P23" s="166" t="s">
        <v>513</v>
      </c>
      <c r="Q23" s="241"/>
      <c r="R23" s="241"/>
      <c r="S23" s="242" t="s">
        <v>261</v>
      </c>
      <c r="T23" s="166" t="s">
        <v>510</v>
      </c>
      <c r="U23" s="154"/>
      <c r="V23" s="158"/>
      <c r="W23" s="27"/>
      <c r="X23" s="22"/>
      <c r="Y23" s="68"/>
    </row>
    <row r="24" spans="1:25" ht="17.25" customHeight="1">
      <c r="B24" s="41" t="s">
        <v>189</v>
      </c>
      <c r="C24" s="159"/>
      <c r="O24" s="154"/>
      <c r="P24" s="156"/>
      <c r="Q24" s="157"/>
      <c r="R24" s="153"/>
      <c r="S24" s="154"/>
      <c r="T24" s="154"/>
      <c r="U24" s="154"/>
      <c r="V24" s="158"/>
      <c r="W24" s="27"/>
      <c r="X24" s="22"/>
      <c r="Y24" s="68"/>
    </row>
    <row r="25" spans="1:25" ht="17.25" customHeight="1">
      <c r="B25" s="4" t="s">
        <v>120</v>
      </c>
      <c r="C25" s="4"/>
      <c r="K25" s="22" t="s">
        <v>15</v>
      </c>
      <c r="L25" s="11" t="str">
        <f>+G16</f>
        <v>-</v>
      </c>
      <c r="M25" s="14" t="s">
        <v>53</v>
      </c>
      <c r="O25" s="154"/>
      <c r="P25" s="156"/>
      <c r="Q25" s="157"/>
      <c r="R25" s="154"/>
      <c r="S25" s="154"/>
      <c r="T25" s="154"/>
      <c r="U25" s="154"/>
      <c r="V25" s="158"/>
      <c r="W25" s="27"/>
    </row>
    <row r="26" spans="1:25" ht="17.25" customHeight="1">
      <c r="B26" s="4" t="s">
        <v>121</v>
      </c>
      <c r="C26" s="4"/>
      <c r="F26" s="146"/>
      <c r="K26" s="22" t="s">
        <v>15</v>
      </c>
      <c r="L26" s="11">
        <f>+'S2'!$BF$34</f>
        <v>21.77</v>
      </c>
      <c r="M26" s="14" t="s">
        <v>53</v>
      </c>
      <c r="O26" s="152"/>
      <c r="P26" s="156"/>
      <c r="Q26" s="160"/>
      <c r="R26" s="152"/>
      <c r="S26" s="152"/>
      <c r="T26" s="152"/>
      <c r="U26" s="152"/>
      <c r="V26" s="161"/>
    </row>
    <row r="27" spans="1:25" ht="17.25" customHeight="1">
      <c r="B27" s="4" t="s">
        <v>122</v>
      </c>
      <c r="C27" s="4"/>
      <c r="K27" s="22" t="s">
        <v>15</v>
      </c>
      <c r="L27" s="11">
        <f>+L16</f>
        <v>6.3</v>
      </c>
      <c r="M27" s="14" t="s">
        <v>53</v>
      </c>
      <c r="O27" s="152"/>
      <c r="P27" s="156"/>
      <c r="Q27" s="162"/>
      <c r="R27" s="152"/>
      <c r="S27" s="154"/>
      <c r="T27" s="152"/>
      <c r="U27" s="152"/>
      <c r="V27" s="161"/>
    </row>
    <row r="28" spans="1:25" ht="17.25" customHeight="1">
      <c r="B28" s="4" t="s">
        <v>214</v>
      </c>
      <c r="K28" s="22" t="s">
        <v>15</v>
      </c>
      <c r="L28" s="163">
        <f>ROUND(SUM(L24:L27),2)</f>
        <v>28.07</v>
      </c>
      <c r="M28" s="14" t="s">
        <v>53</v>
      </c>
      <c r="O28" s="152"/>
      <c r="P28" s="156"/>
      <c r="Q28" s="160"/>
      <c r="R28" s="152"/>
      <c r="S28" s="152"/>
      <c r="T28" s="152"/>
      <c r="U28" s="152"/>
      <c r="V28" s="161"/>
    </row>
    <row r="29" spans="1:25" ht="17.25" customHeight="1">
      <c r="B29" s="4"/>
      <c r="G29" s="4" t="s">
        <v>209</v>
      </c>
      <c r="H29" s="164">
        <v>1.6</v>
      </c>
      <c r="K29" s="22" t="s">
        <v>15</v>
      </c>
      <c r="L29" s="165">
        <f>ROUND(H29*L28,2)</f>
        <v>44.91</v>
      </c>
      <c r="M29" s="14" t="s">
        <v>56</v>
      </c>
      <c r="O29" s="152"/>
      <c r="P29" s="156"/>
      <c r="Q29" s="160"/>
      <c r="R29" s="152"/>
      <c r="S29" s="152"/>
      <c r="T29" s="152"/>
      <c r="U29" s="152"/>
      <c r="V29" s="161"/>
    </row>
    <row r="30" spans="1:25" ht="17.25" customHeight="1">
      <c r="B30" s="4" t="s">
        <v>123</v>
      </c>
      <c r="C30" s="4"/>
      <c r="K30" s="22" t="s">
        <v>15</v>
      </c>
      <c r="L30" s="11">
        <f>+'S2'!$BF$35</f>
        <v>45.94</v>
      </c>
      <c r="M30" s="14" t="s">
        <v>56</v>
      </c>
      <c r="O30" s="152"/>
      <c r="P30" s="156"/>
      <c r="Q30" s="160"/>
      <c r="R30" s="152"/>
      <c r="S30" s="152"/>
      <c r="T30" s="152"/>
      <c r="U30" s="152"/>
      <c r="V30" s="161"/>
    </row>
    <row r="31" spans="1:25" ht="17.25" customHeight="1">
      <c r="B31" s="4" t="s">
        <v>215</v>
      </c>
      <c r="K31" s="22" t="s">
        <v>15</v>
      </c>
      <c r="L31" s="163">
        <f>ROUND(SUM(L29:L30),2)</f>
        <v>90.85</v>
      </c>
      <c r="M31" s="14" t="s">
        <v>56</v>
      </c>
      <c r="O31" s="152"/>
      <c r="P31" s="156"/>
      <c r="Q31" s="160"/>
      <c r="R31" s="152"/>
      <c r="S31" s="152"/>
      <c r="T31" s="152"/>
      <c r="U31" s="152"/>
      <c r="V31" s="161"/>
    </row>
    <row r="32" spans="1:25" ht="17.25" customHeight="1">
      <c r="B32" s="41" t="s">
        <v>190</v>
      </c>
      <c r="C32" s="159"/>
      <c r="O32" s="152"/>
      <c r="P32" s="156"/>
      <c r="Q32" s="162"/>
      <c r="R32" s="152"/>
      <c r="S32" s="154"/>
      <c r="T32" s="152"/>
      <c r="U32" s="152"/>
      <c r="V32" s="161"/>
    </row>
    <row r="33" spans="2:23" ht="17.25" customHeight="1">
      <c r="B33" s="4" t="s">
        <v>120</v>
      </c>
      <c r="C33" s="4"/>
      <c r="K33" s="22" t="s">
        <v>15</v>
      </c>
      <c r="L33" s="11" t="str">
        <f>+G18</f>
        <v>-</v>
      </c>
      <c r="M33" s="14" t="s">
        <v>53</v>
      </c>
      <c r="O33" s="152"/>
      <c r="P33" s="156"/>
      <c r="Q33" s="160"/>
      <c r="R33" s="152"/>
      <c r="S33" s="152"/>
      <c r="T33" s="152"/>
      <c r="U33" s="152"/>
      <c r="V33" s="161"/>
    </row>
    <row r="34" spans="2:23" ht="17.25" customHeight="1">
      <c r="B34" s="4" t="s">
        <v>121</v>
      </c>
      <c r="C34" s="4"/>
      <c r="F34" s="146"/>
      <c r="K34" s="22" t="s">
        <v>15</v>
      </c>
      <c r="L34" s="11">
        <f>+'S2'!$BF$5</f>
        <v>32.07</v>
      </c>
      <c r="M34" s="14" t="s">
        <v>53</v>
      </c>
      <c r="O34" s="152"/>
      <c r="P34" s="156"/>
      <c r="Q34" s="160"/>
      <c r="R34" s="152"/>
      <c r="S34" s="152"/>
      <c r="T34" s="152"/>
      <c r="U34" s="152"/>
      <c r="V34" s="163"/>
    </row>
    <row r="35" spans="2:23" ht="17.25" customHeight="1">
      <c r="B35" s="4" t="s">
        <v>122</v>
      </c>
      <c r="C35" s="4"/>
      <c r="K35" s="22" t="s">
        <v>15</v>
      </c>
      <c r="L35" s="11">
        <f>+L18</f>
        <v>6.3</v>
      </c>
      <c r="M35" s="14" t="s">
        <v>53</v>
      </c>
      <c r="O35" s="152"/>
      <c r="P35" s="156"/>
      <c r="Q35" s="160"/>
      <c r="R35" s="152"/>
      <c r="S35" s="152"/>
      <c r="T35" s="152"/>
      <c r="U35" s="152"/>
      <c r="V35" s="163"/>
    </row>
    <row r="36" spans="2:23" ht="17.25" customHeight="1">
      <c r="B36" s="4" t="s">
        <v>214</v>
      </c>
      <c r="K36" s="22" t="s">
        <v>15</v>
      </c>
      <c r="L36" s="163">
        <f>ROUND(SUM(L33:L35),2)</f>
        <v>38.369999999999997</v>
      </c>
      <c r="M36" s="14" t="s">
        <v>53</v>
      </c>
      <c r="O36" s="152"/>
      <c r="P36" s="156"/>
      <c r="Q36" s="160"/>
      <c r="R36" s="152"/>
      <c r="S36" s="152"/>
      <c r="T36" s="152"/>
      <c r="U36" s="152"/>
      <c r="V36" s="161"/>
    </row>
    <row r="37" spans="2:23" ht="17.25" customHeight="1">
      <c r="B37" s="4"/>
      <c r="G37" s="4" t="s">
        <v>209</v>
      </c>
      <c r="H37" s="164">
        <v>1.6</v>
      </c>
      <c r="K37" s="22" t="s">
        <v>15</v>
      </c>
      <c r="L37" s="165">
        <f>ROUND(H37*L36,2)</f>
        <v>61.39</v>
      </c>
      <c r="M37" s="14" t="s">
        <v>56</v>
      </c>
      <c r="O37" s="124"/>
      <c r="P37" s="156"/>
      <c r="Q37" s="167"/>
      <c r="R37" s="167"/>
    </row>
    <row r="38" spans="2:23" ht="17.25" customHeight="1">
      <c r="B38" s="4" t="s">
        <v>123</v>
      </c>
      <c r="C38" s="4"/>
      <c r="K38" s="22" t="s">
        <v>15</v>
      </c>
      <c r="L38" s="11">
        <f>+'S2'!$BF$7</f>
        <v>55.12</v>
      </c>
      <c r="M38" s="14" t="s">
        <v>56</v>
      </c>
      <c r="O38" s="152"/>
      <c r="R38" s="42"/>
      <c r="S38" s="168"/>
      <c r="T38" s="70"/>
      <c r="U38" s="160"/>
      <c r="V38" s="69"/>
      <c r="W38" s="22"/>
    </row>
    <row r="39" spans="2:23" ht="17.25" customHeight="1">
      <c r="B39" s="4" t="s">
        <v>215</v>
      </c>
      <c r="K39" s="22" t="s">
        <v>15</v>
      </c>
      <c r="L39" s="163">
        <f>ROUND(SUM(L37:L38),2)</f>
        <v>116.51</v>
      </c>
      <c r="M39" s="14" t="s">
        <v>56</v>
      </c>
      <c r="O39" s="152"/>
      <c r="R39" s="42"/>
      <c r="S39" s="168"/>
      <c r="T39" s="70"/>
      <c r="U39" s="160"/>
      <c r="V39" s="69"/>
      <c r="W39" s="22"/>
    </row>
    <row r="40" spans="2:23" ht="17.25" customHeight="1">
      <c r="B40" s="41" t="s">
        <v>191</v>
      </c>
      <c r="C40" s="159"/>
      <c r="O40" s="152"/>
      <c r="R40" s="42"/>
      <c r="S40" s="168"/>
      <c r="T40" s="70"/>
      <c r="U40" s="160"/>
      <c r="V40" s="69"/>
      <c r="W40" s="22"/>
    </row>
    <row r="41" spans="2:23" ht="17.25" customHeight="1">
      <c r="B41" s="4" t="s">
        <v>120</v>
      </c>
      <c r="C41" s="4"/>
      <c r="K41" s="22" t="s">
        <v>15</v>
      </c>
      <c r="L41" s="11" t="str">
        <f>G17</f>
        <v>-</v>
      </c>
      <c r="M41" s="14" t="s">
        <v>53</v>
      </c>
    </row>
    <row r="42" spans="2:23" ht="17.25" customHeight="1">
      <c r="B42" s="4" t="s">
        <v>121</v>
      </c>
      <c r="C42" s="4"/>
      <c r="F42" s="146"/>
      <c r="K42" s="22" t="s">
        <v>15</v>
      </c>
      <c r="L42" s="11">
        <f>'S2'!$BF$5</f>
        <v>32.07</v>
      </c>
      <c r="M42" s="14" t="s">
        <v>53</v>
      </c>
    </row>
    <row r="43" spans="2:23" ht="17.25" customHeight="1">
      <c r="B43" s="4" t="s">
        <v>122</v>
      </c>
      <c r="C43" s="4"/>
      <c r="K43" s="22" t="s">
        <v>15</v>
      </c>
      <c r="L43" s="11">
        <f>L17</f>
        <v>6.3</v>
      </c>
      <c r="M43" s="14" t="s">
        <v>53</v>
      </c>
    </row>
    <row r="44" spans="2:23" ht="17.25" customHeight="1">
      <c r="B44" s="4" t="s">
        <v>216</v>
      </c>
      <c r="K44" s="22" t="s">
        <v>15</v>
      </c>
      <c r="L44" s="163">
        <f>ROUND(SUM(L41:L43),2)</f>
        <v>38.369999999999997</v>
      </c>
      <c r="M44" s="14" t="s">
        <v>53</v>
      </c>
    </row>
    <row r="45" spans="2:23" ht="17.25" customHeight="1">
      <c r="B45" s="4"/>
      <c r="G45" s="4" t="s">
        <v>209</v>
      </c>
      <c r="H45" s="164">
        <v>1.6</v>
      </c>
      <c r="K45" s="22" t="s">
        <v>15</v>
      </c>
      <c r="L45" s="165">
        <f>ROUND(H45*L44,2)</f>
        <v>61.39</v>
      </c>
      <c r="M45" s="14" t="s">
        <v>56</v>
      </c>
    </row>
    <row r="46" spans="2:23" ht="17.25" customHeight="1">
      <c r="B46" s="4" t="s">
        <v>123</v>
      </c>
      <c r="C46" s="4"/>
      <c r="K46" s="22" t="s">
        <v>15</v>
      </c>
      <c r="L46" s="11">
        <f>'S2'!$BF$7</f>
        <v>55.12</v>
      </c>
      <c r="M46" s="14" t="s">
        <v>56</v>
      </c>
    </row>
    <row r="47" spans="2:23" ht="17.25" customHeight="1">
      <c r="B47" s="4" t="s">
        <v>215</v>
      </c>
      <c r="K47" s="22" t="s">
        <v>15</v>
      </c>
      <c r="L47" s="163">
        <f>ROUND(SUM(L45:L46),2)</f>
        <v>116.51</v>
      </c>
      <c r="M47" s="14" t="s">
        <v>56</v>
      </c>
    </row>
    <row r="48" spans="2:23" ht="16.5" customHeight="1">
      <c r="B48" s="124" t="s">
        <v>192</v>
      </c>
      <c r="K48" s="22"/>
      <c r="L48" s="169"/>
    </row>
    <row r="49" spans="2:13" ht="16.5" customHeight="1">
      <c r="B49" s="14" t="s">
        <v>211</v>
      </c>
      <c r="K49" s="22" t="s">
        <v>15</v>
      </c>
      <c r="L49" s="165">
        <f>G10</f>
        <v>180</v>
      </c>
      <c r="M49" s="14" t="s">
        <v>53</v>
      </c>
    </row>
    <row r="50" spans="2:13" ht="16.5" customHeight="1">
      <c r="B50" s="14" t="s">
        <v>122</v>
      </c>
      <c r="K50" s="22" t="s">
        <v>15</v>
      </c>
      <c r="L50" s="165">
        <f>L10</f>
        <v>87.96</v>
      </c>
      <c r="M50" s="14" t="s">
        <v>53</v>
      </c>
    </row>
    <row r="51" spans="2:13" ht="16.5" customHeight="1">
      <c r="B51" s="14" t="s">
        <v>212</v>
      </c>
      <c r="K51" s="22" t="s">
        <v>15</v>
      </c>
      <c r="L51" s="163">
        <f>ROUND(SUM(L49:L50),2)</f>
        <v>267.95999999999998</v>
      </c>
      <c r="M51" s="14" t="s">
        <v>53</v>
      </c>
    </row>
    <row r="52" spans="2:13" ht="16.5" customHeight="1">
      <c r="G52" s="4" t="s">
        <v>209</v>
      </c>
      <c r="H52" s="164">
        <v>1.5</v>
      </c>
      <c r="K52" s="22" t="s">
        <v>15</v>
      </c>
      <c r="L52" s="165">
        <f>ROUND(H52*L51,2)</f>
        <v>401.94</v>
      </c>
      <c r="M52" s="14" t="s">
        <v>56</v>
      </c>
    </row>
    <row r="53" spans="2:13" ht="16.5" customHeight="1">
      <c r="B53" s="4" t="s">
        <v>161</v>
      </c>
      <c r="C53" s="4"/>
      <c r="K53" s="22" t="s">
        <v>15</v>
      </c>
      <c r="L53" s="11">
        <f>+'S2'!$BF$9</f>
        <v>24.71</v>
      </c>
      <c r="M53" s="14" t="s">
        <v>56</v>
      </c>
    </row>
    <row r="54" spans="2:13" ht="16.5" customHeight="1">
      <c r="B54" s="4" t="s">
        <v>123</v>
      </c>
      <c r="C54" s="4"/>
      <c r="K54" s="22" t="s">
        <v>15</v>
      </c>
      <c r="L54" s="11">
        <f>+'S2'!$BF$10</f>
        <v>87.32</v>
      </c>
      <c r="M54" s="14" t="s">
        <v>56</v>
      </c>
    </row>
    <row r="55" spans="2:13" ht="16.5" customHeight="1">
      <c r="B55" s="4" t="s">
        <v>217</v>
      </c>
      <c r="K55" s="22" t="s">
        <v>15</v>
      </c>
      <c r="L55" s="163">
        <f>ROUND(SUM(L52:L54),2)</f>
        <v>513.97</v>
      </c>
      <c r="M55" s="14" t="s">
        <v>56</v>
      </c>
    </row>
    <row r="56" spans="2:13" ht="16.5" customHeight="1">
      <c r="B56" s="124" t="s">
        <v>210</v>
      </c>
      <c r="D56" s="170"/>
      <c r="F56" s="21"/>
    </row>
    <row r="57" spans="2:13" ht="16.5" customHeight="1">
      <c r="B57" s="14" t="s">
        <v>213</v>
      </c>
    </row>
    <row r="58" spans="2:13" ht="16.5" customHeight="1">
      <c r="B58" s="14" t="s">
        <v>17</v>
      </c>
      <c r="K58" s="22" t="s">
        <v>15</v>
      </c>
      <c r="L58" s="11">
        <f>'S2'!$BF$14</f>
        <v>11.36</v>
      </c>
      <c r="M58" s="14" t="s">
        <v>16</v>
      </c>
    </row>
    <row r="59" spans="2:13" ht="16.5" customHeight="1">
      <c r="B59" s="14" t="s">
        <v>193</v>
      </c>
      <c r="G59" s="168"/>
      <c r="H59" s="171">
        <v>0.2</v>
      </c>
      <c r="I59" s="14" t="s">
        <v>48</v>
      </c>
      <c r="K59" s="22" t="s">
        <v>15</v>
      </c>
      <c r="L59" s="11">
        <f>'S2'!$BF$13*2</f>
        <v>28.3</v>
      </c>
      <c r="M59" s="14" t="s">
        <v>16</v>
      </c>
    </row>
    <row r="60" spans="2:13" ht="16.5" customHeight="1">
      <c r="B60" s="14" t="s">
        <v>255</v>
      </c>
      <c r="G60" s="168"/>
      <c r="H60" s="171">
        <v>0.2</v>
      </c>
      <c r="I60" s="14" t="s">
        <v>48</v>
      </c>
      <c r="K60" s="22" t="s">
        <v>15</v>
      </c>
      <c r="L60" s="11">
        <f>'S2'!$BF$12*2</f>
        <v>21.88</v>
      </c>
      <c r="M60" s="14" t="s">
        <v>16</v>
      </c>
    </row>
    <row r="61" spans="2:13" ht="16.5" customHeight="1">
      <c r="B61" s="14" t="s">
        <v>218</v>
      </c>
      <c r="G61" s="168"/>
      <c r="H61" s="171">
        <v>0.25</v>
      </c>
      <c r="I61" s="14" t="s">
        <v>48</v>
      </c>
      <c r="K61" s="22" t="s">
        <v>15</v>
      </c>
      <c r="L61" s="172">
        <f>L52*H61</f>
        <v>100.485</v>
      </c>
      <c r="M61" s="14" t="s">
        <v>16</v>
      </c>
    </row>
    <row r="62" spans="2:13" ht="16.5" customHeight="1">
      <c r="B62" s="14" t="s">
        <v>256</v>
      </c>
      <c r="H62" s="173">
        <f>H59</f>
        <v>0.2</v>
      </c>
      <c r="I62" s="14" t="str">
        <f>I59</f>
        <v>ม. )</v>
      </c>
      <c r="K62" s="22" t="s">
        <v>15</v>
      </c>
      <c r="L62" s="11">
        <f>('S2'!$BF$10+'S2'!$BF$9)*H61</f>
        <v>28.0075</v>
      </c>
      <c r="M62" s="14" t="s">
        <v>16</v>
      </c>
    </row>
    <row r="63" spans="2:13" ht="16.5" customHeight="1">
      <c r="B63" s="14" t="s">
        <v>257</v>
      </c>
      <c r="H63" s="174">
        <f>H60</f>
        <v>0.2</v>
      </c>
      <c r="I63" s="14" t="str">
        <f>I60</f>
        <v>ม. )</v>
      </c>
      <c r="K63" s="22" t="s">
        <v>15</v>
      </c>
      <c r="L63" s="11">
        <f>('S2'!$BF$10+'S2'!$BF$9)*H62</f>
        <v>22.406000000000002</v>
      </c>
      <c r="M63" s="14" t="s">
        <v>16</v>
      </c>
    </row>
    <row r="64" spans="2:13" ht="16.5" customHeight="1">
      <c r="B64" s="14" t="s">
        <v>215</v>
      </c>
      <c r="K64" s="22" t="s">
        <v>15</v>
      </c>
      <c r="L64" s="163">
        <f>ROUND(SUM(L58:L63),2)</f>
        <v>212.44</v>
      </c>
      <c r="M64" s="14" t="s">
        <v>16</v>
      </c>
    </row>
    <row r="65" spans="2:18" ht="18" customHeight="1">
      <c r="B65" s="124" t="s">
        <v>229</v>
      </c>
      <c r="C65" s="175"/>
      <c r="D65" s="175"/>
      <c r="K65" s="22"/>
      <c r="L65" s="169"/>
      <c r="R65" s="17"/>
    </row>
    <row r="66" spans="2:18" ht="16.5" customHeight="1">
      <c r="B66" s="14" t="s">
        <v>211</v>
      </c>
      <c r="K66" s="22" t="s">
        <v>15</v>
      </c>
      <c r="L66" s="165">
        <f>G10</f>
        <v>180</v>
      </c>
      <c r="M66" s="14" t="s">
        <v>53</v>
      </c>
      <c r="R66" s="17"/>
    </row>
    <row r="67" spans="2:18" ht="16.5" customHeight="1">
      <c r="B67" s="14" t="s">
        <v>122</v>
      </c>
      <c r="K67" s="22" t="s">
        <v>15</v>
      </c>
      <c r="L67" s="165">
        <f>L10</f>
        <v>87.96</v>
      </c>
      <c r="M67" s="14" t="s">
        <v>53</v>
      </c>
      <c r="O67" s="17"/>
      <c r="P67" s="17"/>
      <c r="Q67" s="17"/>
    </row>
    <row r="68" spans="2:18" ht="16.5" customHeight="1">
      <c r="B68" s="14" t="s">
        <v>219</v>
      </c>
      <c r="K68" s="22" t="s">
        <v>15</v>
      </c>
      <c r="L68" s="163">
        <f>ROUND(SUM(L66:L67),2)</f>
        <v>267.95999999999998</v>
      </c>
      <c r="M68" s="14" t="s">
        <v>53</v>
      </c>
      <c r="O68" s="19"/>
      <c r="P68" s="17"/>
      <c r="Q68" s="17"/>
    </row>
    <row r="69" spans="2:18" ht="16.5" customHeight="1">
      <c r="B69" s="124" t="s">
        <v>230</v>
      </c>
    </row>
    <row r="70" spans="2:18" ht="13.5" customHeight="1">
      <c r="B70" s="14" t="s">
        <v>220</v>
      </c>
      <c r="K70" s="22" t="s">
        <v>15</v>
      </c>
      <c r="L70" s="172">
        <f>L84</f>
        <v>6.82</v>
      </c>
      <c r="M70" s="14" t="s">
        <v>16</v>
      </c>
    </row>
    <row r="71" spans="2:18" ht="16.5" customHeight="1">
      <c r="B71" s="14" t="s">
        <v>221</v>
      </c>
      <c r="E71" s="14" t="s">
        <v>54</v>
      </c>
      <c r="F71" s="134">
        <v>3</v>
      </c>
      <c r="G71" s="14" t="s">
        <v>43</v>
      </c>
      <c r="H71" s="22">
        <f>41.667/F71</f>
        <v>13.889000000000001</v>
      </c>
      <c r="I71" s="14" t="s">
        <v>55</v>
      </c>
      <c r="K71" s="22" t="s">
        <v>15</v>
      </c>
      <c r="L71" s="172">
        <f>$L$113/H71</f>
        <v>130.01100439196486</v>
      </c>
      <c r="M71" s="14" t="s">
        <v>16</v>
      </c>
    </row>
    <row r="72" spans="2:18" ht="16.5" customHeight="1">
      <c r="B72" s="14" t="s">
        <v>219</v>
      </c>
      <c r="K72" s="22" t="s">
        <v>15</v>
      </c>
      <c r="L72" s="172">
        <f>SUM(L70:L71)</f>
        <v>136.83100439196485</v>
      </c>
      <c r="M72" s="14" t="s">
        <v>16</v>
      </c>
    </row>
    <row r="73" spans="2:18" ht="16.5" customHeight="1">
      <c r="B73" s="14" t="s">
        <v>222</v>
      </c>
      <c r="K73" s="22" t="s">
        <v>15</v>
      </c>
      <c r="L73" s="11">
        <f>'S2'!$BF$16+'S2'!$BF$20*0.8</f>
        <v>16.442</v>
      </c>
      <c r="M73" s="14" t="s">
        <v>16</v>
      </c>
    </row>
    <row r="74" spans="2:18" ht="16.5" customHeight="1">
      <c r="B74" s="14" t="s">
        <v>215</v>
      </c>
      <c r="K74" s="22" t="s">
        <v>15</v>
      </c>
      <c r="L74" s="163">
        <f>ROUND(SUM(L72:L73),2)</f>
        <v>153.27000000000001</v>
      </c>
      <c r="M74" s="14" t="s">
        <v>16</v>
      </c>
    </row>
    <row r="75" spans="2:18" ht="16.5" customHeight="1">
      <c r="B75" s="124" t="s">
        <v>231</v>
      </c>
      <c r="K75" s="22"/>
    </row>
    <row r="76" spans="2:18" ht="16.5" customHeight="1">
      <c r="B76" s="14" t="s">
        <v>223</v>
      </c>
      <c r="K76" s="22" t="s">
        <v>15</v>
      </c>
      <c r="L76" s="172">
        <f>G20</f>
        <v>25600</v>
      </c>
      <c r="M76" s="14" t="s">
        <v>10</v>
      </c>
    </row>
    <row r="77" spans="2:18" ht="16.5" customHeight="1">
      <c r="B77" s="14" t="s">
        <v>122</v>
      </c>
      <c r="K77" s="22" t="s">
        <v>15</v>
      </c>
      <c r="L77" s="176">
        <f>L20</f>
        <v>218.33</v>
      </c>
      <c r="M77" s="14" t="s">
        <v>10</v>
      </c>
    </row>
    <row r="78" spans="2:18" ht="16.5" customHeight="1">
      <c r="B78" s="14" t="s">
        <v>224</v>
      </c>
      <c r="K78" s="22" t="s">
        <v>15</v>
      </c>
      <c r="L78" s="163">
        <f>ROUND(SUM(L76:L77),2)</f>
        <v>25818.33</v>
      </c>
      <c r="M78" s="14" t="s">
        <v>10</v>
      </c>
    </row>
    <row r="79" spans="2:18" ht="16.5" customHeight="1">
      <c r="G79" s="22" t="s">
        <v>194</v>
      </c>
      <c r="H79" s="177">
        <v>1</v>
      </c>
      <c r="I79" s="14" t="s">
        <v>195</v>
      </c>
      <c r="K79" s="22" t="s">
        <v>15</v>
      </c>
      <c r="L79" s="176">
        <f>ROUND(L78*H79/1000,2)</f>
        <v>25.82</v>
      </c>
      <c r="M79" s="14" t="s">
        <v>16</v>
      </c>
    </row>
    <row r="80" spans="2:18" ht="16.5" customHeight="1">
      <c r="B80" s="124" t="s">
        <v>232</v>
      </c>
      <c r="K80" s="22"/>
    </row>
    <row r="81" spans="2:18" ht="16.5" customHeight="1">
      <c r="B81" s="14" t="s">
        <v>223</v>
      </c>
      <c r="K81" s="22" t="s">
        <v>15</v>
      </c>
      <c r="L81" s="176">
        <f>G22</f>
        <v>22500</v>
      </c>
      <c r="M81" s="14" t="s">
        <v>10</v>
      </c>
    </row>
    <row r="82" spans="2:18" ht="16.5" customHeight="1">
      <c r="B82" s="14" t="s">
        <v>122</v>
      </c>
      <c r="K82" s="22" t="s">
        <v>15</v>
      </c>
      <c r="L82" s="176">
        <f>L22</f>
        <v>218.33</v>
      </c>
      <c r="M82" s="14" t="s">
        <v>10</v>
      </c>
      <c r="R82" s="17"/>
    </row>
    <row r="83" spans="2:18" ht="16.5" customHeight="1">
      <c r="B83" s="14" t="s">
        <v>224</v>
      </c>
      <c r="K83" s="22" t="s">
        <v>15</v>
      </c>
      <c r="L83" s="163">
        <f>ROUND(SUM(L81:L82),2)</f>
        <v>22718.33</v>
      </c>
      <c r="M83" s="14" t="s">
        <v>10</v>
      </c>
      <c r="R83" s="17"/>
    </row>
    <row r="84" spans="2:18" ht="16.5" customHeight="1">
      <c r="G84" s="22" t="s">
        <v>194</v>
      </c>
      <c r="H84" s="177">
        <v>0.3</v>
      </c>
      <c r="I84" s="14" t="s">
        <v>195</v>
      </c>
      <c r="K84" s="22" t="s">
        <v>15</v>
      </c>
      <c r="L84" s="176">
        <f>ROUND(L83*H84/1000,2)</f>
        <v>6.82</v>
      </c>
      <c r="M84" s="14" t="s">
        <v>16</v>
      </c>
      <c r="O84" s="17"/>
      <c r="P84" s="17"/>
      <c r="Q84" s="17"/>
    </row>
    <row r="85" spans="2:18" ht="16.5" customHeight="1">
      <c r="B85" s="41" t="s">
        <v>233</v>
      </c>
      <c r="C85" s="159"/>
      <c r="O85" s="19"/>
      <c r="P85" s="17"/>
      <c r="Q85" s="17"/>
    </row>
    <row r="86" spans="2:18" ht="16.5" customHeight="1">
      <c r="B86" s="178" t="s">
        <v>234</v>
      </c>
      <c r="C86" s="159"/>
    </row>
    <row r="87" spans="2:18" ht="16.5" customHeight="1">
      <c r="D87" s="4" t="s">
        <v>207</v>
      </c>
      <c r="J87" s="22"/>
      <c r="K87" s="11"/>
    </row>
    <row r="88" spans="2:18" ht="16.5" customHeight="1">
      <c r="D88" s="4" t="s">
        <v>196</v>
      </c>
      <c r="H88" s="14" t="s">
        <v>119</v>
      </c>
      <c r="J88" s="22"/>
      <c r="K88" s="11"/>
    </row>
    <row r="89" spans="2:18" ht="16.5" customHeight="1">
      <c r="D89" s="4" t="s">
        <v>197</v>
      </c>
      <c r="H89" s="14" t="s">
        <v>198</v>
      </c>
      <c r="J89" s="22"/>
      <c r="K89" s="11"/>
    </row>
    <row r="90" spans="2:18" ht="16.5" customHeight="1">
      <c r="D90" s="4" t="s">
        <v>199</v>
      </c>
      <c r="G90" s="4"/>
      <c r="H90" s="14" t="s">
        <v>10</v>
      </c>
      <c r="J90" s="22"/>
      <c r="K90" s="11"/>
    </row>
    <row r="91" spans="2:18" ht="16.5" customHeight="1">
      <c r="D91" s="4" t="s">
        <v>200</v>
      </c>
      <c r="H91" s="14" t="s">
        <v>198</v>
      </c>
      <c r="J91" s="22"/>
      <c r="K91" s="11"/>
      <c r="M91" s="19"/>
      <c r="N91" s="19"/>
    </row>
    <row r="92" spans="2:18" ht="16.5" customHeight="1">
      <c r="D92" s="4" t="s">
        <v>201</v>
      </c>
      <c r="G92" s="4"/>
      <c r="H92" s="14" t="s">
        <v>10</v>
      </c>
      <c r="J92" s="22"/>
      <c r="K92" s="11"/>
      <c r="M92" s="19"/>
      <c r="N92" s="179"/>
    </row>
    <row r="93" spans="2:18" ht="16.5" customHeight="1">
      <c r="B93" s="178" t="s">
        <v>235</v>
      </c>
      <c r="C93" s="159"/>
      <c r="M93" s="19"/>
      <c r="N93" s="179"/>
    </row>
    <row r="94" spans="2:18" ht="16.5" customHeight="1">
      <c r="B94" s="178"/>
      <c r="C94" s="159"/>
      <c r="D94" s="4" t="s">
        <v>226</v>
      </c>
      <c r="H94" s="180">
        <f>+'S2'!$BF$27</f>
        <v>36</v>
      </c>
      <c r="I94" s="14" t="s">
        <v>119</v>
      </c>
      <c r="M94" s="19"/>
      <c r="N94" s="179"/>
    </row>
    <row r="95" spans="2:18" ht="16.5" customHeight="1">
      <c r="B95" s="178"/>
      <c r="C95" s="159"/>
      <c r="D95" s="4" t="s">
        <v>225</v>
      </c>
      <c r="H95" s="181">
        <v>0.2</v>
      </c>
      <c r="I95" s="14" t="s">
        <v>202</v>
      </c>
      <c r="M95" s="19"/>
      <c r="N95" s="179"/>
    </row>
    <row r="96" spans="2:18" ht="18.75" customHeight="1">
      <c r="B96" s="178"/>
      <c r="C96" s="159"/>
      <c r="D96" s="4" t="s">
        <v>227</v>
      </c>
      <c r="H96" s="181">
        <v>3.5</v>
      </c>
      <c r="I96" s="14" t="s">
        <v>62</v>
      </c>
      <c r="M96" s="19"/>
      <c r="N96" s="179"/>
    </row>
    <row r="97" spans="1:21" ht="20.25" customHeight="1">
      <c r="B97" s="178"/>
      <c r="C97" s="159"/>
      <c r="D97" s="4" t="s">
        <v>228</v>
      </c>
      <c r="G97" s="4"/>
      <c r="H97" s="182">
        <v>2200</v>
      </c>
      <c r="I97" s="14" t="s">
        <v>203</v>
      </c>
      <c r="M97" s="19"/>
      <c r="N97" s="179"/>
    </row>
    <row r="98" spans="1:21">
      <c r="B98" s="4" t="s">
        <v>204</v>
      </c>
      <c r="G98" s="4"/>
      <c r="J98" s="22"/>
      <c r="K98" s="22" t="s">
        <v>15</v>
      </c>
      <c r="L98" s="11">
        <f>G19+L19</f>
        <v>3166.5099999999998</v>
      </c>
      <c r="M98" s="14" t="s">
        <v>10</v>
      </c>
      <c r="S98" s="27"/>
      <c r="T98" s="27"/>
      <c r="U98" s="27"/>
    </row>
    <row r="99" spans="1:21">
      <c r="B99" s="4" t="s">
        <v>205</v>
      </c>
      <c r="J99" s="22"/>
      <c r="K99" s="22" t="s">
        <v>15</v>
      </c>
      <c r="L99" s="49">
        <f>ROUNDDOWN((H97*H95*(H96/100))/1000,3)</f>
        <v>1.4999999999999999E-2</v>
      </c>
      <c r="M99" s="14" t="s">
        <v>198</v>
      </c>
      <c r="S99" s="27"/>
      <c r="T99" s="27"/>
      <c r="U99" s="27"/>
    </row>
    <row r="100" spans="1:21">
      <c r="B100" s="4" t="s">
        <v>242</v>
      </c>
      <c r="J100" s="22"/>
      <c r="K100" s="22" t="s">
        <v>15</v>
      </c>
      <c r="L100" s="11">
        <f>(H94+(L98*L99))</f>
        <v>83.497649999999993</v>
      </c>
      <c r="M100" s="14" t="s">
        <v>16</v>
      </c>
      <c r="S100" s="27"/>
      <c r="T100" s="27"/>
      <c r="U100" s="27"/>
    </row>
    <row r="101" spans="1:21">
      <c r="B101" s="4" t="s">
        <v>243</v>
      </c>
      <c r="J101" s="22"/>
      <c r="K101" s="22" t="s">
        <v>15</v>
      </c>
      <c r="L101" s="49" t="e">
        <f>('S2'!$BF$10/1.5/100)*(ปร.4!$D$16/ปร.4!$D$18*100)</f>
        <v>#DIV/0!</v>
      </c>
      <c r="M101" s="14" t="s">
        <v>16</v>
      </c>
      <c r="S101" s="27"/>
      <c r="T101" s="27"/>
      <c r="U101" s="27"/>
    </row>
    <row r="102" spans="1:21">
      <c r="A102" s="14" t="s">
        <v>244</v>
      </c>
      <c r="B102" s="4" t="s">
        <v>206</v>
      </c>
      <c r="J102" s="22"/>
      <c r="K102" s="22" t="s">
        <v>15</v>
      </c>
      <c r="L102" s="11" t="e">
        <f>(L100+L101)</f>
        <v>#DIV/0!</v>
      </c>
      <c r="M102" s="14" t="s">
        <v>16</v>
      </c>
    </row>
    <row r="103" spans="1:21" ht="4.9000000000000004" customHeight="1">
      <c r="B103" s="124"/>
      <c r="K103" s="22"/>
      <c r="L103" s="146"/>
    </row>
    <row r="104" spans="1:21" ht="18.600000000000001" customHeight="1">
      <c r="B104" s="802" t="s">
        <v>340</v>
      </c>
      <c r="C104" s="802"/>
      <c r="D104" s="802"/>
      <c r="E104" s="802"/>
      <c r="F104" s="802"/>
      <c r="M104" s="22"/>
      <c r="N104" s="146"/>
    </row>
    <row r="105" spans="1:21" ht="18.600000000000001" customHeight="1">
      <c r="B105" s="801" t="s">
        <v>251</v>
      </c>
      <c r="C105" s="801"/>
      <c r="D105" s="801"/>
      <c r="E105" s="801"/>
      <c r="F105" s="801"/>
      <c r="G105" s="801"/>
      <c r="H105" s="27"/>
      <c r="I105" s="27"/>
      <c r="J105" s="27"/>
      <c r="M105" s="22"/>
      <c r="N105" s="163"/>
    </row>
    <row r="106" spans="1:21" ht="18.600000000000001" customHeight="1">
      <c r="B106" s="801" t="s">
        <v>364</v>
      </c>
      <c r="C106" s="801"/>
      <c r="D106" s="801"/>
      <c r="E106" s="801"/>
      <c r="F106" s="801"/>
      <c r="G106" s="801"/>
      <c r="H106" s="801"/>
      <c r="I106" s="27"/>
      <c r="J106" s="27"/>
      <c r="K106" s="22" t="s">
        <v>15</v>
      </c>
      <c r="L106" s="56">
        <v>10000</v>
      </c>
      <c r="M106" s="4" t="s">
        <v>92</v>
      </c>
      <c r="N106" s="56"/>
    </row>
    <row r="107" spans="1:21" ht="18.600000000000001" customHeight="1">
      <c r="B107" s="801" t="s">
        <v>258</v>
      </c>
      <c r="C107" s="801"/>
      <c r="D107" s="801"/>
      <c r="E107" s="801"/>
      <c r="F107" s="801"/>
      <c r="G107" s="801"/>
      <c r="H107" s="801"/>
      <c r="I107" s="801"/>
      <c r="J107" s="801"/>
      <c r="K107" s="22" t="s">
        <v>15</v>
      </c>
      <c r="L107" s="12">
        <f>'S2'!$E$104*80/$L$106</f>
        <v>1.2492799999999999</v>
      </c>
      <c r="M107" s="4" t="s">
        <v>9</v>
      </c>
      <c r="N107" s="12"/>
    </row>
    <row r="108" spans="1:21" ht="18.600000000000001" customHeight="1">
      <c r="B108" s="801" t="s">
        <v>245</v>
      </c>
      <c r="C108" s="801"/>
      <c r="D108" s="801"/>
      <c r="E108" s="801"/>
      <c r="F108" s="801"/>
      <c r="G108" s="801"/>
      <c r="H108" s="801"/>
      <c r="I108" s="27"/>
      <c r="J108" s="27"/>
      <c r="K108" s="22" t="s">
        <v>15</v>
      </c>
      <c r="L108" s="56">
        <f>250000/$L$106</f>
        <v>25</v>
      </c>
      <c r="M108" s="4" t="s">
        <v>9</v>
      </c>
      <c r="N108" s="56"/>
    </row>
    <row r="109" spans="1:21" ht="18.600000000000001" customHeight="1">
      <c r="B109" s="801" t="s">
        <v>246</v>
      </c>
      <c r="C109" s="801"/>
      <c r="D109" s="801"/>
      <c r="E109" s="801"/>
      <c r="F109" s="801"/>
      <c r="G109" s="801"/>
      <c r="H109" s="27"/>
      <c r="I109" s="27"/>
      <c r="J109" s="27"/>
      <c r="K109" s="22" t="s">
        <v>15</v>
      </c>
      <c r="L109" s="13">
        <f>($G$21+$L$21)*0.052</f>
        <v>1150.1531600000001</v>
      </c>
      <c r="M109" s="4" t="s">
        <v>9</v>
      </c>
      <c r="N109" s="13"/>
    </row>
    <row r="110" spans="1:21" ht="18.600000000000001" customHeight="1">
      <c r="B110" s="801" t="s">
        <v>247</v>
      </c>
      <c r="C110" s="801"/>
      <c r="D110" s="801"/>
      <c r="E110" s="801"/>
      <c r="F110" s="801"/>
      <c r="G110" s="801"/>
      <c r="H110" s="27"/>
      <c r="I110" s="27"/>
      <c r="J110" s="27"/>
      <c r="K110" s="22" t="s">
        <v>15</v>
      </c>
      <c r="L110" s="13">
        <f>($G$15+$L$15)*0.74</f>
        <v>239.73039999999997</v>
      </c>
      <c r="M110" s="4" t="s">
        <v>9</v>
      </c>
      <c r="N110" s="13"/>
      <c r="O110" s="19"/>
    </row>
    <row r="111" spans="1:21" ht="18.600000000000001" customHeight="1">
      <c r="B111" s="511" t="s">
        <v>365</v>
      </c>
      <c r="G111" s="330"/>
      <c r="H111" s="27"/>
      <c r="I111" s="27"/>
      <c r="J111" s="27"/>
      <c r="K111" s="22" t="s">
        <v>15</v>
      </c>
      <c r="L111" s="13">
        <f>'S2'!BF21</f>
        <v>383.21</v>
      </c>
      <c r="M111" s="4" t="s">
        <v>9</v>
      </c>
      <c r="N111" s="13"/>
      <c r="O111" s="19"/>
    </row>
    <row r="112" spans="1:21" ht="18.600000000000001" customHeight="1">
      <c r="B112" s="183" t="s">
        <v>363</v>
      </c>
      <c r="D112" s="170"/>
      <c r="F112" s="137">
        <v>1</v>
      </c>
      <c r="G112" s="4" t="s">
        <v>41</v>
      </c>
      <c r="H112" s="4"/>
      <c r="I112" s="27"/>
      <c r="J112" s="27"/>
      <c r="K112" s="22" t="s">
        <v>15</v>
      </c>
      <c r="L112" s="11">
        <f>IF($F$112&lt;=200,VLOOKUP($F$112,'S2'!$B$5:'S2'!$D$204,2),IF($F$112&gt;200,($F$112-200)*'S2'!$C$205+'S2'!$C$204))</f>
        <v>6.38</v>
      </c>
      <c r="M112" s="4" t="s">
        <v>9</v>
      </c>
      <c r="N112" s="11"/>
      <c r="O112" s="19"/>
    </row>
    <row r="113" spans="1:20" ht="18.600000000000001" customHeight="1">
      <c r="B113" s="14" t="s">
        <v>248</v>
      </c>
      <c r="D113" s="170"/>
      <c r="G113" s="27"/>
      <c r="H113" s="27"/>
      <c r="I113" s="27"/>
      <c r="J113" s="27"/>
      <c r="K113" s="22" t="s">
        <v>15</v>
      </c>
      <c r="L113" s="11">
        <f>SUM(L107:L112)</f>
        <v>1805.7228400000001</v>
      </c>
      <c r="M113" s="4" t="s">
        <v>9</v>
      </c>
      <c r="N113" s="11"/>
      <c r="O113" s="19"/>
      <c r="T113" s="19"/>
    </row>
    <row r="114" spans="1:20">
      <c r="B114" s="14" t="s">
        <v>249</v>
      </c>
      <c r="F114" s="164">
        <v>4</v>
      </c>
      <c r="G114" s="14" t="s">
        <v>250</v>
      </c>
      <c r="H114" s="60">
        <f>41.667/$F$114</f>
        <v>10.41675</v>
      </c>
      <c r="I114" s="14" t="s">
        <v>55</v>
      </c>
      <c r="K114" s="22" t="s">
        <v>15</v>
      </c>
      <c r="L114" s="11">
        <f>ROUND($L$113/$H$114,2)</f>
        <v>173.35</v>
      </c>
      <c r="M114" s="4" t="s">
        <v>119</v>
      </c>
      <c r="N114" s="11"/>
      <c r="O114" s="19"/>
      <c r="T114" s="19"/>
    </row>
    <row r="115" spans="1:20" ht="4.9000000000000004" customHeight="1">
      <c r="B115" s="124"/>
      <c r="C115" s="124"/>
      <c r="D115" s="124"/>
      <c r="E115" s="124"/>
      <c r="F115" s="124"/>
      <c r="M115" s="22"/>
      <c r="N115" s="146"/>
      <c r="O115" s="19"/>
      <c r="T115" s="19"/>
    </row>
    <row r="116" spans="1:20" ht="18.600000000000001" customHeight="1">
      <c r="B116" s="801" t="s">
        <v>252</v>
      </c>
      <c r="C116" s="801"/>
      <c r="D116" s="801"/>
      <c r="E116" s="801"/>
      <c r="F116" s="801"/>
      <c r="G116" s="801"/>
      <c r="H116" s="27"/>
      <c r="I116" s="27"/>
      <c r="J116" s="27"/>
      <c r="M116" s="22"/>
      <c r="N116" s="163"/>
      <c r="O116" s="19"/>
      <c r="T116" s="19"/>
    </row>
    <row r="117" spans="1:20" ht="18.600000000000001" customHeight="1">
      <c r="B117" s="801" t="s">
        <v>364</v>
      </c>
      <c r="C117" s="801"/>
      <c r="D117" s="801"/>
      <c r="E117" s="801"/>
      <c r="F117" s="801"/>
      <c r="G117" s="801"/>
      <c r="H117" s="801"/>
      <c r="I117" s="27"/>
      <c r="J117" s="27"/>
      <c r="K117" s="22" t="s">
        <v>15</v>
      </c>
      <c r="L117" s="56">
        <f>(ปร.4!$D$23+ปร.4!$D$24+ปร.4!$D$32+ปร.4!$D$33)/ข้อมูล!$H$114</f>
        <v>0</v>
      </c>
      <c r="M117" s="4" t="s">
        <v>92</v>
      </c>
      <c r="N117" s="56"/>
      <c r="T117" s="19"/>
    </row>
    <row r="118" spans="1:20" ht="18.600000000000001" customHeight="1">
      <c r="B118" s="801" t="s">
        <v>258</v>
      </c>
      <c r="C118" s="801"/>
      <c r="D118" s="801"/>
      <c r="E118" s="801"/>
      <c r="F118" s="801"/>
      <c r="G118" s="801"/>
      <c r="H118" s="801"/>
      <c r="I118" s="801"/>
      <c r="J118" s="801"/>
      <c r="K118" s="22" t="s">
        <v>15</v>
      </c>
      <c r="L118" s="12" t="e">
        <f>'S2'!$C$104*80/$L$117</f>
        <v>#DIV/0!</v>
      </c>
      <c r="M118" s="4" t="s">
        <v>9</v>
      </c>
      <c r="N118" s="12"/>
      <c r="T118" s="19"/>
    </row>
    <row r="119" spans="1:20" ht="18.600000000000001" customHeight="1">
      <c r="B119" s="801" t="s">
        <v>245</v>
      </c>
      <c r="C119" s="801"/>
      <c r="D119" s="801"/>
      <c r="E119" s="801"/>
      <c r="F119" s="801"/>
      <c r="G119" s="801"/>
      <c r="H119" s="801"/>
      <c r="I119" s="27"/>
      <c r="J119" s="27"/>
      <c r="K119" s="22" t="s">
        <v>15</v>
      </c>
      <c r="L119" s="56" t="e">
        <f>250000/$L$117</f>
        <v>#DIV/0!</v>
      </c>
      <c r="M119" s="4" t="s">
        <v>9</v>
      </c>
      <c r="N119" s="56"/>
      <c r="T119" s="19"/>
    </row>
    <row r="120" spans="1:20" ht="18.600000000000001" customHeight="1">
      <c r="B120" s="801" t="s">
        <v>246</v>
      </c>
      <c r="C120" s="801"/>
      <c r="D120" s="801"/>
      <c r="E120" s="801"/>
      <c r="F120" s="801"/>
      <c r="G120" s="801"/>
      <c r="H120" s="27"/>
      <c r="I120" s="27"/>
      <c r="J120" s="27"/>
      <c r="K120" s="22" t="s">
        <v>15</v>
      </c>
      <c r="L120" s="13">
        <f>($G$21+$L$21)*0.052</f>
        <v>1150.1531600000001</v>
      </c>
      <c r="M120" s="4" t="s">
        <v>9</v>
      </c>
      <c r="N120" s="13"/>
    </row>
    <row r="121" spans="1:20" ht="18.600000000000001" customHeight="1">
      <c r="B121" s="801" t="s">
        <v>247</v>
      </c>
      <c r="C121" s="801"/>
      <c r="D121" s="801"/>
      <c r="E121" s="801"/>
      <c r="F121" s="801"/>
      <c r="G121" s="801"/>
      <c r="H121" s="27"/>
      <c r="I121" s="27"/>
      <c r="J121" s="27"/>
      <c r="K121" s="22" t="s">
        <v>15</v>
      </c>
      <c r="L121" s="13">
        <f>($G$15+$L$15)*0.74</f>
        <v>239.73039999999997</v>
      </c>
      <c r="M121" s="4" t="s">
        <v>9</v>
      </c>
      <c r="N121" s="13"/>
    </row>
    <row r="122" spans="1:20" ht="18.600000000000001" customHeight="1">
      <c r="B122" s="511" t="s">
        <v>365</v>
      </c>
      <c r="G122" s="330">
        <v>1.1000000000000001</v>
      </c>
      <c r="H122" s="27"/>
      <c r="I122" s="27"/>
      <c r="J122" s="27"/>
      <c r="K122" s="22" t="s">
        <v>15</v>
      </c>
      <c r="L122" s="13">
        <f>'S2'!$BF$21*G122</f>
        <v>421.53100000000001</v>
      </c>
      <c r="M122" s="4" t="s">
        <v>9</v>
      </c>
      <c r="N122" s="13"/>
    </row>
    <row r="123" spans="1:20" ht="18.600000000000001" customHeight="1">
      <c r="B123" s="183" t="s">
        <v>363</v>
      </c>
      <c r="C123" s="183"/>
      <c r="D123" s="184"/>
      <c r="E123" s="183"/>
      <c r="F123" s="22">
        <f>$F$112</f>
        <v>1</v>
      </c>
      <c r="G123" s="58" t="str">
        <f>G112</f>
        <v>กม.</v>
      </c>
      <c r="H123" s="4"/>
      <c r="I123" s="27"/>
      <c r="J123" s="27"/>
      <c r="K123" s="22" t="s">
        <v>15</v>
      </c>
      <c r="L123" s="11">
        <f>IF($F$112&lt;=200,VLOOKUP($F$112,'S2'!$B$5:'S2'!$D$204,2),IF($F$112&gt;200,($F$112-200)*'S2'!$C$205+'S2'!$C$204))</f>
        <v>6.38</v>
      </c>
      <c r="M123" s="4" t="s">
        <v>9</v>
      </c>
      <c r="N123" s="11"/>
    </row>
    <row r="124" spans="1:20" ht="18.600000000000001" customHeight="1">
      <c r="B124" s="14" t="s">
        <v>248</v>
      </c>
      <c r="D124" s="170"/>
      <c r="G124" s="145"/>
      <c r="H124" s="27"/>
      <c r="I124" s="27"/>
      <c r="J124" s="27"/>
      <c r="K124" s="22" t="s">
        <v>15</v>
      </c>
      <c r="L124" s="11" t="e">
        <f>SUM(L118:L123)</f>
        <v>#DIV/0!</v>
      </c>
      <c r="M124" s="4" t="s">
        <v>9</v>
      </c>
      <c r="N124" s="11"/>
    </row>
    <row r="125" spans="1:20">
      <c r="B125" s="14" t="s">
        <v>249</v>
      </c>
      <c r="F125" s="22">
        <f>$F$114</f>
        <v>4</v>
      </c>
      <c r="G125" s="59" t="str">
        <f>G114</f>
        <v xml:space="preserve"> ซม.                (</v>
      </c>
      <c r="H125" s="20">
        <f>41.667/$F$125</f>
        <v>10.41675</v>
      </c>
      <c r="I125" s="14" t="s">
        <v>55</v>
      </c>
      <c r="K125" s="22" t="s">
        <v>15</v>
      </c>
      <c r="L125" s="11" t="e">
        <f>ROUND($L$124/$H$125,2)</f>
        <v>#DIV/0!</v>
      </c>
      <c r="M125" s="4" t="s">
        <v>119</v>
      </c>
      <c r="N125" s="11"/>
      <c r="O125" s="4"/>
    </row>
    <row r="126" spans="1:20" ht="18.600000000000001" customHeight="1">
      <c r="D126" s="170"/>
      <c r="G126" s="21"/>
      <c r="H126" s="185" t="s">
        <v>125</v>
      </c>
      <c r="K126" s="22" t="s">
        <v>15</v>
      </c>
      <c r="L126" s="186">
        <f>IF(((ปร.4!$D$23+ปร.4!$D$24+ปร.4!$D$32+ปร.4!$D$33)*$F$114*0.024)&lt;10000,$L$114,IF(((ปร.4!$D$23+ปร.4!$D$24+ปร.4!$D$32+ปร.4!$D$33)*$F$114*0.024)&gt;10000,L125))</f>
        <v>173.35</v>
      </c>
      <c r="M126" s="187" t="s">
        <v>119</v>
      </c>
      <c r="N126" s="186"/>
      <c r="O126" s="4"/>
    </row>
    <row r="127" spans="1:20" ht="4.9000000000000004" customHeight="1">
      <c r="D127" s="170"/>
      <c r="F127" s="57"/>
      <c r="G127" s="4"/>
      <c r="H127" s="27"/>
      <c r="K127" s="22"/>
      <c r="L127" s="11"/>
      <c r="M127" s="4"/>
      <c r="O127" s="4"/>
    </row>
    <row r="128" spans="1:20">
      <c r="A128" s="27"/>
      <c r="B128" s="50" t="s">
        <v>18</v>
      </c>
      <c r="C128" s="27"/>
      <c r="D128" s="27"/>
      <c r="E128" s="27"/>
      <c r="F128" s="27"/>
      <c r="G128" s="27"/>
      <c r="H128" s="27"/>
      <c r="K128" s="22"/>
      <c r="L128" s="146"/>
      <c r="O128" s="4"/>
    </row>
    <row r="129" spans="1:18">
      <c r="A129" s="27"/>
      <c r="B129" s="27" t="s">
        <v>366</v>
      </c>
      <c r="C129" s="27"/>
      <c r="D129" s="27"/>
      <c r="E129" s="27"/>
      <c r="F129" s="27"/>
      <c r="G129" s="27"/>
      <c r="H129" s="27"/>
      <c r="K129" s="22"/>
      <c r="L129" s="188"/>
      <c r="O129" s="4"/>
    </row>
    <row r="130" spans="1:18">
      <c r="A130" s="27"/>
      <c r="B130" s="27" t="s">
        <v>315</v>
      </c>
      <c r="C130" s="27"/>
      <c r="D130" s="27"/>
      <c r="E130" s="27"/>
      <c r="F130" s="27"/>
      <c r="G130" s="27"/>
      <c r="H130" s="27"/>
      <c r="K130" s="22"/>
      <c r="L130" s="169"/>
      <c r="O130" s="4"/>
      <c r="R130" s="189"/>
    </row>
    <row r="131" spans="1:18">
      <c r="A131" s="27"/>
      <c r="B131" s="50" t="s">
        <v>20</v>
      </c>
      <c r="C131" s="27"/>
      <c r="D131" s="27"/>
      <c r="E131" s="27"/>
      <c r="F131" s="27"/>
      <c r="G131" s="27"/>
      <c r="H131" s="27"/>
      <c r="K131" s="22"/>
      <c r="O131" s="4"/>
    </row>
    <row r="132" spans="1:18">
      <c r="A132" s="27"/>
      <c r="B132" s="27" t="s">
        <v>21</v>
      </c>
      <c r="C132" s="27"/>
      <c r="D132" s="27"/>
      <c r="E132" s="27"/>
      <c r="F132" s="190">
        <f>P13</f>
        <v>30.5</v>
      </c>
      <c r="G132" s="27" t="s">
        <v>22</v>
      </c>
      <c r="H132" s="27"/>
      <c r="O132" s="4"/>
    </row>
    <row r="133" spans="1:18">
      <c r="A133" s="27"/>
      <c r="B133" s="27" t="s">
        <v>51</v>
      </c>
      <c r="C133" s="27"/>
      <c r="D133" s="27"/>
      <c r="E133" s="40" t="str">
        <f>IF(P14=0,R14,IF(P14=1,R15,R16))</f>
        <v>ฝนตกปกติ</v>
      </c>
      <c r="F133" s="27"/>
      <c r="G133" s="27"/>
      <c r="H133" s="27"/>
      <c r="O133" s="4"/>
    </row>
    <row r="134" spans="1:18">
      <c r="A134" s="27"/>
      <c r="B134" s="27"/>
      <c r="C134" s="27"/>
      <c r="D134" s="27"/>
      <c r="E134" s="27"/>
      <c r="F134" s="191"/>
      <c r="G134" s="27"/>
      <c r="H134" s="27"/>
    </row>
    <row r="135" spans="1:18">
      <c r="A135" s="27"/>
      <c r="B135" s="27"/>
      <c r="C135" s="27"/>
      <c r="D135" s="27"/>
      <c r="E135" s="27"/>
      <c r="F135" s="27"/>
      <c r="G135" s="27"/>
      <c r="H135" s="27"/>
    </row>
    <row r="136" spans="1:18">
      <c r="A136" s="27"/>
      <c r="B136" s="27"/>
      <c r="C136" s="27"/>
      <c r="D136" s="27"/>
      <c r="E136" s="27"/>
      <c r="F136" s="27"/>
      <c r="G136" s="27"/>
      <c r="H136" s="27"/>
      <c r="O136" s="4"/>
    </row>
    <row r="137" spans="1:18">
      <c r="A137" s="27"/>
      <c r="B137" s="27"/>
      <c r="C137" s="27"/>
      <c r="D137" s="27"/>
      <c r="E137" s="27"/>
      <c r="F137" s="27"/>
      <c r="G137" s="27"/>
      <c r="H137" s="27"/>
      <c r="O137" s="4"/>
    </row>
    <row r="138" spans="1:18">
      <c r="A138" s="27"/>
      <c r="B138" s="27"/>
      <c r="C138" s="27"/>
      <c r="D138" s="27"/>
      <c r="E138" s="27"/>
      <c r="F138" s="27"/>
      <c r="G138" s="27"/>
      <c r="H138" s="27"/>
      <c r="O138" s="4"/>
    </row>
    <row r="139" spans="1:18">
      <c r="A139" s="27"/>
      <c r="B139" s="27"/>
      <c r="C139" s="27"/>
      <c r="D139" s="27"/>
      <c r="E139" s="27"/>
      <c r="F139" s="27"/>
      <c r="G139" s="27"/>
      <c r="H139" s="27"/>
      <c r="O139" s="4"/>
    </row>
    <row r="140" spans="1:18">
      <c r="A140" s="27"/>
      <c r="B140" s="27"/>
      <c r="C140" s="27"/>
      <c r="D140" s="27"/>
      <c r="E140" s="27"/>
      <c r="F140" s="27"/>
      <c r="G140" s="27"/>
      <c r="H140" s="27"/>
      <c r="O140" s="4"/>
    </row>
    <row r="141" spans="1:18">
      <c r="A141" s="27"/>
      <c r="B141" s="27"/>
      <c r="C141" s="27"/>
      <c r="D141" s="27"/>
      <c r="E141" s="27"/>
      <c r="F141" s="27"/>
      <c r="G141" s="27"/>
      <c r="H141" s="27"/>
      <c r="O141" s="4"/>
      <c r="R141" s="189"/>
    </row>
    <row r="142" spans="1:18">
      <c r="A142" s="27"/>
      <c r="B142" s="27"/>
      <c r="C142" s="27"/>
      <c r="D142" s="27"/>
      <c r="E142" s="27"/>
      <c r="F142" s="27"/>
      <c r="G142" s="27"/>
      <c r="H142" s="27"/>
      <c r="O142" s="4"/>
    </row>
    <row r="143" spans="1:18">
      <c r="A143" s="27"/>
      <c r="B143" s="27"/>
      <c r="C143" s="27"/>
      <c r="D143" s="27"/>
      <c r="E143" s="27"/>
      <c r="F143" s="27"/>
      <c r="G143" s="27"/>
      <c r="H143" s="27"/>
      <c r="O143" s="4"/>
    </row>
    <row r="144" spans="1:18">
      <c r="A144" s="27"/>
      <c r="B144" s="27"/>
      <c r="C144" s="27"/>
      <c r="D144" s="27"/>
      <c r="E144" s="27"/>
      <c r="F144" s="27"/>
      <c r="G144" s="27"/>
      <c r="H144" s="27"/>
      <c r="O144" s="4"/>
    </row>
    <row r="145" spans="1:21" ht="18.75">
      <c r="A145" s="27"/>
      <c r="B145" s="27"/>
      <c r="C145" s="27"/>
      <c r="D145" s="27"/>
      <c r="E145" s="27"/>
      <c r="F145" s="27"/>
      <c r="G145" s="27"/>
      <c r="H145" s="27"/>
      <c r="O145" s="187"/>
      <c r="U145" s="19"/>
    </row>
    <row r="146" spans="1:21">
      <c r="A146" s="27"/>
      <c r="B146" s="27"/>
      <c r="C146" s="27"/>
      <c r="D146" s="27"/>
      <c r="E146" s="27"/>
      <c r="F146" s="27"/>
      <c r="G146" s="27"/>
      <c r="H146" s="27"/>
      <c r="U146" s="19"/>
    </row>
    <row r="147" spans="1:21">
      <c r="A147" s="27"/>
      <c r="B147" s="27"/>
      <c r="C147" s="27"/>
      <c r="D147" s="27"/>
      <c r="E147" s="27"/>
      <c r="F147" s="27"/>
      <c r="G147" s="27"/>
      <c r="H147" s="27"/>
      <c r="U147" s="19"/>
    </row>
    <row r="148" spans="1:21">
      <c r="A148" s="27"/>
      <c r="B148" s="27"/>
      <c r="C148" s="27"/>
      <c r="D148" s="27"/>
      <c r="E148" s="27"/>
      <c r="F148" s="27"/>
      <c r="G148" s="27"/>
      <c r="H148" s="27"/>
      <c r="U148" s="19"/>
    </row>
    <row r="149" spans="1:21">
      <c r="A149" s="27"/>
      <c r="B149" s="27"/>
      <c r="C149" s="27"/>
      <c r="D149" s="27"/>
      <c r="E149" s="27"/>
      <c r="F149" s="27"/>
      <c r="G149" s="27"/>
      <c r="H149" s="27"/>
      <c r="U149" s="19"/>
    </row>
    <row r="150" spans="1:21">
      <c r="A150" s="27"/>
      <c r="B150" s="27"/>
      <c r="C150" s="27"/>
      <c r="D150" s="27"/>
      <c r="E150" s="27"/>
      <c r="F150" s="27"/>
      <c r="G150" s="27"/>
      <c r="H150" s="27"/>
      <c r="U150" s="19"/>
    </row>
    <row r="151" spans="1:21">
      <c r="A151" s="27"/>
      <c r="B151" s="27"/>
      <c r="C151" s="27"/>
      <c r="D151" s="27"/>
      <c r="E151" s="27"/>
      <c r="F151" s="27"/>
      <c r="G151" s="27"/>
      <c r="H151" s="27"/>
      <c r="U151" s="19"/>
    </row>
    <row r="152" spans="1:21">
      <c r="A152" s="27"/>
      <c r="B152" s="27"/>
      <c r="C152" s="27"/>
      <c r="D152" s="27"/>
      <c r="E152" s="27"/>
      <c r="F152" s="27"/>
      <c r="G152" s="27"/>
      <c r="H152" s="27"/>
      <c r="U152" s="19"/>
    </row>
    <row r="153" spans="1:21">
      <c r="A153" s="27"/>
      <c r="B153" s="27"/>
      <c r="C153" s="27"/>
      <c r="D153" s="27"/>
      <c r="E153" s="27"/>
      <c r="F153" s="27"/>
      <c r="G153" s="27"/>
      <c r="H153" s="27"/>
      <c r="U153" s="19"/>
    </row>
    <row r="154" spans="1:21">
      <c r="A154" s="27"/>
      <c r="B154" s="27"/>
      <c r="C154" s="27"/>
      <c r="D154" s="27"/>
      <c r="E154" s="27"/>
      <c r="F154" s="27"/>
      <c r="G154" s="27"/>
      <c r="H154" s="27"/>
      <c r="U154" s="19"/>
    </row>
    <row r="155" spans="1:21">
      <c r="A155" s="27"/>
      <c r="B155" s="27"/>
      <c r="C155" s="27"/>
      <c r="D155" s="27"/>
      <c r="E155" s="27"/>
      <c r="F155" s="27"/>
      <c r="G155" s="27"/>
      <c r="H155" s="27"/>
      <c r="U155" s="19"/>
    </row>
    <row r="156" spans="1:21">
      <c r="A156" s="27"/>
      <c r="B156" s="27"/>
      <c r="C156" s="27"/>
      <c r="D156" s="27"/>
      <c r="E156" s="27"/>
      <c r="F156" s="27"/>
      <c r="G156" s="27"/>
      <c r="H156" s="27"/>
      <c r="U156" s="19"/>
    </row>
    <row r="157" spans="1:21">
      <c r="A157" s="27"/>
      <c r="B157" s="27"/>
      <c r="C157" s="27"/>
      <c r="D157" s="27"/>
      <c r="E157" s="27"/>
      <c r="F157" s="27"/>
      <c r="G157" s="27"/>
      <c r="H157" s="27"/>
      <c r="U157" s="19"/>
    </row>
    <row r="158" spans="1:21">
      <c r="A158" s="27"/>
      <c r="B158" s="27"/>
      <c r="C158" s="27"/>
      <c r="D158" s="27"/>
      <c r="E158" s="27"/>
      <c r="F158" s="27"/>
      <c r="G158" s="27"/>
      <c r="H158" s="27"/>
      <c r="U158" s="19"/>
    </row>
    <row r="159" spans="1:21">
      <c r="A159" s="27"/>
      <c r="B159" s="27"/>
      <c r="C159" s="27"/>
      <c r="D159" s="27"/>
      <c r="E159" s="27"/>
      <c r="F159" s="27"/>
      <c r="G159" s="27"/>
      <c r="H159" s="27"/>
      <c r="U159" s="19"/>
    </row>
    <row r="160" spans="1:21">
      <c r="A160" s="27"/>
      <c r="B160" s="27"/>
      <c r="C160" s="27"/>
      <c r="D160" s="27"/>
      <c r="E160" s="27"/>
      <c r="F160" s="27"/>
      <c r="G160" s="27"/>
      <c r="H160" s="27"/>
      <c r="U160" s="19"/>
    </row>
    <row r="161" spans="1:21">
      <c r="A161" s="27"/>
      <c r="B161" s="27"/>
      <c r="C161" s="27"/>
      <c r="D161" s="27"/>
      <c r="E161" s="27"/>
      <c r="F161" s="27"/>
      <c r="G161" s="27"/>
      <c r="H161" s="27"/>
      <c r="U161" s="19"/>
    </row>
    <row r="162" spans="1:21">
      <c r="A162" s="27"/>
      <c r="B162" s="27"/>
      <c r="C162" s="27"/>
      <c r="D162" s="27"/>
      <c r="E162" s="27"/>
      <c r="F162" s="27"/>
      <c r="G162" s="27"/>
      <c r="H162" s="27"/>
      <c r="U162" s="19"/>
    </row>
    <row r="163" spans="1:21">
      <c r="A163" s="27"/>
      <c r="B163" s="27"/>
      <c r="C163" s="27"/>
      <c r="D163" s="27"/>
      <c r="E163" s="27"/>
      <c r="F163" s="27"/>
      <c r="G163" s="27"/>
      <c r="H163" s="27"/>
      <c r="U163" s="19"/>
    </row>
    <row r="164" spans="1:21">
      <c r="A164" s="27"/>
      <c r="B164" s="27"/>
      <c r="C164" s="27"/>
      <c r="D164" s="27"/>
      <c r="E164" s="27"/>
      <c r="F164" s="27"/>
      <c r="G164" s="27"/>
      <c r="H164" s="27"/>
      <c r="U164" s="19"/>
    </row>
    <row r="165" spans="1:21">
      <c r="A165" s="27"/>
      <c r="B165" s="27"/>
      <c r="C165" s="27"/>
      <c r="D165" s="27"/>
      <c r="E165" s="27"/>
      <c r="F165" s="27"/>
      <c r="G165" s="27"/>
      <c r="H165" s="27"/>
      <c r="U165" s="19"/>
    </row>
    <row r="166" spans="1:21">
      <c r="A166" s="27"/>
      <c r="B166" s="27"/>
      <c r="C166" s="27"/>
      <c r="D166" s="27"/>
      <c r="E166" s="27"/>
      <c r="F166" s="27"/>
      <c r="G166" s="27"/>
      <c r="H166" s="27"/>
      <c r="U166" s="19"/>
    </row>
    <row r="167" spans="1:21">
      <c r="A167" s="27"/>
      <c r="B167" s="27"/>
      <c r="C167" s="27"/>
      <c r="D167" s="27"/>
      <c r="E167" s="27"/>
      <c r="F167" s="27"/>
      <c r="G167" s="27"/>
      <c r="H167" s="27"/>
      <c r="U167" s="19"/>
    </row>
    <row r="168" spans="1:21">
      <c r="A168" s="27"/>
      <c r="B168" s="27"/>
      <c r="C168" s="27"/>
      <c r="D168" s="27"/>
      <c r="E168" s="27"/>
      <c r="F168" s="27"/>
      <c r="G168" s="27"/>
      <c r="H168" s="27"/>
    </row>
    <row r="169" spans="1:21">
      <c r="A169" s="27"/>
      <c r="B169" s="27"/>
      <c r="C169" s="27"/>
      <c r="D169" s="27"/>
      <c r="E169" s="27"/>
      <c r="F169" s="27"/>
      <c r="G169" s="27"/>
      <c r="H169" s="27"/>
    </row>
    <row r="170" spans="1:21">
      <c r="A170" s="27"/>
      <c r="B170" s="27"/>
      <c r="C170" s="27"/>
      <c r="D170" s="27"/>
      <c r="E170" s="27"/>
      <c r="F170" s="27"/>
      <c r="G170" s="27"/>
      <c r="H170" s="27"/>
    </row>
    <row r="171" spans="1:21">
      <c r="A171" s="27"/>
      <c r="B171" s="27"/>
      <c r="C171" s="27"/>
      <c r="D171" s="27"/>
      <c r="E171" s="27"/>
      <c r="F171" s="27"/>
      <c r="G171" s="27"/>
      <c r="H171" s="27"/>
    </row>
    <row r="172" spans="1:21">
      <c r="A172" s="27"/>
      <c r="B172" s="27"/>
      <c r="C172" s="27"/>
      <c r="D172" s="27"/>
      <c r="E172" s="27"/>
      <c r="F172" s="27"/>
      <c r="G172" s="27"/>
      <c r="H172" s="27"/>
    </row>
    <row r="173" spans="1:21">
      <c r="A173" s="27"/>
      <c r="B173" s="27"/>
      <c r="C173" s="27"/>
      <c r="D173" s="27"/>
      <c r="E173" s="27"/>
      <c r="F173" s="27"/>
      <c r="G173" s="27"/>
      <c r="H173" s="27"/>
    </row>
    <row r="174" spans="1:21">
      <c r="A174" s="27"/>
      <c r="B174" s="27"/>
      <c r="C174" s="27"/>
      <c r="D174" s="27"/>
      <c r="E174" s="27"/>
      <c r="F174" s="27"/>
      <c r="G174" s="27"/>
      <c r="H174" s="27"/>
    </row>
    <row r="175" spans="1:21">
      <c r="A175" s="27"/>
      <c r="B175" s="27"/>
      <c r="C175" s="27"/>
      <c r="D175" s="27"/>
      <c r="E175" s="27"/>
      <c r="F175" s="27"/>
      <c r="G175" s="27"/>
      <c r="H175" s="27"/>
    </row>
    <row r="176" spans="1:21">
      <c r="A176" s="27"/>
      <c r="B176" s="27"/>
      <c r="C176" s="27"/>
      <c r="D176" s="27"/>
      <c r="E176" s="27"/>
      <c r="F176" s="27"/>
      <c r="G176" s="27"/>
      <c r="H176" s="27"/>
    </row>
    <row r="177" spans="1:8">
      <c r="A177" s="27"/>
      <c r="B177" s="27"/>
      <c r="C177" s="27"/>
      <c r="D177" s="27"/>
      <c r="E177" s="27"/>
      <c r="F177" s="27"/>
      <c r="G177" s="27"/>
      <c r="H177" s="27"/>
    </row>
    <row r="178" spans="1:8">
      <c r="A178" s="27"/>
      <c r="B178" s="27"/>
      <c r="C178" s="27"/>
      <c r="D178" s="27"/>
      <c r="E178" s="27"/>
      <c r="F178" s="27"/>
      <c r="G178" s="27"/>
      <c r="H178" s="27"/>
    </row>
    <row r="179" spans="1:8">
      <c r="A179" s="27"/>
      <c r="B179" s="27"/>
      <c r="C179" s="27"/>
      <c r="D179" s="27"/>
      <c r="E179" s="27"/>
      <c r="F179" s="27"/>
      <c r="G179" s="27"/>
      <c r="H179" s="27"/>
    </row>
    <row r="180" spans="1:8">
      <c r="A180" s="27"/>
      <c r="B180" s="27"/>
      <c r="C180" s="27"/>
      <c r="D180" s="27"/>
      <c r="E180" s="27"/>
      <c r="F180" s="27"/>
      <c r="G180" s="27"/>
      <c r="H180" s="27"/>
    </row>
    <row r="181" spans="1:8">
      <c r="A181" s="27"/>
      <c r="B181" s="27"/>
      <c r="C181" s="27"/>
      <c r="D181" s="27"/>
      <c r="E181" s="27"/>
      <c r="F181" s="27"/>
      <c r="G181" s="27"/>
      <c r="H181" s="27"/>
    </row>
    <row r="182" spans="1:8">
      <c r="A182" s="27"/>
      <c r="B182" s="27"/>
      <c r="C182" s="27"/>
      <c r="D182" s="27"/>
      <c r="E182" s="27"/>
      <c r="F182" s="27"/>
      <c r="G182" s="27"/>
      <c r="H182" s="27"/>
    </row>
    <row r="183" spans="1:8">
      <c r="A183" s="27"/>
      <c r="B183" s="27"/>
      <c r="C183" s="27"/>
      <c r="D183" s="27"/>
      <c r="E183" s="27"/>
      <c r="F183" s="27"/>
      <c r="G183" s="27"/>
      <c r="H183" s="27"/>
    </row>
    <row r="184" spans="1:8">
      <c r="A184" s="27"/>
      <c r="B184" s="27"/>
      <c r="C184" s="27"/>
      <c r="D184" s="27"/>
      <c r="E184" s="27"/>
      <c r="F184" s="27"/>
      <c r="G184" s="27"/>
      <c r="H184" s="27"/>
    </row>
    <row r="185" spans="1:8">
      <c r="A185" s="27"/>
      <c r="B185" s="27"/>
      <c r="C185" s="27"/>
      <c r="D185" s="27"/>
      <c r="E185" s="27"/>
      <c r="F185" s="27"/>
      <c r="G185" s="27"/>
      <c r="H185" s="27"/>
    </row>
    <row r="186" spans="1:8">
      <c r="A186" s="27"/>
      <c r="B186" s="27"/>
      <c r="C186" s="27"/>
      <c r="D186" s="27"/>
      <c r="E186" s="27"/>
      <c r="F186" s="27"/>
      <c r="G186" s="27"/>
      <c r="H186" s="27"/>
    </row>
    <row r="187" spans="1:8">
      <c r="A187" s="27"/>
      <c r="B187" s="27"/>
      <c r="C187" s="27"/>
      <c r="D187" s="27"/>
      <c r="E187" s="27"/>
      <c r="F187" s="27"/>
      <c r="G187" s="27"/>
      <c r="H187" s="27"/>
    </row>
    <row r="188" spans="1:8">
      <c r="A188" s="27"/>
      <c r="B188" s="27"/>
      <c r="C188" s="27"/>
      <c r="D188" s="27"/>
      <c r="E188" s="27"/>
      <c r="F188" s="27"/>
      <c r="G188" s="27"/>
      <c r="H188" s="27"/>
    </row>
    <row r="189" spans="1:8">
      <c r="A189" s="27"/>
      <c r="B189" s="27"/>
      <c r="C189" s="27"/>
      <c r="D189" s="27"/>
      <c r="E189" s="27"/>
      <c r="F189" s="27"/>
      <c r="G189" s="27"/>
      <c r="H189" s="27"/>
    </row>
    <row r="190" spans="1:8">
      <c r="A190" s="27"/>
      <c r="B190" s="27"/>
      <c r="C190" s="27"/>
      <c r="D190" s="27"/>
      <c r="E190" s="27"/>
      <c r="F190" s="27"/>
      <c r="G190" s="27"/>
      <c r="H190" s="27"/>
    </row>
    <row r="191" spans="1:8">
      <c r="A191" s="27"/>
      <c r="B191" s="27"/>
      <c r="C191" s="27"/>
      <c r="D191" s="27"/>
      <c r="E191" s="27"/>
      <c r="F191" s="27"/>
      <c r="G191" s="27"/>
      <c r="H191" s="27"/>
    </row>
    <row r="192" spans="1:8">
      <c r="A192" s="27"/>
      <c r="B192" s="27"/>
      <c r="C192" s="27"/>
      <c r="D192" s="27"/>
      <c r="E192" s="27"/>
      <c r="F192" s="27"/>
      <c r="G192" s="27"/>
      <c r="H192" s="27"/>
    </row>
    <row r="193" spans="1:8">
      <c r="A193" s="27"/>
      <c r="B193" s="27"/>
      <c r="C193" s="27"/>
      <c r="D193" s="27"/>
      <c r="E193" s="27"/>
      <c r="F193" s="27"/>
      <c r="G193" s="27"/>
      <c r="H193" s="27"/>
    </row>
    <row r="194" spans="1:8">
      <c r="A194" s="27"/>
      <c r="B194" s="27"/>
      <c r="C194" s="27"/>
      <c r="D194" s="27"/>
      <c r="E194" s="27"/>
      <c r="F194" s="27"/>
      <c r="G194" s="27"/>
      <c r="H194" s="27"/>
    </row>
    <row r="195" spans="1:8">
      <c r="A195" s="27"/>
      <c r="B195" s="27"/>
      <c r="C195" s="27"/>
      <c r="D195" s="27"/>
      <c r="E195" s="27"/>
      <c r="F195" s="27"/>
      <c r="G195" s="27"/>
      <c r="H195" s="27"/>
    </row>
    <row r="196" spans="1:8">
      <c r="A196" s="27"/>
      <c r="B196" s="27"/>
      <c r="C196" s="27"/>
      <c r="D196" s="27"/>
      <c r="E196" s="27"/>
      <c r="F196" s="27"/>
      <c r="G196" s="27"/>
      <c r="H196" s="27"/>
    </row>
    <row r="197" spans="1:8">
      <c r="A197" s="27"/>
      <c r="B197" s="27"/>
      <c r="C197" s="27"/>
      <c r="D197" s="27"/>
      <c r="E197" s="27"/>
      <c r="F197" s="27"/>
      <c r="G197" s="27"/>
      <c r="H197" s="27"/>
    </row>
    <row r="198" spans="1:8">
      <c r="A198" s="27"/>
      <c r="B198" s="27"/>
      <c r="C198" s="27"/>
      <c r="D198" s="27"/>
      <c r="E198" s="27"/>
      <c r="F198" s="27"/>
      <c r="G198" s="27"/>
      <c r="H198" s="27"/>
    </row>
    <row r="199" spans="1:8">
      <c r="A199" s="27"/>
      <c r="B199" s="27"/>
      <c r="C199" s="27"/>
      <c r="D199" s="27"/>
      <c r="E199" s="27"/>
      <c r="F199" s="27"/>
      <c r="G199" s="27"/>
      <c r="H199" s="27"/>
    </row>
    <row r="200" spans="1:8">
      <c r="A200" s="27"/>
      <c r="B200" s="27"/>
      <c r="C200" s="27"/>
      <c r="D200" s="27"/>
      <c r="E200" s="27"/>
      <c r="F200" s="27"/>
      <c r="G200" s="27"/>
      <c r="H200" s="27"/>
    </row>
    <row r="201" spans="1:8">
      <c r="A201" s="27"/>
      <c r="B201" s="27"/>
      <c r="C201" s="27"/>
      <c r="D201" s="27"/>
      <c r="E201" s="27"/>
      <c r="F201" s="27"/>
      <c r="G201" s="27"/>
      <c r="H201" s="27"/>
    </row>
    <row r="202" spans="1:8">
      <c r="A202" s="27"/>
      <c r="B202" s="27"/>
      <c r="C202" s="27"/>
      <c r="D202" s="27"/>
      <c r="E202" s="27"/>
      <c r="F202" s="27"/>
      <c r="G202" s="27"/>
      <c r="H202" s="27"/>
    </row>
    <row r="203" spans="1:8">
      <c r="A203" s="27"/>
      <c r="B203" s="27"/>
      <c r="C203" s="27"/>
      <c r="D203" s="27"/>
      <c r="E203" s="27"/>
      <c r="F203" s="27"/>
      <c r="G203" s="27"/>
      <c r="H203" s="27"/>
    </row>
    <row r="204" spans="1:8">
      <c r="A204" s="27"/>
      <c r="B204" s="27"/>
      <c r="C204" s="27"/>
      <c r="D204" s="27"/>
      <c r="E204" s="27"/>
      <c r="F204" s="27"/>
      <c r="G204" s="27"/>
      <c r="H204" s="27"/>
    </row>
    <row r="205" spans="1:8">
      <c r="A205" s="27"/>
      <c r="B205" s="27"/>
      <c r="C205" s="27"/>
      <c r="D205" s="27"/>
      <c r="E205" s="27"/>
      <c r="F205" s="27"/>
      <c r="G205" s="27"/>
      <c r="H205" s="27"/>
    </row>
    <row r="206" spans="1:8">
      <c r="A206" s="27"/>
      <c r="B206" s="27"/>
      <c r="C206" s="27"/>
      <c r="D206" s="27"/>
      <c r="E206" s="27"/>
      <c r="F206" s="27"/>
      <c r="G206" s="27"/>
      <c r="H206" s="27"/>
    </row>
    <row r="207" spans="1:8">
      <c r="A207" s="27"/>
      <c r="B207" s="27"/>
      <c r="C207" s="27"/>
      <c r="D207" s="27"/>
      <c r="E207" s="27"/>
      <c r="F207" s="27"/>
      <c r="G207" s="27"/>
      <c r="H207" s="27"/>
    </row>
    <row r="208" spans="1:8">
      <c r="A208" s="27"/>
      <c r="B208" s="27"/>
      <c r="C208" s="27"/>
      <c r="D208" s="27"/>
      <c r="E208" s="27"/>
      <c r="F208" s="27"/>
      <c r="G208" s="27"/>
      <c r="H208" s="27"/>
    </row>
    <row r="209" spans="1:8">
      <c r="A209" s="27"/>
      <c r="B209" s="27"/>
      <c r="C209" s="27"/>
      <c r="D209" s="27"/>
      <c r="E209" s="27"/>
      <c r="F209" s="27"/>
      <c r="G209" s="27"/>
      <c r="H209" s="27"/>
    </row>
    <row r="210" spans="1:8">
      <c r="A210" s="27"/>
      <c r="B210" s="27"/>
      <c r="C210" s="27"/>
      <c r="D210" s="27"/>
      <c r="E210" s="27"/>
      <c r="F210" s="27"/>
      <c r="G210" s="27"/>
      <c r="H210" s="27"/>
    </row>
    <row r="211" spans="1:8">
      <c r="A211" s="27"/>
      <c r="B211" s="27"/>
      <c r="C211" s="27"/>
      <c r="D211" s="27"/>
      <c r="E211" s="27"/>
      <c r="F211" s="27"/>
      <c r="G211" s="27"/>
      <c r="H211" s="27"/>
    </row>
    <row r="212" spans="1:8">
      <c r="A212" s="27"/>
      <c r="B212" s="27"/>
      <c r="C212" s="27"/>
      <c r="D212" s="27"/>
      <c r="E212" s="27"/>
      <c r="F212" s="27"/>
      <c r="G212" s="27"/>
      <c r="H212" s="27"/>
    </row>
    <row r="213" spans="1:8">
      <c r="A213" s="27"/>
      <c r="B213" s="27"/>
      <c r="C213" s="27"/>
      <c r="D213" s="27"/>
      <c r="E213" s="27"/>
      <c r="F213" s="27"/>
      <c r="G213" s="27"/>
      <c r="H213" s="27"/>
    </row>
    <row r="214" spans="1:8">
      <c r="A214" s="27"/>
      <c r="B214" s="27"/>
      <c r="C214" s="27"/>
      <c r="D214" s="27"/>
      <c r="E214" s="27"/>
      <c r="F214" s="27"/>
      <c r="G214" s="27"/>
      <c r="H214" s="27"/>
    </row>
    <row r="215" spans="1:8">
      <c r="A215" s="27"/>
      <c r="B215" s="27"/>
      <c r="C215" s="27"/>
      <c r="D215" s="27"/>
      <c r="E215" s="27"/>
      <c r="F215" s="27"/>
      <c r="G215" s="27"/>
      <c r="H215" s="27"/>
    </row>
    <row r="216" spans="1:8">
      <c r="A216" s="27"/>
      <c r="B216" s="27"/>
      <c r="C216" s="27"/>
      <c r="D216" s="27"/>
      <c r="E216" s="27"/>
      <c r="F216" s="27"/>
      <c r="G216" s="27"/>
      <c r="H216" s="27"/>
    </row>
    <row r="217" spans="1:8">
      <c r="A217" s="27"/>
      <c r="B217" s="27"/>
      <c r="C217" s="27"/>
      <c r="D217" s="27"/>
      <c r="E217" s="27"/>
      <c r="F217" s="27"/>
      <c r="G217" s="27"/>
      <c r="H217" s="27"/>
    </row>
    <row r="218" spans="1:8">
      <c r="A218" s="27"/>
      <c r="B218" s="27"/>
      <c r="C218" s="27"/>
      <c r="D218" s="27"/>
      <c r="E218" s="27"/>
      <c r="F218" s="27"/>
      <c r="G218" s="27"/>
      <c r="H218" s="27"/>
    </row>
    <row r="219" spans="1:8">
      <c r="A219" s="27"/>
      <c r="B219" s="27"/>
      <c r="C219" s="27"/>
      <c r="D219" s="27"/>
      <c r="E219" s="27"/>
      <c r="F219" s="27"/>
      <c r="G219" s="27"/>
      <c r="H219" s="27"/>
    </row>
    <row r="220" spans="1:8">
      <c r="A220" s="27"/>
      <c r="B220" s="27"/>
      <c r="C220" s="27"/>
      <c r="D220" s="27"/>
      <c r="E220" s="27"/>
      <c r="F220" s="27"/>
      <c r="G220" s="27"/>
      <c r="H220" s="27"/>
    </row>
    <row r="221" spans="1:8">
      <c r="A221" s="27"/>
      <c r="B221" s="27"/>
      <c r="C221" s="27"/>
      <c r="D221" s="27"/>
      <c r="E221" s="27"/>
      <c r="F221" s="27"/>
      <c r="G221" s="27"/>
      <c r="H221" s="27"/>
    </row>
    <row r="222" spans="1:8">
      <c r="A222" s="27"/>
      <c r="B222" s="27"/>
      <c r="C222" s="27"/>
      <c r="D222" s="27"/>
      <c r="E222" s="27"/>
      <c r="F222" s="27"/>
      <c r="G222" s="27"/>
      <c r="H222" s="27"/>
    </row>
    <row r="223" spans="1:8">
      <c r="A223" s="27"/>
      <c r="B223" s="27"/>
      <c r="C223" s="27"/>
      <c r="D223" s="27"/>
      <c r="E223" s="27"/>
      <c r="F223" s="27"/>
      <c r="G223" s="27"/>
      <c r="H223" s="27"/>
    </row>
    <row r="224" spans="1:8">
      <c r="A224" s="27"/>
      <c r="B224" s="27"/>
      <c r="C224" s="27"/>
      <c r="D224" s="27"/>
      <c r="E224" s="27"/>
      <c r="F224" s="27"/>
      <c r="G224" s="27"/>
      <c r="H224" s="27"/>
    </row>
    <row r="225" spans="1:8">
      <c r="A225" s="27"/>
      <c r="B225" s="27"/>
      <c r="C225" s="27"/>
      <c r="D225" s="27"/>
      <c r="E225" s="27"/>
      <c r="F225" s="27"/>
      <c r="G225" s="27"/>
      <c r="H225" s="27"/>
    </row>
    <row r="226" spans="1:8">
      <c r="A226" s="27"/>
      <c r="B226" s="27"/>
      <c r="C226" s="27"/>
      <c r="D226" s="27"/>
      <c r="E226" s="27"/>
      <c r="F226" s="27"/>
      <c r="G226" s="27"/>
      <c r="H226" s="27"/>
    </row>
    <row r="227" spans="1:8">
      <c r="A227" s="27"/>
      <c r="B227" s="27"/>
      <c r="C227" s="27"/>
      <c r="D227" s="27"/>
      <c r="E227" s="27"/>
      <c r="F227" s="27"/>
      <c r="G227" s="27"/>
      <c r="H227" s="27"/>
    </row>
    <row r="228" spans="1:8">
      <c r="A228" s="27"/>
      <c r="B228" s="27"/>
      <c r="C228" s="27"/>
      <c r="D228" s="27"/>
      <c r="E228" s="27"/>
      <c r="F228" s="27"/>
      <c r="G228" s="27"/>
      <c r="H228" s="27"/>
    </row>
    <row r="229" spans="1:8">
      <c r="A229" s="27"/>
      <c r="B229" s="27"/>
      <c r="C229" s="27"/>
      <c r="D229" s="27"/>
      <c r="E229" s="27"/>
      <c r="F229" s="27"/>
      <c r="G229" s="27"/>
      <c r="H229" s="27"/>
    </row>
    <row r="230" spans="1:8">
      <c r="A230" s="27"/>
      <c r="B230" s="27"/>
      <c r="C230" s="27"/>
      <c r="D230" s="27"/>
      <c r="E230" s="27"/>
      <c r="F230" s="27"/>
      <c r="G230" s="27"/>
      <c r="H230" s="27"/>
    </row>
    <row r="231" spans="1:8">
      <c r="A231" s="27"/>
      <c r="B231" s="27"/>
      <c r="C231" s="27"/>
      <c r="D231" s="27"/>
      <c r="E231" s="27"/>
      <c r="F231" s="27"/>
      <c r="G231" s="27"/>
      <c r="H231" s="27"/>
    </row>
    <row r="232" spans="1:8">
      <c r="A232" s="27"/>
      <c r="B232" s="27"/>
      <c r="C232" s="27"/>
      <c r="D232" s="27"/>
      <c r="E232" s="27"/>
      <c r="F232" s="27"/>
      <c r="G232" s="27"/>
      <c r="H232" s="27"/>
    </row>
    <row r="233" spans="1:8">
      <c r="A233" s="27"/>
      <c r="B233" s="27"/>
      <c r="C233" s="27"/>
      <c r="D233" s="27"/>
      <c r="E233" s="27"/>
      <c r="F233" s="27"/>
      <c r="G233" s="27"/>
      <c r="H233" s="27"/>
    </row>
    <row r="234" spans="1:8">
      <c r="A234" s="27"/>
      <c r="B234" s="27"/>
      <c r="C234" s="27"/>
      <c r="D234" s="27"/>
      <c r="E234" s="27"/>
      <c r="F234" s="27"/>
      <c r="G234" s="27"/>
      <c r="H234" s="27"/>
    </row>
    <row r="235" spans="1:8">
      <c r="A235" s="27"/>
      <c r="B235" s="27"/>
      <c r="C235" s="27"/>
      <c r="D235" s="27"/>
      <c r="E235" s="27"/>
      <c r="F235" s="27"/>
      <c r="G235" s="27"/>
      <c r="H235" s="27"/>
    </row>
    <row r="236" spans="1:8">
      <c r="A236" s="27"/>
      <c r="B236" s="27"/>
      <c r="C236" s="27"/>
      <c r="D236" s="27"/>
      <c r="E236" s="27"/>
      <c r="F236" s="27"/>
      <c r="G236" s="27"/>
      <c r="H236" s="27"/>
    </row>
    <row r="237" spans="1:8">
      <c r="A237" s="27"/>
      <c r="B237" s="27"/>
      <c r="C237" s="27"/>
      <c r="D237" s="27"/>
      <c r="E237" s="27"/>
      <c r="F237" s="27"/>
      <c r="G237" s="27"/>
      <c r="H237" s="27"/>
    </row>
    <row r="238" spans="1:8">
      <c r="A238" s="27"/>
      <c r="B238" s="27"/>
      <c r="C238" s="27"/>
      <c r="D238" s="27"/>
      <c r="E238" s="27"/>
      <c r="F238" s="27"/>
      <c r="G238" s="27"/>
      <c r="H238" s="27"/>
    </row>
    <row r="239" spans="1:8">
      <c r="A239" s="27"/>
      <c r="B239" s="27"/>
      <c r="C239" s="27"/>
      <c r="D239" s="27"/>
      <c r="E239" s="27"/>
      <c r="F239" s="27"/>
      <c r="G239" s="27"/>
      <c r="H239" s="27"/>
    </row>
    <row r="240" spans="1:8">
      <c r="A240" s="27"/>
      <c r="B240" s="27"/>
      <c r="C240" s="27"/>
      <c r="D240" s="27"/>
      <c r="E240" s="27"/>
      <c r="F240" s="27"/>
      <c r="G240" s="27"/>
      <c r="H240" s="27"/>
    </row>
    <row r="241" spans="1:8">
      <c r="A241" s="27"/>
      <c r="B241" s="27"/>
      <c r="C241" s="27"/>
      <c r="D241" s="27"/>
      <c r="E241" s="27"/>
      <c r="F241" s="27"/>
      <c r="G241" s="27"/>
      <c r="H241" s="27"/>
    </row>
    <row r="242" spans="1:8">
      <c r="A242" s="27"/>
      <c r="B242" s="27"/>
      <c r="C242" s="27"/>
      <c r="D242" s="27"/>
      <c r="E242" s="27"/>
      <c r="F242" s="27"/>
      <c r="G242" s="27"/>
      <c r="H242" s="27"/>
    </row>
    <row r="243" spans="1:8">
      <c r="A243" s="27"/>
      <c r="B243" s="27"/>
      <c r="C243" s="27"/>
      <c r="D243" s="27"/>
      <c r="E243" s="27"/>
      <c r="F243" s="27"/>
      <c r="G243" s="27"/>
      <c r="H243" s="27"/>
    </row>
    <row r="244" spans="1:8">
      <c r="A244" s="27"/>
      <c r="B244" s="27"/>
      <c r="C244" s="27"/>
      <c r="D244" s="27"/>
      <c r="E244" s="27"/>
      <c r="F244" s="27"/>
      <c r="G244" s="27"/>
      <c r="H244" s="27"/>
    </row>
    <row r="245" spans="1:8">
      <c r="A245" s="27"/>
      <c r="B245" s="27"/>
      <c r="C245" s="27"/>
      <c r="D245" s="27"/>
      <c r="E245" s="27"/>
      <c r="F245" s="27"/>
      <c r="G245" s="27"/>
      <c r="H245" s="27"/>
    </row>
    <row r="246" spans="1:8">
      <c r="A246" s="27"/>
      <c r="B246" s="27"/>
      <c r="C246" s="27"/>
      <c r="D246" s="27"/>
      <c r="E246" s="27"/>
      <c r="F246" s="27"/>
      <c r="G246" s="27"/>
      <c r="H246" s="27"/>
    </row>
    <row r="247" spans="1:8">
      <c r="A247" s="27"/>
      <c r="B247" s="27"/>
      <c r="C247" s="27"/>
      <c r="D247" s="27"/>
      <c r="E247" s="27"/>
      <c r="F247" s="27"/>
      <c r="G247" s="27"/>
      <c r="H247" s="27"/>
    </row>
    <row r="248" spans="1:8">
      <c r="A248" s="27"/>
      <c r="B248" s="27"/>
      <c r="C248" s="27"/>
      <c r="D248" s="27"/>
      <c r="E248" s="27"/>
      <c r="F248" s="27"/>
      <c r="G248" s="27"/>
      <c r="H248" s="27"/>
    </row>
    <row r="249" spans="1:8">
      <c r="A249" s="27"/>
      <c r="B249" s="27"/>
      <c r="C249" s="27"/>
      <c r="D249" s="27"/>
      <c r="E249" s="27"/>
      <c r="F249" s="27"/>
      <c r="G249" s="27"/>
      <c r="H249" s="27"/>
    </row>
    <row r="250" spans="1:8">
      <c r="A250" s="27"/>
      <c r="B250" s="27"/>
      <c r="C250" s="27"/>
      <c r="D250" s="27"/>
      <c r="E250" s="27"/>
      <c r="F250" s="27"/>
      <c r="G250" s="27"/>
      <c r="H250" s="27"/>
    </row>
    <row r="251" spans="1:8">
      <c r="A251" s="27"/>
      <c r="B251" s="27"/>
      <c r="C251" s="27"/>
      <c r="D251" s="27"/>
      <c r="E251" s="27"/>
      <c r="F251" s="27"/>
      <c r="G251" s="27"/>
      <c r="H251" s="27"/>
    </row>
    <row r="252" spans="1:8">
      <c r="A252" s="27"/>
      <c r="B252" s="27"/>
      <c r="C252" s="27"/>
      <c r="D252" s="27"/>
      <c r="E252" s="27"/>
      <c r="F252" s="27"/>
      <c r="G252" s="27"/>
      <c r="H252" s="27"/>
    </row>
    <row r="253" spans="1:8">
      <c r="A253" s="27"/>
      <c r="B253" s="27"/>
      <c r="C253" s="27"/>
      <c r="D253" s="27"/>
      <c r="E253" s="27"/>
      <c r="F253" s="27"/>
      <c r="G253" s="27"/>
      <c r="H253" s="27"/>
    </row>
    <row r="254" spans="1:8">
      <c r="A254" s="27"/>
      <c r="B254" s="27"/>
      <c r="C254" s="27"/>
      <c r="D254" s="27"/>
      <c r="E254" s="27"/>
      <c r="F254" s="27"/>
      <c r="G254" s="27"/>
      <c r="H254" s="27"/>
    </row>
    <row r="255" spans="1:8">
      <c r="A255" s="27"/>
      <c r="B255" s="27"/>
      <c r="C255" s="27"/>
      <c r="D255" s="27"/>
      <c r="E255" s="27"/>
      <c r="F255" s="27"/>
      <c r="G255" s="27"/>
      <c r="H255" s="27"/>
    </row>
    <row r="256" spans="1:8">
      <c r="A256" s="27"/>
      <c r="B256" s="27"/>
      <c r="C256" s="27"/>
      <c r="D256" s="27"/>
      <c r="E256" s="27"/>
      <c r="F256" s="27"/>
      <c r="G256" s="27"/>
      <c r="H256" s="27"/>
    </row>
    <row r="257" spans="1:8">
      <c r="A257" s="27"/>
      <c r="B257" s="27"/>
      <c r="C257" s="27"/>
      <c r="D257" s="27"/>
      <c r="E257" s="27"/>
      <c r="F257" s="27"/>
      <c r="G257" s="27"/>
      <c r="H257" s="27"/>
    </row>
    <row r="258" spans="1:8">
      <c r="A258" s="27"/>
      <c r="B258" s="27"/>
      <c r="C258" s="27"/>
      <c r="D258" s="27"/>
      <c r="E258" s="27"/>
      <c r="F258" s="27"/>
      <c r="G258" s="27"/>
      <c r="H258" s="27"/>
    </row>
    <row r="259" spans="1:8">
      <c r="A259" s="27"/>
      <c r="B259" s="27"/>
      <c r="C259" s="27"/>
      <c r="D259" s="27"/>
      <c r="E259" s="27"/>
      <c r="F259" s="27"/>
      <c r="G259" s="27"/>
      <c r="H259" s="27"/>
    </row>
    <row r="260" spans="1:8">
      <c r="A260" s="27"/>
      <c r="B260" s="27"/>
      <c r="C260" s="27"/>
      <c r="D260" s="27"/>
      <c r="E260" s="27"/>
      <c r="F260" s="27"/>
      <c r="G260" s="27"/>
      <c r="H260" s="27"/>
    </row>
    <row r="261" spans="1:8">
      <c r="A261" s="27"/>
      <c r="B261" s="27"/>
      <c r="C261" s="27"/>
      <c r="D261" s="27"/>
      <c r="E261" s="27"/>
      <c r="F261" s="27"/>
      <c r="G261" s="27"/>
      <c r="H261" s="27"/>
    </row>
    <row r="262" spans="1:8">
      <c r="A262" s="27"/>
      <c r="B262" s="27"/>
      <c r="C262" s="27"/>
      <c r="D262" s="27"/>
      <c r="E262" s="27"/>
      <c r="F262" s="27"/>
      <c r="G262" s="27"/>
      <c r="H262" s="27"/>
    </row>
    <row r="263" spans="1:8">
      <c r="A263" s="27"/>
      <c r="B263" s="27"/>
      <c r="C263" s="27"/>
      <c r="D263" s="27"/>
      <c r="E263" s="27"/>
      <c r="F263" s="27"/>
      <c r="G263" s="27"/>
      <c r="H263" s="27"/>
    </row>
    <row r="264" spans="1:8">
      <c r="A264" s="27"/>
      <c r="B264" s="27"/>
      <c r="C264" s="27"/>
      <c r="D264" s="27"/>
      <c r="E264" s="27"/>
      <c r="F264" s="27"/>
      <c r="G264" s="27"/>
      <c r="H264" s="27"/>
    </row>
    <row r="265" spans="1:8">
      <c r="A265" s="27"/>
      <c r="B265" s="27"/>
      <c r="C265" s="27"/>
      <c r="D265" s="27"/>
      <c r="E265" s="27"/>
      <c r="F265" s="27"/>
      <c r="G265" s="27"/>
      <c r="H265" s="27"/>
    </row>
    <row r="266" spans="1:8">
      <c r="A266" s="27"/>
      <c r="B266" s="27"/>
      <c r="C266" s="27"/>
      <c r="D266" s="27"/>
      <c r="E266" s="27"/>
      <c r="F266" s="27"/>
      <c r="G266" s="27"/>
      <c r="H266" s="27"/>
    </row>
    <row r="267" spans="1:8">
      <c r="A267" s="27"/>
      <c r="B267" s="27"/>
      <c r="C267" s="27"/>
      <c r="D267" s="27"/>
      <c r="E267" s="27"/>
      <c r="F267" s="27"/>
      <c r="G267" s="27"/>
      <c r="H267" s="27"/>
    </row>
    <row r="268" spans="1:8">
      <c r="A268" s="27"/>
      <c r="B268" s="27"/>
      <c r="C268" s="27"/>
      <c r="D268" s="27"/>
      <c r="E268" s="27"/>
      <c r="F268" s="27"/>
      <c r="G268" s="27"/>
      <c r="H268" s="27"/>
    </row>
    <row r="269" spans="1:8">
      <c r="A269" s="27"/>
      <c r="B269" s="27"/>
      <c r="C269" s="27"/>
      <c r="D269" s="27"/>
      <c r="E269" s="27"/>
      <c r="F269" s="27"/>
      <c r="G269" s="27"/>
      <c r="H269" s="27"/>
    </row>
    <row r="270" spans="1:8">
      <c r="A270" s="27"/>
      <c r="B270" s="27"/>
      <c r="C270" s="27"/>
      <c r="D270" s="27"/>
      <c r="E270" s="27"/>
      <c r="F270" s="27"/>
      <c r="G270" s="27"/>
      <c r="H270" s="27"/>
    </row>
    <row r="271" spans="1:8">
      <c r="A271" s="27"/>
      <c r="B271" s="27"/>
      <c r="C271" s="27"/>
      <c r="D271" s="27"/>
      <c r="E271" s="27"/>
      <c r="F271" s="27"/>
      <c r="G271" s="27"/>
      <c r="H271" s="27"/>
    </row>
    <row r="272" spans="1:8">
      <c r="A272" s="27"/>
      <c r="B272" s="27"/>
      <c r="C272" s="27"/>
      <c r="D272" s="27"/>
      <c r="E272" s="27"/>
      <c r="F272" s="27"/>
      <c r="G272" s="27"/>
      <c r="H272" s="27"/>
    </row>
    <row r="273" spans="1:8">
      <c r="A273" s="27"/>
      <c r="B273" s="27"/>
      <c r="C273" s="27"/>
      <c r="D273" s="27"/>
      <c r="E273" s="27"/>
      <c r="F273" s="27"/>
      <c r="G273" s="27"/>
      <c r="H273" s="27"/>
    </row>
    <row r="274" spans="1:8">
      <c r="A274" s="27"/>
      <c r="B274" s="27"/>
      <c r="C274" s="27"/>
      <c r="D274" s="27"/>
      <c r="E274" s="27"/>
      <c r="F274" s="27"/>
      <c r="G274" s="27"/>
      <c r="H274" s="27"/>
    </row>
    <row r="275" spans="1:8">
      <c r="A275" s="27"/>
      <c r="B275" s="27"/>
      <c r="C275" s="27"/>
      <c r="D275" s="27"/>
      <c r="E275" s="27"/>
      <c r="F275" s="27"/>
      <c r="G275" s="27"/>
      <c r="H275" s="27"/>
    </row>
    <row r="276" spans="1:8">
      <c r="A276" s="27"/>
      <c r="B276" s="27"/>
      <c r="C276" s="27"/>
      <c r="D276" s="27"/>
      <c r="E276" s="27"/>
      <c r="F276" s="27"/>
      <c r="G276" s="27"/>
      <c r="H276" s="27"/>
    </row>
    <row r="277" spans="1:8">
      <c r="A277" s="27"/>
      <c r="B277" s="27"/>
      <c r="C277" s="27"/>
      <c r="D277" s="27"/>
      <c r="E277" s="27"/>
      <c r="F277" s="27"/>
      <c r="G277" s="27"/>
      <c r="H277" s="27"/>
    </row>
    <row r="278" spans="1:8">
      <c r="A278" s="27"/>
      <c r="B278" s="27"/>
      <c r="C278" s="27"/>
      <c r="D278" s="27"/>
      <c r="E278" s="27"/>
      <c r="F278" s="27"/>
      <c r="G278" s="27"/>
      <c r="H278" s="27"/>
    </row>
    <row r="279" spans="1:8">
      <c r="A279" s="27"/>
      <c r="B279" s="27"/>
      <c r="C279" s="27"/>
      <c r="D279" s="27"/>
      <c r="E279" s="27"/>
      <c r="F279" s="27"/>
      <c r="G279" s="27"/>
      <c r="H279" s="27"/>
    </row>
    <row r="280" spans="1:8">
      <c r="A280" s="27"/>
      <c r="B280" s="27"/>
      <c r="C280" s="27"/>
      <c r="D280" s="27"/>
      <c r="E280" s="27"/>
      <c r="F280" s="27"/>
      <c r="G280" s="27"/>
      <c r="H280" s="27"/>
    </row>
    <row r="281" spans="1:8">
      <c r="A281" s="27"/>
      <c r="B281" s="27"/>
      <c r="C281" s="27"/>
      <c r="D281" s="27"/>
      <c r="E281" s="27"/>
      <c r="F281" s="27"/>
      <c r="G281" s="27"/>
      <c r="H281" s="27"/>
    </row>
    <row r="282" spans="1:8">
      <c r="A282" s="27"/>
      <c r="B282" s="27"/>
      <c r="C282" s="27"/>
      <c r="D282" s="27"/>
      <c r="E282" s="27"/>
      <c r="F282" s="27"/>
      <c r="G282" s="27"/>
      <c r="H282" s="27"/>
    </row>
    <row r="283" spans="1:8">
      <c r="A283" s="27"/>
      <c r="B283" s="27"/>
      <c r="C283" s="27"/>
      <c r="D283" s="27"/>
      <c r="E283" s="27"/>
      <c r="F283" s="27"/>
      <c r="G283" s="27"/>
      <c r="H283" s="27"/>
    </row>
    <row r="284" spans="1:8">
      <c r="A284" s="27"/>
      <c r="B284" s="27"/>
      <c r="C284" s="27"/>
      <c r="D284" s="27"/>
      <c r="E284" s="27"/>
      <c r="F284" s="27"/>
      <c r="G284" s="27"/>
      <c r="H284" s="27"/>
    </row>
    <row r="285" spans="1:8">
      <c r="A285" s="27"/>
      <c r="B285" s="27"/>
      <c r="C285" s="27"/>
      <c r="D285" s="27"/>
      <c r="E285" s="27"/>
      <c r="F285" s="27"/>
      <c r="G285" s="27"/>
      <c r="H285" s="27"/>
    </row>
    <row r="286" spans="1:8">
      <c r="A286" s="27"/>
      <c r="B286" s="27"/>
      <c r="C286" s="27"/>
      <c r="D286" s="27"/>
      <c r="E286" s="27"/>
      <c r="F286" s="27"/>
      <c r="G286" s="27"/>
      <c r="H286" s="27"/>
    </row>
    <row r="287" spans="1:8">
      <c r="A287" s="27"/>
      <c r="B287" s="27"/>
      <c r="C287" s="27"/>
      <c r="D287" s="27"/>
      <c r="E287" s="27"/>
      <c r="F287" s="27"/>
      <c r="G287" s="27"/>
      <c r="H287" s="27"/>
    </row>
    <row r="288" spans="1:8">
      <c r="A288" s="27"/>
      <c r="B288" s="27"/>
      <c r="C288" s="27"/>
      <c r="D288" s="27"/>
      <c r="E288" s="27"/>
      <c r="F288" s="27"/>
      <c r="G288" s="27"/>
      <c r="H288" s="27"/>
    </row>
    <row r="289" spans="1:8">
      <c r="A289" s="27"/>
      <c r="B289" s="27"/>
      <c r="C289" s="27"/>
      <c r="D289" s="27"/>
      <c r="E289" s="27"/>
      <c r="F289" s="27"/>
      <c r="G289" s="27"/>
      <c r="H289" s="27"/>
    </row>
    <row r="290" spans="1:8">
      <c r="A290" s="27"/>
      <c r="B290" s="27"/>
      <c r="C290" s="27"/>
      <c r="D290" s="27"/>
      <c r="E290" s="27"/>
      <c r="F290" s="27"/>
      <c r="G290" s="27"/>
      <c r="H290" s="27"/>
    </row>
    <row r="291" spans="1:8">
      <c r="A291" s="27"/>
      <c r="B291" s="27"/>
      <c r="C291" s="27"/>
      <c r="D291" s="27"/>
      <c r="E291" s="27"/>
      <c r="F291" s="27"/>
      <c r="G291" s="27"/>
      <c r="H291" s="27"/>
    </row>
    <row r="292" spans="1:8">
      <c r="A292" s="27"/>
      <c r="B292" s="27"/>
      <c r="C292" s="27"/>
      <c r="D292" s="27"/>
      <c r="E292" s="27"/>
      <c r="F292" s="27"/>
      <c r="G292" s="27"/>
      <c r="H292" s="27"/>
    </row>
    <row r="293" spans="1:8">
      <c r="A293" s="27"/>
      <c r="B293" s="27"/>
      <c r="C293" s="27"/>
      <c r="D293" s="27"/>
      <c r="E293" s="27"/>
      <c r="F293" s="27"/>
      <c r="G293" s="27"/>
      <c r="H293" s="27"/>
    </row>
    <row r="294" spans="1:8">
      <c r="A294" s="27"/>
      <c r="B294" s="27"/>
      <c r="C294" s="27"/>
      <c r="D294" s="27"/>
      <c r="E294" s="27"/>
      <c r="F294" s="27"/>
      <c r="G294" s="27"/>
      <c r="H294" s="27"/>
    </row>
    <row r="295" spans="1:8">
      <c r="A295" s="27"/>
      <c r="B295" s="27"/>
      <c r="C295" s="27"/>
      <c r="D295" s="27"/>
      <c r="E295" s="27"/>
      <c r="F295" s="27"/>
      <c r="G295" s="27"/>
      <c r="H295" s="27"/>
    </row>
    <row r="296" spans="1:8">
      <c r="A296" s="27"/>
      <c r="B296" s="27"/>
      <c r="C296" s="27"/>
      <c r="D296" s="27"/>
      <c r="E296" s="27"/>
      <c r="F296" s="27"/>
      <c r="G296" s="27"/>
      <c r="H296" s="27"/>
    </row>
    <row r="297" spans="1:8">
      <c r="A297" s="27"/>
      <c r="B297" s="27"/>
      <c r="C297" s="27"/>
      <c r="D297" s="27"/>
      <c r="E297" s="27"/>
      <c r="F297" s="27"/>
      <c r="G297" s="27"/>
      <c r="H297" s="27"/>
    </row>
    <row r="298" spans="1:8">
      <c r="A298" s="27"/>
      <c r="B298" s="27"/>
      <c r="C298" s="27"/>
      <c r="D298" s="27"/>
      <c r="E298" s="27"/>
      <c r="F298" s="27"/>
      <c r="G298" s="27"/>
      <c r="H298" s="27"/>
    </row>
    <row r="299" spans="1:8">
      <c r="A299" s="27"/>
      <c r="B299" s="27"/>
      <c r="C299" s="27"/>
      <c r="D299" s="27"/>
      <c r="E299" s="27"/>
      <c r="F299" s="27"/>
      <c r="G299" s="27"/>
      <c r="H299" s="27"/>
    </row>
    <row r="300" spans="1:8">
      <c r="A300" s="27"/>
      <c r="B300" s="27"/>
      <c r="C300" s="27"/>
      <c r="D300" s="27"/>
      <c r="E300" s="27"/>
      <c r="F300" s="27"/>
      <c r="G300" s="27"/>
      <c r="H300" s="27"/>
    </row>
    <row r="301" spans="1:8">
      <c r="A301" s="27"/>
      <c r="B301" s="27"/>
      <c r="C301" s="27"/>
      <c r="D301" s="27"/>
      <c r="E301" s="27"/>
      <c r="F301" s="27"/>
      <c r="G301" s="27"/>
      <c r="H301" s="27"/>
    </row>
    <row r="302" spans="1:8">
      <c r="A302" s="27"/>
      <c r="B302" s="27"/>
      <c r="C302" s="27"/>
      <c r="D302" s="27"/>
      <c r="E302" s="27"/>
      <c r="F302" s="27"/>
      <c r="G302" s="27"/>
      <c r="H302" s="27"/>
    </row>
    <row r="303" spans="1:8">
      <c r="A303" s="27"/>
      <c r="B303" s="27"/>
      <c r="C303" s="27"/>
      <c r="D303" s="27"/>
      <c r="E303" s="27"/>
      <c r="F303" s="27"/>
      <c r="G303" s="27"/>
      <c r="H303" s="27"/>
    </row>
    <row r="304" spans="1:8">
      <c r="A304" s="27"/>
      <c r="B304" s="27"/>
      <c r="C304" s="27"/>
      <c r="D304" s="27"/>
      <c r="E304" s="27"/>
      <c r="F304" s="27"/>
      <c r="G304" s="27"/>
      <c r="H304" s="27"/>
    </row>
    <row r="305" spans="1:8">
      <c r="A305" s="27"/>
      <c r="B305" s="27"/>
      <c r="C305" s="27"/>
      <c r="D305" s="27"/>
      <c r="E305" s="27"/>
      <c r="F305" s="27"/>
      <c r="G305" s="27"/>
      <c r="H305" s="27"/>
    </row>
    <row r="306" spans="1:8">
      <c r="A306" s="27"/>
      <c r="B306" s="27"/>
      <c r="C306" s="27"/>
      <c r="D306" s="27"/>
      <c r="E306" s="27"/>
      <c r="F306" s="27"/>
      <c r="G306" s="27"/>
      <c r="H306" s="27"/>
    </row>
    <row r="307" spans="1:8">
      <c r="A307" s="27"/>
      <c r="B307" s="27"/>
      <c r="C307" s="27"/>
      <c r="D307" s="27"/>
      <c r="E307" s="27"/>
      <c r="F307" s="27"/>
      <c r="G307" s="27"/>
      <c r="H307" s="27"/>
    </row>
    <row r="308" spans="1:8">
      <c r="A308" s="27"/>
      <c r="B308" s="27"/>
      <c r="C308" s="27"/>
      <c r="D308" s="27"/>
      <c r="E308" s="27"/>
      <c r="F308" s="27"/>
      <c r="G308" s="27"/>
      <c r="H308" s="27"/>
    </row>
    <row r="309" spans="1:8">
      <c r="A309" s="27"/>
      <c r="B309" s="27"/>
      <c r="C309" s="27"/>
      <c r="D309" s="27"/>
      <c r="E309" s="27"/>
      <c r="F309" s="27"/>
      <c r="G309" s="27"/>
      <c r="H309" s="27"/>
    </row>
    <row r="310" spans="1:8">
      <c r="A310" s="27"/>
      <c r="B310" s="27"/>
      <c r="C310" s="27"/>
      <c r="D310" s="27"/>
      <c r="E310" s="27"/>
      <c r="F310" s="27"/>
      <c r="G310" s="27"/>
      <c r="H310" s="27"/>
    </row>
    <row r="311" spans="1:8">
      <c r="A311" s="27"/>
      <c r="B311" s="27"/>
      <c r="C311" s="27"/>
      <c r="D311" s="27"/>
      <c r="E311" s="27"/>
      <c r="F311" s="27"/>
      <c r="G311" s="27"/>
      <c r="H311" s="27"/>
    </row>
    <row r="312" spans="1:8">
      <c r="A312" s="27"/>
      <c r="B312" s="27"/>
      <c r="C312" s="27"/>
      <c r="D312" s="27"/>
      <c r="E312" s="27"/>
      <c r="F312" s="27"/>
      <c r="G312" s="27"/>
      <c r="H312" s="27"/>
    </row>
    <row r="313" spans="1:8">
      <c r="A313" s="27"/>
      <c r="B313" s="27"/>
      <c r="C313" s="27"/>
      <c r="D313" s="27"/>
      <c r="E313" s="27"/>
      <c r="F313" s="27"/>
      <c r="G313" s="27"/>
      <c r="H313" s="27"/>
    </row>
    <row r="314" spans="1:8">
      <c r="A314" s="27"/>
      <c r="B314" s="27"/>
      <c r="C314" s="27"/>
      <c r="D314" s="27"/>
      <c r="E314" s="27"/>
      <c r="F314" s="27"/>
      <c r="G314" s="27"/>
      <c r="H314" s="27"/>
    </row>
    <row r="315" spans="1:8">
      <c r="A315" s="27"/>
      <c r="B315" s="27"/>
      <c r="C315" s="27"/>
      <c r="D315" s="27"/>
      <c r="E315" s="27"/>
      <c r="F315" s="27"/>
      <c r="G315" s="27"/>
      <c r="H315" s="27"/>
    </row>
    <row r="316" spans="1:8">
      <c r="A316" s="27"/>
      <c r="B316" s="27"/>
      <c r="C316" s="27"/>
      <c r="D316" s="27"/>
      <c r="E316" s="27"/>
      <c r="F316" s="27"/>
      <c r="G316" s="27"/>
      <c r="H316" s="27"/>
    </row>
    <row r="317" spans="1:8">
      <c r="A317" s="27"/>
      <c r="B317" s="27"/>
      <c r="C317" s="27"/>
      <c r="D317" s="27"/>
      <c r="E317" s="27"/>
      <c r="F317" s="27"/>
      <c r="G317" s="27"/>
      <c r="H317" s="27"/>
    </row>
    <row r="318" spans="1:8">
      <c r="A318" s="27"/>
      <c r="B318" s="27"/>
      <c r="C318" s="27"/>
      <c r="D318" s="27"/>
      <c r="E318" s="27"/>
      <c r="F318" s="27"/>
      <c r="G318" s="27"/>
      <c r="H318" s="27"/>
    </row>
    <row r="319" spans="1:8">
      <c r="A319" s="27"/>
      <c r="B319" s="27"/>
      <c r="C319" s="27"/>
      <c r="D319" s="27"/>
      <c r="E319" s="27"/>
      <c r="F319" s="27"/>
      <c r="G319" s="27"/>
      <c r="H319" s="27"/>
    </row>
    <row r="320" spans="1:8">
      <c r="A320" s="27"/>
      <c r="B320" s="27"/>
      <c r="C320" s="27"/>
      <c r="D320" s="27"/>
      <c r="E320" s="27"/>
      <c r="F320" s="27"/>
      <c r="G320" s="27"/>
      <c r="H320" s="27"/>
    </row>
    <row r="321" spans="1:8">
      <c r="A321" s="27"/>
      <c r="B321" s="27"/>
      <c r="C321" s="27"/>
      <c r="D321" s="27"/>
      <c r="E321" s="27"/>
      <c r="F321" s="27"/>
      <c r="G321" s="27"/>
      <c r="H321" s="27"/>
    </row>
    <row r="322" spans="1:8">
      <c r="A322" s="27"/>
      <c r="B322" s="27"/>
      <c r="C322" s="27"/>
      <c r="D322" s="27"/>
      <c r="E322" s="27"/>
      <c r="F322" s="27"/>
      <c r="G322" s="27"/>
      <c r="H322" s="27"/>
    </row>
    <row r="323" spans="1:8">
      <c r="A323" s="27"/>
      <c r="B323" s="27"/>
      <c r="C323" s="27"/>
      <c r="D323" s="27"/>
      <c r="E323" s="27"/>
      <c r="F323" s="27"/>
      <c r="G323" s="27"/>
      <c r="H323" s="27"/>
    </row>
    <row r="324" spans="1:8">
      <c r="A324" s="27"/>
      <c r="B324" s="27"/>
      <c r="C324" s="27"/>
      <c r="D324" s="27"/>
      <c r="E324" s="27"/>
      <c r="F324" s="27"/>
      <c r="G324" s="27"/>
      <c r="H324" s="27"/>
    </row>
    <row r="325" spans="1:8">
      <c r="A325" s="27"/>
      <c r="B325" s="27"/>
      <c r="C325" s="27"/>
      <c r="D325" s="27"/>
      <c r="E325" s="27"/>
      <c r="F325" s="27"/>
      <c r="G325" s="27"/>
      <c r="H325" s="27"/>
    </row>
    <row r="326" spans="1:8">
      <c r="A326" s="27"/>
      <c r="B326" s="27"/>
      <c r="C326" s="27"/>
      <c r="D326" s="27"/>
      <c r="E326" s="27"/>
      <c r="F326" s="27"/>
      <c r="G326" s="27"/>
      <c r="H326" s="27"/>
    </row>
    <row r="327" spans="1:8">
      <c r="A327" s="27"/>
      <c r="B327" s="27"/>
      <c r="C327" s="27"/>
      <c r="D327" s="27"/>
      <c r="E327" s="27"/>
      <c r="F327" s="27"/>
      <c r="G327" s="27"/>
      <c r="H327" s="27"/>
    </row>
    <row r="328" spans="1:8">
      <c r="A328" s="27"/>
      <c r="B328" s="27"/>
      <c r="C328" s="27"/>
      <c r="D328" s="27"/>
      <c r="E328" s="27"/>
      <c r="F328" s="27"/>
      <c r="G328" s="27"/>
      <c r="H328" s="27"/>
    </row>
    <row r="329" spans="1:8">
      <c r="A329" s="27"/>
      <c r="B329" s="27"/>
      <c r="C329" s="27"/>
      <c r="D329" s="27"/>
      <c r="E329" s="27"/>
      <c r="F329" s="27"/>
      <c r="G329" s="27"/>
      <c r="H329" s="27"/>
    </row>
    <row r="330" spans="1:8">
      <c r="A330" s="27"/>
      <c r="B330" s="27"/>
      <c r="C330" s="27"/>
      <c r="D330" s="27"/>
      <c r="E330" s="27"/>
      <c r="F330" s="27"/>
      <c r="G330" s="27"/>
      <c r="H330" s="27"/>
    </row>
    <row r="331" spans="1:8">
      <c r="A331" s="27"/>
      <c r="B331" s="27"/>
      <c r="C331" s="27"/>
      <c r="D331" s="27"/>
      <c r="E331" s="27"/>
      <c r="F331" s="27"/>
      <c r="G331" s="27"/>
      <c r="H331" s="27"/>
    </row>
    <row r="332" spans="1:8">
      <c r="A332" s="27"/>
      <c r="B332" s="27"/>
      <c r="C332" s="27"/>
      <c r="D332" s="27"/>
      <c r="E332" s="27"/>
      <c r="F332" s="27"/>
      <c r="G332" s="27"/>
      <c r="H332" s="27"/>
    </row>
    <row r="333" spans="1:8">
      <c r="A333" s="27"/>
      <c r="B333" s="27"/>
      <c r="C333" s="27"/>
      <c r="D333" s="27"/>
      <c r="E333" s="27"/>
      <c r="F333" s="27"/>
      <c r="G333" s="27"/>
      <c r="H333" s="27"/>
    </row>
    <row r="334" spans="1:8">
      <c r="A334" s="27"/>
      <c r="B334" s="27"/>
      <c r="C334" s="27"/>
      <c r="D334" s="27"/>
      <c r="E334" s="27"/>
      <c r="F334" s="27"/>
      <c r="G334" s="27"/>
      <c r="H334" s="27"/>
    </row>
  </sheetData>
  <mergeCells count="16">
    <mergeCell ref="S15:W15"/>
    <mergeCell ref="B1:L1"/>
    <mergeCell ref="B2:L2"/>
    <mergeCell ref="B121:G121"/>
    <mergeCell ref="B110:G110"/>
    <mergeCell ref="B116:G116"/>
    <mergeCell ref="B117:H117"/>
    <mergeCell ref="B118:J118"/>
    <mergeCell ref="B119:H119"/>
    <mergeCell ref="B120:G120"/>
    <mergeCell ref="B104:F104"/>
    <mergeCell ref="B109:G109"/>
    <mergeCell ref="B108:H108"/>
    <mergeCell ref="B107:J107"/>
    <mergeCell ref="B106:H106"/>
    <mergeCell ref="B105:G105"/>
  </mergeCells>
  <phoneticPr fontId="0" type="noConversion"/>
  <pageMargins left="0.59055118110236227" right="0.39370078740157483" top="0.51181102362204722" bottom="0.47244094488188981" header="0" footer="0"/>
  <pageSetup paperSize="9" orientation="portrait" blackAndWhite="1" horizontalDpi="300" verticalDpi="300" r:id="rId1"/>
  <headerFooter alignWithMargins="0"/>
  <ignoredErrors>
    <ignoredError sqref="L108 G123 L117 J15" unlockedFormula="1"/>
    <ignoredError sqref="L98 L102 L124:L125" evalError="1"/>
    <ignoredError sqref="L119" evalError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BV208"/>
  <sheetViews>
    <sheetView topLeftCell="A7" workbookViewId="0">
      <pane xSplit="8" topLeftCell="BN1" activePane="topRight" state="frozen"/>
      <selection activeCell="B3" sqref="B3"/>
      <selection pane="topRight" activeCell="B3" sqref="B3"/>
    </sheetView>
  </sheetViews>
  <sheetFormatPr defaultColWidth="9.140625" defaultRowHeight="20.25"/>
  <cols>
    <col min="1" max="1" width="4.7109375" style="336" customWidth="1"/>
    <col min="2" max="2" width="10.5703125" style="336" customWidth="1"/>
    <col min="3" max="3" width="9.5703125" style="336" customWidth="1"/>
    <col min="4" max="4" width="10.7109375" style="336" customWidth="1"/>
    <col min="5" max="5" width="11" style="336" customWidth="1"/>
    <col min="6" max="6" width="11.140625" style="336" customWidth="1"/>
    <col min="7" max="7" width="6" style="336" customWidth="1"/>
    <col min="8" max="8" width="29.42578125" style="336" customWidth="1"/>
    <col min="9" max="39" width="9.140625" style="336"/>
    <col min="40" max="41" width="9.140625" style="660"/>
    <col min="42" max="58" width="9.140625" style="336"/>
    <col min="59" max="59" width="6.5703125" style="336" customWidth="1"/>
    <col min="60" max="60" width="12.140625" style="336" customWidth="1"/>
    <col min="61" max="61" width="14.7109375" style="336" customWidth="1"/>
    <col min="62" max="62" width="14.140625" style="336" customWidth="1"/>
    <col min="63" max="63" width="13.7109375" style="336" bestFit="1" customWidth="1"/>
    <col min="64" max="65" width="10.42578125" style="336" customWidth="1"/>
    <col min="66" max="66" width="10.140625" style="336" customWidth="1"/>
    <col min="67" max="67" width="9.85546875" style="336" customWidth="1"/>
    <col min="68" max="68" width="9.42578125" style="336" customWidth="1"/>
    <col min="69" max="69" width="10.85546875" style="336" customWidth="1"/>
    <col min="70" max="70" width="9.85546875" style="336" customWidth="1"/>
    <col min="71" max="71" width="11.42578125" style="336" bestFit="1" customWidth="1"/>
    <col min="72" max="72" width="13.140625" style="336" customWidth="1"/>
    <col min="73" max="73" width="12.5703125" style="336" customWidth="1"/>
    <col min="74" max="16384" width="9.140625" style="336"/>
  </cols>
  <sheetData>
    <row r="1" spans="2:74" ht="21">
      <c r="B1" s="331" t="s">
        <v>147</v>
      </c>
      <c r="C1" s="332"/>
      <c r="D1" s="333"/>
      <c r="E1" s="334" t="s">
        <v>118</v>
      </c>
      <c r="F1" s="335"/>
      <c r="H1" s="337" t="s">
        <v>74</v>
      </c>
      <c r="I1" s="338" t="s">
        <v>144</v>
      </c>
      <c r="J1" s="339"/>
      <c r="K1" s="340">
        <f>C2</f>
        <v>30.5</v>
      </c>
      <c r="L1" s="339"/>
      <c r="M1" s="341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39"/>
      <c r="Z1" s="342"/>
      <c r="AA1" s="342"/>
      <c r="AB1" s="342"/>
      <c r="AC1" s="342"/>
      <c r="AD1" s="342"/>
      <c r="AE1" s="342"/>
      <c r="AF1" s="342"/>
      <c r="AG1" s="342"/>
      <c r="AH1" s="342"/>
      <c r="AI1" s="342"/>
      <c r="AJ1" s="342"/>
      <c r="AK1" s="342"/>
      <c r="AL1" s="342"/>
      <c r="AM1" s="342"/>
      <c r="AN1" s="649"/>
      <c r="AO1" s="649"/>
      <c r="AP1" s="342"/>
      <c r="AQ1" s="342"/>
      <c r="AR1" s="342"/>
      <c r="AS1" s="342"/>
      <c r="AT1" s="342"/>
      <c r="AU1" s="342"/>
      <c r="AV1" s="342"/>
      <c r="AW1" s="342"/>
      <c r="AX1" s="342"/>
      <c r="AY1" s="342"/>
      <c r="AZ1" s="342"/>
      <c r="BA1" s="342"/>
      <c r="BB1" s="342"/>
      <c r="BC1" s="342"/>
      <c r="BI1" s="343" t="s">
        <v>100</v>
      </c>
      <c r="BJ1" s="344"/>
      <c r="BK1" s="344"/>
      <c r="BL1" s="344"/>
      <c r="BM1" s="344"/>
      <c r="BN1" s="344"/>
      <c r="BO1" s="344"/>
      <c r="BP1" s="344"/>
      <c r="BQ1" s="344"/>
    </row>
    <row r="2" spans="2:74" ht="21.75" thickBot="1">
      <c r="B2" s="345" t="s">
        <v>58</v>
      </c>
      <c r="C2" s="346">
        <f>ข้อมูล!F132</f>
        <v>30.5</v>
      </c>
      <c r="D2" s="347" t="s">
        <v>59</v>
      </c>
      <c r="E2" s="348">
        <f>ข้อมูล!F132</f>
        <v>30.5</v>
      </c>
      <c r="F2" s="347" t="s">
        <v>59</v>
      </c>
      <c r="G2" s="349"/>
      <c r="H2" s="350" t="s">
        <v>1</v>
      </c>
      <c r="I2" s="351" t="s">
        <v>25</v>
      </c>
      <c r="J2" s="805">
        <v>15.5</v>
      </c>
      <c r="K2" s="806"/>
      <c r="L2" s="805">
        <v>16.5</v>
      </c>
      <c r="M2" s="806"/>
      <c r="N2" s="805">
        <v>17.5</v>
      </c>
      <c r="O2" s="806"/>
      <c r="P2" s="805">
        <v>18.5</v>
      </c>
      <c r="Q2" s="806"/>
      <c r="R2" s="805">
        <v>19.5</v>
      </c>
      <c r="S2" s="806"/>
      <c r="T2" s="807">
        <v>20.5</v>
      </c>
      <c r="U2" s="808"/>
      <c r="V2" s="807">
        <v>21.5</v>
      </c>
      <c r="W2" s="808"/>
      <c r="X2" s="807">
        <v>22.5</v>
      </c>
      <c r="Y2" s="808"/>
      <c r="Z2" s="807">
        <v>23.5</v>
      </c>
      <c r="AA2" s="808"/>
      <c r="AB2" s="807">
        <v>24.5</v>
      </c>
      <c r="AC2" s="808"/>
      <c r="AD2" s="807">
        <v>25.5</v>
      </c>
      <c r="AE2" s="808"/>
      <c r="AF2" s="805">
        <v>26.5</v>
      </c>
      <c r="AG2" s="806"/>
      <c r="AH2" s="805">
        <v>27.5</v>
      </c>
      <c r="AI2" s="806"/>
      <c r="AJ2" s="805">
        <v>28.5</v>
      </c>
      <c r="AK2" s="806"/>
      <c r="AL2" s="805">
        <v>29.5</v>
      </c>
      <c r="AM2" s="806"/>
      <c r="AN2" s="811">
        <v>30.5</v>
      </c>
      <c r="AO2" s="812"/>
      <c r="AP2" s="805">
        <v>31.5</v>
      </c>
      <c r="AQ2" s="806"/>
      <c r="AR2" s="805">
        <v>32.5</v>
      </c>
      <c r="AS2" s="806"/>
      <c r="AT2" s="805">
        <v>33.5</v>
      </c>
      <c r="AU2" s="806"/>
      <c r="AV2" s="805">
        <v>34.5</v>
      </c>
      <c r="AW2" s="806"/>
      <c r="AX2" s="805">
        <v>35.5</v>
      </c>
      <c r="AY2" s="806"/>
      <c r="AZ2" s="809">
        <v>18.5</v>
      </c>
      <c r="BA2" s="810"/>
      <c r="BB2" s="809">
        <v>17.5</v>
      </c>
      <c r="BC2" s="810"/>
      <c r="BD2" s="352" t="s">
        <v>75</v>
      </c>
      <c r="BE2" s="353"/>
      <c r="BF2" s="354"/>
      <c r="BI2" s="355"/>
      <c r="BJ2" s="5" t="s">
        <v>101</v>
      </c>
      <c r="BK2" s="5"/>
      <c r="BL2" s="5"/>
      <c r="BM2" s="5"/>
      <c r="BN2" s="5"/>
      <c r="BO2" s="5"/>
      <c r="BP2" s="5"/>
      <c r="BQ2" s="5"/>
    </row>
    <row r="3" spans="2:74">
      <c r="B3" s="356" t="s">
        <v>5</v>
      </c>
      <c r="C3" s="357" t="s">
        <v>57</v>
      </c>
      <c r="D3" s="357" t="s">
        <v>57</v>
      </c>
      <c r="E3" s="357" t="s">
        <v>57</v>
      </c>
      <c r="F3" s="357" t="s">
        <v>57</v>
      </c>
      <c r="G3" s="349"/>
      <c r="H3" s="358"/>
      <c r="I3" s="358"/>
      <c r="J3" s="34" t="s">
        <v>76</v>
      </c>
      <c r="K3" s="35" t="s">
        <v>73</v>
      </c>
      <c r="L3" s="34" t="s">
        <v>76</v>
      </c>
      <c r="M3" s="35" t="s">
        <v>73</v>
      </c>
      <c r="N3" s="34" t="s">
        <v>76</v>
      </c>
      <c r="O3" s="35" t="s">
        <v>73</v>
      </c>
      <c r="P3" s="34" t="s">
        <v>76</v>
      </c>
      <c r="Q3" s="35" t="s">
        <v>73</v>
      </c>
      <c r="R3" s="34" t="s">
        <v>76</v>
      </c>
      <c r="S3" s="35" t="s">
        <v>73</v>
      </c>
      <c r="T3" s="312" t="s">
        <v>76</v>
      </c>
      <c r="U3" s="313" t="s">
        <v>73</v>
      </c>
      <c r="V3" s="312" t="s">
        <v>76</v>
      </c>
      <c r="W3" s="313" t="s">
        <v>73</v>
      </c>
      <c r="X3" s="312" t="s">
        <v>76</v>
      </c>
      <c r="Y3" s="313" t="s">
        <v>73</v>
      </c>
      <c r="Z3" s="312" t="s">
        <v>76</v>
      </c>
      <c r="AA3" s="313" t="s">
        <v>73</v>
      </c>
      <c r="AB3" s="312" t="s">
        <v>76</v>
      </c>
      <c r="AC3" s="313" t="s">
        <v>73</v>
      </c>
      <c r="AD3" s="312" t="s">
        <v>76</v>
      </c>
      <c r="AE3" s="313" t="s">
        <v>73</v>
      </c>
      <c r="AF3" s="34" t="s">
        <v>76</v>
      </c>
      <c r="AG3" s="35" t="s">
        <v>73</v>
      </c>
      <c r="AH3" s="34" t="s">
        <v>76</v>
      </c>
      <c r="AI3" s="35" t="s">
        <v>73</v>
      </c>
      <c r="AJ3" s="34" t="s">
        <v>76</v>
      </c>
      <c r="AK3" s="35" t="s">
        <v>73</v>
      </c>
      <c r="AL3" s="34" t="s">
        <v>76</v>
      </c>
      <c r="AM3" s="35" t="s">
        <v>73</v>
      </c>
      <c r="AN3" s="650" t="s">
        <v>76</v>
      </c>
      <c r="AO3" s="651" t="s">
        <v>73</v>
      </c>
      <c r="AP3" s="34" t="s">
        <v>76</v>
      </c>
      <c r="AQ3" s="35" t="s">
        <v>73</v>
      </c>
      <c r="AR3" s="34" t="s">
        <v>76</v>
      </c>
      <c r="AS3" s="35" t="s">
        <v>73</v>
      </c>
      <c r="AT3" s="34" t="s">
        <v>76</v>
      </c>
      <c r="AU3" s="35" t="s">
        <v>73</v>
      </c>
      <c r="AV3" s="34" t="s">
        <v>76</v>
      </c>
      <c r="AW3" s="35" t="s">
        <v>73</v>
      </c>
      <c r="AX3" s="34" t="s">
        <v>76</v>
      </c>
      <c r="AY3" s="35" t="s">
        <v>73</v>
      </c>
      <c r="AZ3" s="34" t="s">
        <v>76</v>
      </c>
      <c r="BA3" s="35" t="s">
        <v>73</v>
      </c>
      <c r="BB3" s="34" t="s">
        <v>76</v>
      </c>
      <c r="BC3" s="35" t="s">
        <v>73</v>
      </c>
      <c r="BD3" s="34" t="s">
        <v>76</v>
      </c>
      <c r="BE3" s="35" t="s">
        <v>73</v>
      </c>
      <c r="BF3" s="359" t="str">
        <f>IF(ข้อมูล!P14=0,BD3,IF(ข้อมูล!P14=1,BE3,IF(ข้อมูล!P14=2,BE3,)))</f>
        <v>ปกติ</v>
      </c>
      <c r="BI3" s="355"/>
      <c r="BJ3" s="5" t="s">
        <v>61</v>
      </c>
      <c r="BK3" s="5"/>
      <c r="BL3" s="5"/>
      <c r="BM3" s="5">
        <v>7</v>
      </c>
      <c r="BN3" s="5" t="s">
        <v>62</v>
      </c>
      <c r="BO3" s="5"/>
      <c r="BP3" s="5"/>
      <c r="BQ3" s="5"/>
    </row>
    <row r="4" spans="2:74" ht="21" thickBot="1">
      <c r="B4" s="360" t="s">
        <v>41</v>
      </c>
      <c r="C4" s="361" t="s">
        <v>9</v>
      </c>
      <c r="D4" s="361" t="s">
        <v>4</v>
      </c>
      <c r="E4" s="663" t="s">
        <v>9</v>
      </c>
      <c r="F4" s="361" t="s">
        <v>4</v>
      </c>
      <c r="G4" s="362"/>
      <c r="H4" s="363" t="s">
        <v>77</v>
      </c>
      <c r="I4" s="364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14"/>
      <c r="U4" s="314"/>
      <c r="V4" s="314"/>
      <c r="W4" s="314"/>
      <c r="X4" s="315"/>
      <c r="Y4" s="315"/>
      <c r="Z4" s="315"/>
      <c r="AA4" s="315"/>
      <c r="AB4" s="315"/>
      <c r="AC4" s="315"/>
      <c r="AD4" s="315"/>
      <c r="AE4" s="315"/>
      <c r="AF4" s="36"/>
      <c r="AG4" s="36"/>
      <c r="AH4" s="36"/>
      <c r="AI4" s="36"/>
      <c r="AJ4" s="36"/>
      <c r="AK4" s="36"/>
      <c r="AL4" s="36"/>
      <c r="AM4" s="36"/>
      <c r="AN4" s="652"/>
      <c r="AO4" s="652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I4" s="355"/>
      <c r="BJ4" s="5" t="s">
        <v>64</v>
      </c>
      <c r="BK4" s="5"/>
      <c r="BL4" s="5"/>
      <c r="BM4" s="5">
        <f>ข้อมูล!P9</f>
        <v>0</v>
      </c>
      <c r="BN4" s="5" t="s">
        <v>62</v>
      </c>
      <c r="BO4" s="5"/>
      <c r="BP4" s="5"/>
      <c r="BQ4" s="5"/>
    </row>
    <row r="5" spans="2:74">
      <c r="B5" s="366">
        <v>1</v>
      </c>
      <c r="C5" s="367">
        <f>IF($C$2=20.5,'S3'!T5,IF($C$2=21.5,'S3'!V5,IF($C$2=22.5,'S3'!A5,IF($C$2=23.5,'S3'!B5,IF($C$2=24.5,'S3'!C5,IF($C$2=25.5,'S3'!C5,IF($C$2=26.5,'S3'!E5,IF($C$2=27.5,'S3'!F5,IF($C$2=28.5,'S3'!G5,IF($C$2=29.5,'S3'!H5,IF($C$2=30.5,'S3'!I5,IF($C$2=31.5,'S3'!J5,IF($C$2=32.5,'S3'!K5,IF($C$2=33.5,'S3'!L5,IF($C$2=34.5,'S3'!M5,IF($C$2=35.5,'S3'!N5))))))))))))))))</f>
        <v>6.38</v>
      </c>
      <c r="D5" s="368">
        <f>ROUND(C5*1.4,2)</f>
        <v>8.93</v>
      </c>
      <c r="E5" s="367">
        <f>IF($E$2=20.5,'S3'!U5,IF($E$2=21.5,'S3'!AE5,IF($E$2=22.5,'S3'!AF5,IF($E$2=23.5,'S3'!AG5,IF($E$2=24.5,'S3'!AH5,IF($E$2=25.5,'S3'!AI5,IF($E$2=26.5,'S3'!AC5,IF($E$2=27.5,'S3'!AK5,IF($E$2=28.5,'S3'!AL5,IF($E$2=29.5,'S3'!AM5,IF($E$2=30.5,'S3'!AN5,IF($E$2=31.5,'S3'!AO5,IF($E$2=32.5,'S3'!AP5,IF($E$2=33.5,'S3'!AQ5,IF($E$2=34.5,'S3'!AR5,IF($E$2=35.5,'S3'!AS5))))))))))))))))</f>
        <v>4.5</v>
      </c>
      <c r="F5" s="369">
        <f>ROUND(E5*1.4,2)</f>
        <v>6.3</v>
      </c>
      <c r="H5" s="364" t="s">
        <v>78</v>
      </c>
      <c r="I5" s="370" t="s">
        <v>79</v>
      </c>
      <c r="J5" s="365">
        <v>27.52</v>
      </c>
      <c r="K5" s="365">
        <v>29.15</v>
      </c>
      <c r="L5" s="365">
        <v>27.82</v>
      </c>
      <c r="M5" s="365">
        <v>29.45</v>
      </c>
      <c r="N5" s="365">
        <v>28.13</v>
      </c>
      <c r="O5" s="365">
        <v>29.76</v>
      </c>
      <c r="P5" s="365">
        <v>28.43</v>
      </c>
      <c r="Q5" s="365">
        <v>30.06</v>
      </c>
      <c r="R5" s="365">
        <v>28.73</v>
      </c>
      <c r="S5" s="365">
        <v>30.36</v>
      </c>
      <c r="T5" s="314">
        <v>29.04</v>
      </c>
      <c r="U5" s="314">
        <v>30.67</v>
      </c>
      <c r="V5" s="314">
        <v>29.34</v>
      </c>
      <c r="W5" s="314">
        <v>30.97</v>
      </c>
      <c r="X5" s="316">
        <v>29.64</v>
      </c>
      <c r="Y5" s="317">
        <v>31.27</v>
      </c>
      <c r="Z5" s="316">
        <v>29.95</v>
      </c>
      <c r="AA5" s="317">
        <v>31.58</v>
      </c>
      <c r="AB5" s="316">
        <v>30.25</v>
      </c>
      <c r="AC5" s="317">
        <v>31.88</v>
      </c>
      <c r="AD5" s="316">
        <v>30.56</v>
      </c>
      <c r="AE5" s="317">
        <v>32.19</v>
      </c>
      <c r="AF5" s="371">
        <v>30.86</v>
      </c>
      <c r="AG5" s="372">
        <v>32.49</v>
      </c>
      <c r="AH5" s="371">
        <v>31.16</v>
      </c>
      <c r="AI5" s="372">
        <v>32.79</v>
      </c>
      <c r="AJ5" s="371">
        <v>31.47</v>
      </c>
      <c r="AK5" s="372">
        <v>33.1</v>
      </c>
      <c r="AL5" s="371">
        <v>31.77</v>
      </c>
      <c r="AM5" s="372">
        <v>33.4</v>
      </c>
      <c r="AN5" s="653">
        <v>32.07</v>
      </c>
      <c r="AO5" s="653">
        <v>33.700000000000003</v>
      </c>
      <c r="AP5" s="372">
        <v>32.380000000000003</v>
      </c>
      <c r="AQ5" s="372">
        <v>34.01</v>
      </c>
      <c r="AR5" s="373">
        <v>32.68</v>
      </c>
      <c r="AS5" s="373">
        <v>34.31</v>
      </c>
      <c r="AT5" s="373">
        <v>32.99</v>
      </c>
      <c r="AU5" s="373">
        <v>34.619999999999997</v>
      </c>
      <c r="AV5" s="373">
        <v>33.29</v>
      </c>
      <c r="AW5" s="373">
        <v>34.92</v>
      </c>
      <c r="AX5" s="373">
        <v>33.590000000000003</v>
      </c>
      <c r="AY5" s="373">
        <v>35.22</v>
      </c>
      <c r="AZ5" s="53">
        <v>25.24</v>
      </c>
      <c r="BA5" s="53">
        <v>26.83</v>
      </c>
      <c r="BB5" s="53">
        <v>24.93</v>
      </c>
      <c r="BC5" s="53">
        <v>26.52</v>
      </c>
      <c r="BD5" s="374">
        <f>IF($C$2=15.5,F5,IF($C$2=16.5,L5,IF($C$2=17.5,N5,IF($C$2=18.5,P5,IF($C$2=19.5,R5,IF($C$2=20.5,T5,IF($C$2=21.5,V5,IF($C$2=22.5,X5,IF($C$2=23.5,Z5,IF($C$2=24.5,AB5,IF($C$2=25.5,AD5,IF($C$2=26.5,AF5,IF($C$2=27.5,AH5,IF($C$2=28.5,AJ5,IF($C$2=29.5,AL5,IF($C$2=30.5,AN5,IF($C$2=31.5,AP5,IF($C$2=32.5,AR5,IF($C$2=33.5,AT5,IF($C$2=34.5,AV5,IF($C$2=35.5,AX5)))))))))))))))))))))</f>
        <v>32.07</v>
      </c>
      <c r="BE5" s="374">
        <f>IF($C$2=15.5,G5,IF($C$2=16.5,M5,IF($C$2=17.5,O5,IF($C$2=18.5,Q5,IF($C$2=19.5,S5,IF($C$2=20.5,U5,IF($C$2=21.5,W5,IF($C$2=22.5,Y5,IF($C$2=23.5,AA5,IF($C$2=24.5,AC5,IF($C$2=25.5,AE5,IF($C$2=26.5,AG5,IF($C$2=27.5,AI5,IF($C$2=28.5,AK5,IF($C$2=29.5,AM5,IF($C$2=30.5,AO5,IF($C$2=31.5,AQ5,IF($C$2=32.5,AS5,IF($C$2=33.5,AU5,IF($C$2=34.5,AW5,IF($C$2=35.5,AY5)))))))))))))))))))))</f>
        <v>33.700000000000003</v>
      </c>
      <c r="BF5" s="375">
        <f>IF(ข้อมูล!$P$14=0,BD5,IF(ข้อมูล!$P$14=1,BE5,IF(ข้อมูล!$P$14=2,BE5,)))</f>
        <v>32.07</v>
      </c>
      <c r="BI5" s="355"/>
      <c r="BJ5" s="5" t="s">
        <v>66</v>
      </c>
      <c r="BK5" s="5"/>
      <c r="BL5" s="5"/>
      <c r="BM5" s="5">
        <f>ข้อมูล!P10</f>
        <v>0</v>
      </c>
      <c r="BN5" s="5" t="s">
        <v>62</v>
      </c>
      <c r="BO5" s="5"/>
      <c r="BP5" s="5"/>
      <c r="BQ5" s="5"/>
    </row>
    <row r="6" spans="2:74">
      <c r="B6" s="366">
        <v>2</v>
      </c>
      <c r="C6" s="376">
        <f>IF($C$2=20.5,'S3'!T6,IF($C$2=21.5,'S3'!V6,IF($C$2=22.5,'S3'!A6,IF($C$2=23.5,'S3'!B6,IF($C$2=24.5,'S3'!C6,IF($C$2=25.5,'S3'!C6,IF($C$2=26.5,'S3'!E6,IF($C$2=27.5,'S3'!F6,IF($C$2=28.5,'S3'!G6,IF($C$2=29.5,'S3'!H6,IF($C$2=30.5,'S3'!I6,IF($C$2=31.5,'S3'!J6,IF($C$2=32.5,'S3'!K6,IF($C$2=33.5,'S3'!L6,IF($C$2=34.5,'S3'!M6,IF($C$2=35.5,'S3'!N6))))))))))))))))</f>
        <v>8.0299999999999994</v>
      </c>
      <c r="D6" s="377">
        <f>ROUND(C6*1.4,2)</f>
        <v>11.24</v>
      </c>
      <c r="E6" s="376">
        <f>IF($E$2=20.5,'S3'!U6,IF($E$2=21.5,'S3'!AE6,IF($E$2=22.5,'S3'!AF6,IF($E$2=23.5,'S3'!AG6,IF($E$2=24.5,'S3'!AH6,IF($E$2=25.5,'S3'!AI6,IF($E$2=26.5,'S3'!AC6,IF($E$2=27.5,'S3'!AK6,IF($E$2=28.5,'S3'!AL6,IF($E$2=29.5,'S3'!AM6,IF($E$2=30.5,'S3'!AN6,IF($E$2=31.5,'S3'!AO6,IF($E$2=32.5,'S3'!AP6,IF($E$2=33.5,'S3'!AQ6,IF($E$2=34.5,'S3'!AR6,IF($E$2=35.5,'S3'!AS6))))))))))))))))</f>
        <v>5.89</v>
      </c>
      <c r="F6" s="378">
        <f t="shared" ref="F6:F69" si="0">ROUND(E6*1.4,2)</f>
        <v>8.25</v>
      </c>
      <c r="H6" s="364" t="s">
        <v>80</v>
      </c>
      <c r="I6" s="370" t="s">
        <v>81</v>
      </c>
      <c r="J6" s="365">
        <v>8.51</v>
      </c>
      <c r="K6" s="365">
        <v>8.8800000000000008</v>
      </c>
      <c r="L6" s="365">
        <v>8.3000000000000007</v>
      </c>
      <c r="M6" s="365">
        <v>8.9700000000000006</v>
      </c>
      <c r="N6" s="365">
        <v>8.68</v>
      </c>
      <c r="O6" s="365">
        <v>9.0500000000000007</v>
      </c>
      <c r="P6" s="365">
        <v>8.76</v>
      </c>
      <c r="Q6" s="365">
        <v>9.1300000000000008</v>
      </c>
      <c r="R6" s="365">
        <v>8.85</v>
      </c>
      <c r="S6" s="365">
        <v>9.2200000000000006</v>
      </c>
      <c r="T6" s="314">
        <v>8.93</v>
      </c>
      <c r="U6" s="314">
        <v>9.3000000000000007</v>
      </c>
      <c r="V6" s="314">
        <v>9.01</v>
      </c>
      <c r="W6" s="314">
        <v>9.3800000000000008</v>
      </c>
      <c r="X6" s="316">
        <v>9.09</v>
      </c>
      <c r="Y6" s="317">
        <v>9.4600000000000009</v>
      </c>
      <c r="Z6" s="316">
        <v>9.18</v>
      </c>
      <c r="AA6" s="317">
        <v>9.5500000000000007</v>
      </c>
      <c r="AB6" s="316">
        <v>9.26</v>
      </c>
      <c r="AC6" s="317">
        <v>9.6300000000000008</v>
      </c>
      <c r="AD6" s="316">
        <v>9.34</v>
      </c>
      <c r="AE6" s="317">
        <v>9.7100000000000009</v>
      </c>
      <c r="AF6" s="371">
        <v>9.42</v>
      </c>
      <c r="AG6" s="372">
        <v>9.2899999999999991</v>
      </c>
      <c r="AH6" s="371">
        <v>9.51</v>
      </c>
      <c r="AI6" s="372">
        <v>9.8800000000000008</v>
      </c>
      <c r="AJ6" s="371">
        <v>9.59</v>
      </c>
      <c r="AK6" s="372">
        <v>9.9600000000000009</v>
      </c>
      <c r="AL6" s="371">
        <v>9.67</v>
      </c>
      <c r="AM6" s="372">
        <v>10.039999999999999</v>
      </c>
      <c r="AN6" s="653">
        <v>9.76</v>
      </c>
      <c r="AO6" s="653">
        <v>10.130000000000001</v>
      </c>
      <c r="AP6" s="372">
        <v>9.84</v>
      </c>
      <c r="AQ6" s="372">
        <v>10.210000000000001</v>
      </c>
      <c r="AR6" s="373">
        <v>9.92</v>
      </c>
      <c r="AS6" s="373">
        <v>10.29</v>
      </c>
      <c r="AT6" s="373">
        <v>10</v>
      </c>
      <c r="AU6" s="373">
        <v>10.37</v>
      </c>
      <c r="AV6" s="373">
        <v>10.09</v>
      </c>
      <c r="AW6" s="373">
        <v>10.46</v>
      </c>
      <c r="AX6" s="373">
        <v>10.17</v>
      </c>
      <c r="AY6" s="373">
        <v>10.54</v>
      </c>
      <c r="AZ6" s="53">
        <v>6.66</v>
      </c>
      <c r="BA6" s="53">
        <v>6.91</v>
      </c>
      <c r="BB6" s="53">
        <v>6.57</v>
      </c>
      <c r="BC6" s="53">
        <v>6.83</v>
      </c>
      <c r="BD6" s="374">
        <f t="shared" ref="BD6:BD35" si="1">IF($C$2=15.5,F6,IF($C$2=16.5,L6,IF($C$2=17.5,N6,IF($C$2=18.5,P6,IF($C$2=19.5,R6,IF($C$2=20.5,T6,IF($C$2=21.5,V6,IF($C$2=22.5,X6,IF($C$2=23.5,Z6,IF($C$2=24.5,AB6,IF($C$2=25.5,AD6,IF($C$2=26.5,AF6,IF($C$2=27.5,AH6,IF($C$2=28.5,AJ6,IF($C$2=29.5,AL6,IF($C$2=30.5,AN6,IF($C$2=31.5,AP6,IF($C$2=32.5,AR6,IF($C$2=33.5,AT6,IF($C$2=34.5,AV6,IF($C$2=35.5,AX6)))))))))))))))))))))</f>
        <v>9.76</v>
      </c>
      <c r="BE6" s="374">
        <f t="shared" ref="BE6:BE35" si="2">IF($C$2=15.5,G6,IF($C$2=16.5,M6,IF($C$2=17.5,O6,IF($C$2=18.5,Q6,IF($C$2=19.5,S6,IF($C$2=20.5,U6,IF($C$2=21.5,W6,IF($C$2=22.5,Y6,IF($C$2=23.5,AA6,IF($C$2=24.5,AC6,IF($C$2=25.5,AE6,IF($C$2=26.5,AG6,IF($C$2=27.5,AI6,IF($C$2=28.5,AK6,IF($C$2=29.5,AM6,IF($C$2=30.5,AO6,IF($C$2=31.5,AQ6,IF($C$2=32.5,AS6,IF($C$2=33.5,AU6,IF($C$2=34.5,AW6,IF($C$2=35.5,AY6)))))))))))))))))))))</f>
        <v>10.130000000000001</v>
      </c>
      <c r="BF6" s="375">
        <f>IF(ข้อมูล!$P$14=0,BD6,IF(ข้อมูล!$P$14=1,BE6,IF(ข้อมูล!$P$14=2,BE6,)))</f>
        <v>9.76</v>
      </c>
      <c r="BI6" s="355"/>
      <c r="BJ6" s="5" t="s">
        <v>68</v>
      </c>
      <c r="BK6" s="5"/>
      <c r="BL6" s="5"/>
      <c r="BM6" s="5">
        <f>ข้อมูล!P11</f>
        <v>0</v>
      </c>
      <c r="BN6" s="5" t="s">
        <v>62</v>
      </c>
      <c r="BO6" s="5"/>
      <c r="BP6" s="5"/>
      <c r="BQ6" s="5"/>
    </row>
    <row r="7" spans="2:74" ht="22.5" thickBot="1">
      <c r="B7" s="366">
        <v>3</v>
      </c>
      <c r="C7" s="376">
        <f>IF($C$2=20.5,'S3'!T7,IF($C$2=21.5,'S3'!V7,IF($C$2=22.5,'S3'!A7,IF($C$2=23.5,'S3'!B7,IF($C$2=24.5,'S3'!C7,IF($C$2=25.5,'S3'!C7,IF($C$2=26.5,'S3'!E7,IF($C$2=27.5,'S3'!F7,IF($C$2=28.5,'S3'!G7,IF($C$2=29.5,'S3'!H7,IF($C$2=30.5,'S3'!I7,IF($C$2=31.5,'S3'!J7,IF($C$2=32.5,'S3'!K7,IF($C$2=33.5,'S3'!L7,IF($C$2=34.5,'S3'!M7,IF($C$2=35.5,'S3'!N7))))))))))))))))</f>
        <v>9.67</v>
      </c>
      <c r="D7" s="377">
        <f t="shared" ref="D7:D70" si="3">ROUND(C7*1.4,2)</f>
        <v>13.54</v>
      </c>
      <c r="E7" s="376">
        <f>IF($E$2=20.5,'S3'!U7,IF($E$2=21.5,'S3'!AE7,IF($E$2=22.5,'S3'!AF7,IF($E$2=23.5,'S3'!AG7,IF($E$2=24.5,'S3'!AH7,IF($E$2=25.5,'S3'!AI7,IF($E$2=26.5,'S3'!AC7,IF($E$2=27.5,'S3'!AK7,IF($E$2=28.5,'S3'!AL7,IF($E$2=29.5,'S3'!AM7,IF($E$2=30.5,'S3'!AN7,IF($E$2=31.5,'S3'!AO7,IF($E$2=32.5,'S3'!AP7,IF($E$2=33.5,'S3'!AQ7,IF($E$2=34.5,'S3'!AR7,IF($E$2=35.5,'S3'!AS7))))))))))))))))</f>
        <v>7.27</v>
      </c>
      <c r="F7" s="378">
        <f t="shared" si="0"/>
        <v>10.18</v>
      </c>
      <c r="H7" s="379" t="s">
        <v>82</v>
      </c>
      <c r="I7" s="370" t="s">
        <v>81</v>
      </c>
      <c r="J7" s="365">
        <v>47.01</v>
      </c>
      <c r="K7" s="365">
        <v>50.25</v>
      </c>
      <c r="L7" s="365">
        <v>47.55</v>
      </c>
      <c r="M7" s="365">
        <v>50.79</v>
      </c>
      <c r="N7" s="365">
        <v>48.09</v>
      </c>
      <c r="O7" s="365">
        <v>51.33</v>
      </c>
      <c r="P7" s="365">
        <v>48.63</v>
      </c>
      <c r="Q7" s="365">
        <v>51.87</v>
      </c>
      <c r="R7" s="365">
        <v>49.17</v>
      </c>
      <c r="S7" s="365">
        <v>52.41</v>
      </c>
      <c r="T7" s="314">
        <v>49.71</v>
      </c>
      <c r="U7" s="314">
        <v>52.95</v>
      </c>
      <c r="V7" s="314">
        <v>50.25</v>
      </c>
      <c r="W7" s="314">
        <v>53.49</v>
      </c>
      <c r="X7" s="316">
        <v>50.8</v>
      </c>
      <c r="Y7" s="317">
        <v>54.04</v>
      </c>
      <c r="Z7" s="316">
        <v>51.34</v>
      </c>
      <c r="AA7" s="317">
        <v>54.58</v>
      </c>
      <c r="AB7" s="316">
        <v>51.88</v>
      </c>
      <c r="AC7" s="317">
        <v>55.12</v>
      </c>
      <c r="AD7" s="316">
        <v>52.42</v>
      </c>
      <c r="AE7" s="317">
        <v>55.66</v>
      </c>
      <c r="AF7" s="371">
        <v>52.96</v>
      </c>
      <c r="AG7" s="372">
        <v>56.2</v>
      </c>
      <c r="AH7" s="371">
        <v>53.5</v>
      </c>
      <c r="AI7" s="372">
        <v>56.74</v>
      </c>
      <c r="AJ7" s="371">
        <v>54.04</v>
      </c>
      <c r="AK7" s="372">
        <v>57.28</v>
      </c>
      <c r="AL7" s="371">
        <v>54.58</v>
      </c>
      <c r="AM7" s="372">
        <v>57.82</v>
      </c>
      <c r="AN7" s="653">
        <v>55.12</v>
      </c>
      <c r="AO7" s="653">
        <v>58.36</v>
      </c>
      <c r="AP7" s="372">
        <v>55.66</v>
      </c>
      <c r="AQ7" s="372">
        <v>58.9</v>
      </c>
      <c r="AR7" s="373">
        <v>56.21</v>
      </c>
      <c r="AS7" s="373">
        <v>59.45</v>
      </c>
      <c r="AT7" s="373">
        <v>56.75</v>
      </c>
      <c r="AU7" s="373">
        <v>59.99</v>
      </c>
      <c r="AV7" s="373">
        <v>57.29</v>
      </c>
      <c r="AW7" s="373">
        <v>60.53</v>
      </c>
      <c r="AX7" s="373">
        <v>57.83</v>
      </c>
      <c r="AY7" s="373">
        <v>61.07</v>
      </c>
      <c r="AZ7" s="53">
        <v>37.24</v>
      </c>
      <c r="BA7" s="53">
        <v>39.61</v>
      </c>
      <c r="BB7" s="53">
        <v>36.700000000000003</v>
      </c>
      <c r="BC7" s="53">
        <v>39.07</v>
      </c>
      <c r="BD7" s="374">
        <f t="shared" si="1"/>
        <v>55.12</v>
      </c>
      <c r="BE7" s="374">
        <f t="shared" si="2"/>
        <v>58.36</v>
      </c>
      <c r="BF7" s="375">
        <f>IF(ข้อมูล!$P$14=0,BD7,IF(ข้อมูล!$P$14=1,BE7,IF(ข้อมูล!$P$14=2,BE7,)))</f>
        <v>55.12</v>
      </c>
      <c r="BI7" s="355"/>
      <c r="BJ7" s="380" t="s">
        <v>102</v>
      </c>
      <c r="BK7" s="381"/>
      <c r="BL7" s="380"/>
      <c r="BM7" s="336">
        <v>3</v>
      </c>
      <c r="BN7" s="380" t="s">
        <v>103</v>
      </c>
      <c r="BO7" s="5"/>
      <c r="BP7" s="5"/>
      <c r="BQ7" s="5"/>
    </row>
    <row r="8" spans="2:74">
      <c r="B8" s="366">
        <v>4</v>
      </c>
      <c r="C8" s="376">
        <f>IF($C$2=20.5,'S3'!T8,IF($C$2=21.5,'S3'!V8,IF($C$2=22.5,'S3'!A8,IF($C$2=23.5,'S3'!B8,IF($C$2=24.5,'S3'!C8,IF($C$2=25.5,'S3'!C8,IF($C$2=26.5,'S3'!E8,IF($C$2=27.5,'S3'!F8,IF($C$2=28.5,'S3'!G8,IF($C$2=29.5,'S3'!H8,IF($C$2=30.5,'S3'!I8,IF($C$2=31.5,'S3'!J8,IF($C$2=32.5,'S3'!K8,IF($C$2=33.5,'S3'!L8,IF($C$2=34.5,'S3'!M8,IF($C$2=35.5,'S3'!N8))))))))))))))))</f>
        <v>11.32</v>
      </c>
      <c r="D8" s="377">
        <f t="shared" si="3"/>
        <v>15.85</v>
      </c>
      <c r="E8" s="376">
        <f>IF($E$2=20.5,'S3'!U8,IF($E$2=21.5,'S3'!AE8,IF($E$2=22.5,'S3'!AF8,IF($E$2=23.5,'S3'!AG8,IF($E$2=24.5,'S3'!AH8,IF($E$2=25.5,'S3'!AI8,IF($E$2=26.5,'S3'!AC8,IF($E$2=27.5,'S3'!AK8,IF($E$2=28.5,'S3'!AL8,IF($E$2=29.5,'S3'!AM8,IF($E$2=30.5,'S3'!AN8,IF($E$2=31.5,'S3'!AO8,IF($E$2=32.5,'S3'!AP8,IF($E$2=33.5,'S3'!AQ8,IF($E$2=34.5,'S3'!AR8,IF($E$2=35.5,'S3'!AS8))))))))))))))))</f>
        <v>8.66</v>
      </c>
      <c r="F8" s="378">
        <f t="shared" si="0"/>
        <v>12.12</v>
      </c>
      <c r="H8" s="382" t="s">
        <v>83</v>
      </c>
      <c r="I8" s="383"/>
      <c r="J8" s="384"/>
      <c r="K8" s="384"/>
      <c r="L8" s="384"/>
      <c r="M8" s="384"/>
      <c r="N8" s="384"/>
      <c r="O8" s="384"/>
      <c r="P8" s="384"/>
      <c r="Q8" s="384"/>
      <c r="R8" s="384"/>
      <c r="S8" s="384"/>
      <c r="T8" s="318"/>
      <c r="U8" s="318"/>
      <c r="V8" s="318"/>
      <c r="W8" s="318"/>
      <c r="X8" s="319"/>
      <c r="Y8" s="319"/>
      <c r="Z8" s="319"/>
      <c r="AA8" s="319"/>
      <c r="AB8" s="319"/>
      <c r="AC8" s="319"/>
      <c r="AD8" s="319"/>
      <c r="AE8" s="319"/>
      <c r="AF8" s="385"/>
      <c r="AG8" s="385"/>
      <c r="AH8" s="385"/>
      <c r="AI8" s="385"/>
      <c r="AJ8" s="385"/>
      <c r="AK8" s="385"/>
      <c r="AL8" s="385"/>
      <c r="AM8" s="385"/>
      <c r="AN8" s="654"/>
      <c r="AO8" s="654"/>
      <c r="AP8" s="385"/>
      <c r="AQ8" s="385"/>
      <c r="AR8" s="386"/>
      <c r="AS8" s="386"/>
      <c r="AT8" s="386"/>
      <c r="AU8" s="386"/>
      <c r="AV8" s="386"/>
      <c r="AW8" s="386"/>
      <c r="AX8" s="386"/>
      <c r="AY8" s="386"/>
      <c r="AZ8" s="54"/>
      <c r="BA8" s="54"/>
      <c r="BB8" s="54"/>
      <c r="BC8" s="54"/>
      <c r="BD8" s="374"/>
      <c r="BE8" s="374"/>
      <c r="BF8" s="387"/>
      <c r="BI8" s="388" t="s">
        <v>104</v>
      </c>
      <c r="BJ8" s="389" t="s">
        <v>104</v>
      </c>
      <c r="BK8" s="357" t="s">
        <v>104</v>
      </c>
      <c r="BL8" s="388" t="s">
        <v>105</v>
      </c>
      <c r="BM8" s="390" t="s">
        <v>106</v>
      </c>
      <c r="BN8" s="390" t="s">
        <v>107</v>
      </c>
      <c r="BO8" s="390" t="s">
        <v>108</v>
      </c>
      <c r="BP8" s="390" t="s">
        <v>109</v>
      </c>
      <c r="BQ8" s="390" t="s">
        <v>110</v>
      </c>
      <c r="BR8" s="390" t="s">
        <v>111</v>
      </c>
      <c r="BS8" s="389" t="s">
        <v>2</v>
      </c>
      <c r="BT8" s="389" t="s">
        <v>153</v>
      </c>
      <c r="BU8" s="391" t="s">
        <v>154</v>
      </c>
    </row>
    <row r="9" spans="2:74" ht="21" thickBot="1">
      <c r="B9" s="366">
        <v>5</v>
      </c>
      <c r="C9" s="376">
        <f>IF($C$2=20.5,'S3'!T9,IF($C$2=21.5,'S3'!V9,IF($C$2=22.5,'S3'!A9,IF($C$2=23.5,'S3'!B9,IF($C$2=24.5,'S3'!C9,IF($C$2=25.5,'S3'!C9,IF($C$2=26.5,'S3'!E9,IF($C$2=27.5,'S3'!F9,IF($C$2=28.5,'S3'!G9,IF($C$2=29.5,'S3'!H9,IF($C$2=30.5,'S3'!I9,IF($C$2=31.5,'S3'!J9,IF($C$2=32.5,'S3'!K9,IF($C$2=33.5,'S3'!L9,IF($C$2=34.5,'S3'!M9,IF($C$2=35.5,'S3'!N9))))))))))))))))</f>
        <v>12.97</v>
      </c>
      <c r="D9" s="377">
        <f t="shared" si="3"/>
        <v>18.16</v>
      </c>
      <c r="E9" s="376">
        <f>IF($E$2=20.5,'S3'!U9,IF($E$2=21.5,'S3'!AE9,IF($E$2=22.5,'S3'!AF9,IF($E$2=23.5,'S3'!AG9,IF($E$2=24.5,'S3'!AH9,IF($E$2=25.5,'S3'!AI9,IF($E$2=26.5,'S3'!AC9,IF($E$2=27.5,'S3'!AK9,IF($E$2=28.5,'S3'!AL9,IF($E$2=29.5,'S3'!AM9,IF($E$2=30.5,'S3'!AN9,IF($E$2=31.5,'S3'!AO9,IF($E$2=32.5,'S3'!AP9,IF($E$2=33.5,'S3'!AQ9,IF($E$2=34.5,'S3'!AR9,IF($E$2=35.5,'S3'!AS9))))))))))))))))</f>
        <v>10.039999999999999</v>
      </c>
      <c r="F9" s="378">
        <f t="shared" si="0"/>
        <v>14.06</v>
      </c>
      <c r="H9" s="379" t="s">
        <v>84</v>
      </c>
      <c r="I9" s="370" t="s">
        <v>81</v>
      </c>
      <c r="J9" s="365">
        <v>22.57</v>
      </c>
      <c r="K9" s="365">
        <v>23.62</v>
      </c>
      <c r="L9" s="365">
        <v>22.71</v>
      </c>
      <c r="M9" s="365">
        <v>23.76</v>
      </c>
      <c r="N9" s="365">
        <v>22.85</v>
      </c>
      <c r="O9" s="365">
        <v>23.9</v>
      </c>
      <c r="P9" s="365">
        <v>23</v>
      </c>
      <c r="Q9" s="365">
        <v>24.05</v>
      </c>
      <c r="R9" s="365">
        <v>23.14</v>
      </c>
      <c r="S9" s="365">
        <v>24.19</v>
      </c>
      <c r="T9" s="314">
        <v>23.28</v>
      </c>
      <c r="U9" s="314">
        <v>24.33</v>
      </c>
      <c r="V9" s="314">
        <v>23.43</v>
      </c>
      <c r="W9" s="314">
        <v>24.48</v>
      </c>
      <c r="X9" s="316">
        <v>23.57</v>
      </c>
      <c r="Y9" s="317">
        <v>24.62</v>
      </c>
      <c r="Z9" s="316">
        <v>23.71</v>
      </c>
      <c r="AA9" s="317">
        <v>24.76</v>
      </c>
      <c r="AB9" s="316">
        <v>23.85</v>
      </c>
      <c r="AC9" s="317">
        <v>24.9</v>
      </c>
      <c r="AD9" s="316">
        <v>24</v>
      </c>
      <c r="AE9" s="317">
        <v>25.05</v>
      </c>
      <c r="AF9" s="371">
        <v>24.14</v>
      </c>
      <c r="AG9" s="372">
        <v>25.19</v>
      </c>
      <c r="AH9" s="371">
        <v>24.28</v>
      </c>
      <c r="AI9" s="372">
        <v>25.33</v>
      </c>
      <c r="AJ9" s="371">
        <v>24.42</v>
      </c>
      <c r="AK9" s="372">
        <v>25.47</v>
      </c>
      <c r="AL9" s="371">
        <v>24.57</v>
      </c>
      <c r="AM9" s="372">
        <v>25.62</v>
      </c>
      <c r="AN9" s="653">
        <v>24.71</v>
      </c>
      <c r="AO9" s="653">
        <v>25.76</v>
      </c>
      <c r="AP9" s="372">
        <v>24.85</v>
      </c>
      <c r="AQ9" s="372">
        <v>25.9</v>
      </c>
      <c r="AR9" s="373">
        <v>25</v>
      </c>
      <c r="AS9" s="373">
        <v>26.05</v>
      </c>
      <c r="AT9" s="373">
        <v>25.14</v>
      </c>
      <c r="AU9" s="373">
        <v>26.19</v>
      </c>
      <c r="AV9" s="373">
        <v>25.28</v>
      </c>
      <c r="AW9" s="373">
        <v>26.33</v>
      </c>
      <c r="AX9" s="373">
        <v>25.42</v>
      </c>
      <c r="AY9" s="373">
        <v>26.47</v>
      </c>
      <c r="AZ9" s="53">
        <v>15.73</v>
      </c>
      <c r="BA9" s="53">
        <v>16.46</v>
      </c>
      <c r="BB9" s="53">
        <v>15.59</v>
      </c>
      <c r="BC9" s="53">
        <v>16.32</v>
      </c>
      <c r="BD9" s="374">
        <f t="shared" si="1"/>
        <v>24.71</v>
      </c>
      <c r="BE9" s="374">
        <f t="shared" si="2"/>
        <v>25.76</v>
      </c>
      <c r="BF9" s="375">
        <f>IF(ข้อมูล!$P$14=0,BD9,IF(ข้อมูล!$P$14=1,BE9,IF(ข้อมูล!$P$14=2,BE9,)))</f>
        <v>24.71</v>
      </c>
      <c r="BI9" s="392" t="s">
        <v>76</v>
      </c>
      <c r="BJ9" s="393" t="s">
        <v>141</v>
      </c>
      <c r="BK9" s="394" t="s">
        <v>142</v>
      </c>
      <c r="BL9" s="392" t="s">
        <v>112</v>
      </c>
      <c r="BM9" s="6" t="s">
        <v>113</v>
      </c>
      <c r="BN9" s="6" t="s">
        <v>114</v>
      </c>
      <c r="BO9" s="6" t="s">
        <v>115</v>
      </c>
      <c r="BP9" s="6"/>
      <c r="BQ9" s="6" t="s">
        <v>116</v>
      </c>
      <c r="BR9" s="6">
        <v>7</v>
      </c>
      <c r="BS9" s="395" t="s">
        <v>117</v>
      </c>
      <c r="BT9" s="396" t="s">
        <v>141</v>
      </c>
      <c r="BU9" s="397" t="s">
        <v>143</v>
      </c>
    </row>
    <row r="10" spans="2:74">
      <c r="B10" s="366">
        <v>6</v>
      </c>
      <c r="C10" s="376">
        <f>IF($C$2=20.5,'S3'!T10,IF($C$2=21.5,'S3'!V10,IF($C$2=22.5,'S3'!A10,IF($C$2=23.5,'S3'!B10,IF($C$2=24.5,'S3'!C10,IF($C$2=25.5,'S3'!C10,IF($C$2=26.5,'S3'!E10,IF($C$2=27.5,'S3'!F10,IF($C$2=28.5,'S3'!G10,IF($C$2=29.5,'S3'!H10,IF($C$2=30.5,'S3'!I10,IF($C$2=31.5,'S3'!J10,IF($C$2=32.5,'S3'!K10,IF($C$2=33.5,'S3'!L10,IF($C$2=34.5,'S3'!M10,IF($C$2=35.5,'S3'!N10))))))))))))))))</f>
        <v>14.61</v>
      </c>
      <c r="D10" s="378">
        <f t="shared" si="3"/>
        <v>20.45</v>
      </c>
      <c r="E10" s="376">
        <f>IF($E$2=20.5,'S3'!U10,IF($E$2=21.5,'S3'!AE10,IF($E$2=22.5,'S3'!AF10,IF($E$2=23.5,'S3'!AG10,IF($E$2=24.5,'S3'!AH10,IF($E$2=25.5,'S3'!AI10,IF($E$2=26.5,'S3'!AC10,IF($E$2=27.5,'S3'!AK10,IF($E$2=28.5,'S3'!AL10,IF($E$2=29.5,'S3'!AM10,IF($E$2=30.5,'S3'!AN10,IF($E$2=31.5,'S3'!AO10,IF($E$2=32.5,'S3'!AP10,IF($E$2=33.5,'S3'!AQ10,IF($E$2=34.5,'S3'!AR10,IF($E$2=35.5,'S3'!AS10))))))))))))))))</f>
        <v>11.43</v>
      </c>
      <c r="F10" s="398">
        <f t="shared" si="0"/>
        <v>16</v>
      </c>
      <c r="H10" s="379" t="s">
        <v>82</v>
      </c>
      <c r="I10" s="370" t="s">
        <v>81</v>
      </c>
      <c r="J10" s="365">
        <v>75.67</v>
      </c>
      <c r="K10" s="365">
        <v>82.1</v>
      </c>
      <c r="L10" s="365">
        <v>76.44</v>
      </c>
      <c r="M10" s="365">
        <v>82.87</v>
      </c>
      <c r="N10" s="365">
        <v>77.22</v>
      </c>
      <c r="O10" s="365">
        <v>83.65</v>
      </c>
      <c r="P10" s="365">
        <v>78</v>
      </c>
      <c r="Q10" s="365">
        <v>84.43</v>
      </c>
      <c r="R10" s="365">
        <v>78.78</v>
      </c>
      <c r="S10" s="365">
        <v>85.21</v>
      </c>
      <c r="T10" s="314">
        <v>79.55</v>
      </c>
      <c r="U10" s="314">
        <v>85.98</v>
      </c>
      <c r="V10" s="314">
        <v>80.33</v>
      </c>
      <c r="W10" s="314">
        <v>86.76</v>
      </c>
      <c r="X10" s="316">
        <v>81.11</v>
      </c>
      <c r="Y10" s="317">
        <v>87.54</v>
      </c>
      <c r="Z10" s="316">
        <v>81.88</v>
      </c>
      <c r="AA10" s="317">
        <v>88.31</v>
      </c>
      <c r="AB10" s="316">
        <v>82.66</v>
      </c>
      <c r="AC10" s="317">
        <v>89.09</v>
      </c>
      <c r="AD10" s="316">
        <v>83.44</v>
      </c>
      <c r="AE10" s="317">
        <v>89.87</v>
      </c>
      <c r="AF10" s="371">
        <v>84.22</v>
      </c>
      <c r="AG10" s="372">
        <v>90.65</v>
      </c>
      <c r="AH10" s="371">
        <v>84.99</v>
      </c>
      <c r="AI10" s="372">
        <v>91.42</v>
      </c>
      <c r="AJ10" s="371">
        <v>85.77</v>
      </c>
      <c r="AK10" s="372">
        <v>92.2</v>
      </c>
      <c r="AL10" s="371">
        <v>86.55</v>
      </c>
      <c r="AM10" s="372">
        <v>92.98</v>
      </c>
      <c r="AN10" s="653">
        <v>87.32</v>
      </c>
      <c r="AO10" s="653">
        <v>93.75</v>
      </c>
      <c r="AP10" s="372">
        <v>88.1</v>
      </c>
      <c r="AQ10" s="372">
        <v>94.53</v>
      </c>
      <c r="AR10" s="373">
        <v>88.88</v>
      </c>
      <c r="AS10" s="373">
        <v>95.31</v>
      </c>
      <c r="AT10" s="373">
        <v>89.66</v>
      </c>
      <c r="AU10" s="373">
        <v>96.09</v>
      </c>
      <c r="AV10" s="373">
        <v>90.43</v>
      </c>
      <c r="AW10" s="373">
        <v>96.86</v>
      </c>
      <c r="AX10" s="373">
        <v>91.21</v>
      </c>
      <c r="AY10" s="373">
        <v>97.64</v>
      </c>
      <c r="AZ10" s="53">
        <v>64.349999999999994</v>
      </c>
      <c r="BA10" s="53">
        <v>64.349999999999994</v>
      </c>
      <c r="BB10" s="53">
        <v>58.8</v>
      </c>
      <c r="BC10" s="53">
        <v>63.57</v>
      </c>
      <c r="BD10" s="374">
        <f t="shared" si="1"/>
        <v>87.32</v>
      </c>
      <c r="BE10" s="374">
        <f t="shared" si="2"/>
        <v>93.75</v>
      </c>
      <c r="BF10" s="375">
        <f>IF(ข้อมูล!$P$14=0,BD10,IF(ข้อมูล!$P$14=1,BE10,IF(ข้อมูล!$P$14=2,BE10,)))</f>
        <v>87.32</v>
      </c>
      <c r="BI10" s="399">
        <f>ปร.4!$I$137</f>
        <v>1263697.83</v>
      </c>
      <c r="BJ10" s="400"/>
      <c r="BK10" s="401"/>
      <c r="BL10" s="399">
        <v>5</v>
      </c>
      <c r="BM10" s="402">
        <v>6</v>
      </c>
      <c r="BN10" s="32">
        <v>18.2361</v>
      </c>
      <c r="BO10" s="7">
        <f>-BM3/12*(BM6/100+(BM10+BM7-1)*BM4/100-(BM4+BM6)/100*(BM10+1)/2-(BM7-1))</f>
        <v>1.1666666666666667</v>
      </c>
      <c r="BP10" s="7">
        <v>5.5</v>
      </c>
      <c r="BQ10" s="32">
        <f>1+( BN10+BO10+BP10)/100</f>
        <v>1.2490276666666666</v>
      </c>
      <c r="BR10" s="403">
        <f>BR9/100+1</f>
        <v>1.07</v>
      </c>
      <c r="BS10" s="404">
        <f>BQ10*BR10</f>
        <v>1.3364596033333334</v>
      </c>
      <c r="BT10" s="43">
        <v>1.3532</v>
      </c>
      <c r="BU10" s="44">
        <v>1.3956999999999999</v>
      </c>
      <c r="BV10" s="405"/>
    </row>
    <row r="11" spans="2:74">
      <c r="B11" s="366">
        <v>7</v>
      </c>
      <c r="C11" s="376">
        <f>IF($C$2=20.5,'S3'!T11,IF($C$2=21.5,'S3'!V11,IF($C$2=22.5,'S3'!A11,IF($C$2=23.5,'S3'!B11,IF($C$2=24.5,'S3'!C11,IF($C$2=25.5,'S3'!C11,IF($C$2=26.5,'S3'!E11,IF($C$2=27.5,'S3'!F11,IF($C$2=28.5,'S3'!G11,IF($C$2=29.5,'S3'!H11,IF($C$2=30.5,'S3'!I11,IF($C$2=31.5,'S3'!J11,IF($C$2=32.5,'S3'!K11,IF($C$2=33.5,'S3'!L11,IF($C$2=34.5,'S3'!M11,IF($C$2=35.5,'S3'!N11))))))))))))))))</f>
        <v>16.260000000000002</v>
      </c>
      <c r="D11" s="378">
        <f t="shared" si="3"/>
        <v>22.76</v>
      </c>
      <c r="E11" s="376">
        <f>IF($E$2=20.5,'S3'!U11,IF($E$2=21.5,'S3'!AE11,IF($E$2=22.5,'S3'!AF11,IF($E$2=23.5,'S3'!AG11,IF($E$2=24.5,'S3'!AH11,IF($E$2=25.5,'S3'!AI11,IF($E$2=26.5,'S3'!AC11,IF($E$2=27.5,'S3'!AK11,IF($E$2=28.5,'S3'!AL11,IF($E$2=29.5,'S3'!AM11,IF($E$2=30.5,'S3'!AN11,IF($E$2=31.5,'S3'!AO11,IF($E$2=32.5,'S3'!AP11,IF($E$2=33.5,'S3'!AQ11,IF($E$2=34.5,'S3'!AR11,IF($E$2=35.5,'S3'!AS11))))))))))))))))</f>
        <v>12.81</v>
      </c>
      <c r="F11" s="398">
        <f t="shared" si="0"/>
        <v>17.93</v>
      </c>
      <c r="H11" s="382" t="s">
        <v>85</v>
      </c>
      <c r="I11" s="383"/>
      <c r="J11" s="384"/>
      <c r="K11" s="384"/>
      <c r="L11" s="384"/>
      <c r="M11" s="384"/>
      <c r="N11" s="384"/>
      <c r="O11" s="384"/>
      <c r="P11" s="384"/>
      <c r="Q11" s="384"/>
      <c r="R11" s="384"/>
      <c r="S11" s="384"/>
      <c r="T11" s="318"/>
      <c r="U11" s="318"/>
      <c r="V11" s="318"/>
      <c r="W11" s="318"/>
      <c r="X11" s="316"/>
      <c r="Y11" s="317"/>
      <c r="Z11" s="316"/>
      <c r="AA11" s="317"/>
      <c r="AB11" s="316"/>
      <c r="AC11" s="317"/>
      <c r="AD11" s="316"/>
      <c r="AE11" s="317"/>
      <c r="AF11" s="371"/>
      <c r="AG11" s="372"/>
      <c r="AH11" s="371"/>
      <c r="AI11" s="372"/>
      <c r="AJ11" s="371"/>
      <c r="AK11" s="372"/>
      <c r="AL11" s="371"/>
      <c r="AM11" s="372"/>
      <c r="AN11" s="653"/>
      <c r="AO11" s="653"/>
      <c r="AP11" s="372"/>
      <c r="AQ11" s="372"/>
      <c r="AR11" s="373"/>
      <c r="AS11" s="373"/>
      <c r="AT11" s="373"/>
      <c r="AU11" s="373"/>
      <c r="AV11" s="373"/>
      <c r="AW11" s="373"/>
      <c r="AX11" s="373"/>
      <c r="AY11" s="373"/>
      <c r="AZ11" s="53"/>
      <c r="BA11" s="53"/>
      <c r="BB11" s="53"/>
      <c r="BC11" s="53"/>
      <c r="BD11" s="374"/>
      <c r="BE11" s="374"/>
      <c r="BF11" s="406"/>
      <c r="BI11" s="407">
        <f>BI10/1000000</f>
        <v>1.2636978300000001</v>
      </c>
      <c r="BJ11" s="400"/>
      <c r="BK11" s="401"/>
      <c r="BL11" s="399">
        <v>10</v>
      </c>
      <c r="BM11" s="402">
        <v>9</v>
      </c>
      <c r="BN11" s="32">
        <v>14.041</v>
      </c>
      <c r="BO11" s="8">
        <f>-BM3/12*(BM6/100+(BM11+BM7-1)*BM4/100-(BM4+BM6)/100*(BM11+1)/2-(BM7-1))</f>
        <v>1.1666666666666667</v>
      </c>
      <c r="BP11" s="408">
        <v>5.5</v>
      </c>
      <c r="BQ11" s="32">
        <f>1+( BN11+BO11+BP11)/100</f>
        <v>1.2070766666666666</v>
      </c>
      <c r="BR11" s="403">
        <f>BR9/100+1</f>
        <v>1.07</v>
      </c>
      <c r="BS11" s="404">
        <f t="shared" ref="BS11:BS20" si="4">BQ11*BR11</f>
        <v>1.2915720333333334</v>
      </c>
      <c r="BT11" s="46">
        <v>1.3081</v>
      </c>
      <c r="BU11" s="45">
        <v>1.3452999999999999</v>
      </c>
      <c r="BV11" s="405"/>
    </row>
    <row r="12" spans="2:74">
      <c r="B12" s="366">
        <v>8</v>
      </c>
      <c r="C12" s="376">
        <f>IF($C$2=20.5,'S3'!T12,IF($C$2=21.5,'S3'!V12,IF($C$2=22.5,'S3'!A12,IF($C$2=23.5,'S3'!B12,IF($C$2=24.5,'S3'!C12,IF($C$2=25.5,'S3'!C12,IF($C$2=26.5,'S3'!E12,IF($C$2=27.5,'S3'!F12,IF($C$2=28.5,'S3'!G12,IF($C$2=29.5,'S3'!H12,IF($C$2=30.5,'S3'!I12,IF($C$2=31.5,'S3'!J12,IF($C$2=32.5,'S3'!K12,IF($C$2=33.5,'S3'!L12,IF($C$2=34.5,'S3'!M12,IF($C$2=35.5,'S3'!N12))))))))))))))))</f>
        <v>18.09</v>
      </c>
      <c r="D12" s="378">
        <f t="shared" si="3"/>
        <v>25.33</v>
      </c>
      <c r="E12" s="376">
        <f>IF($E$2=20.5,'S3'!U12,IF($E$2=21.5,'S3'!AE12,IF($E$2=22.5,'S3'!AF12,IF($E$2=23.5,'S3'!AG12,IF($E$2=24.5,'S3'!AH12,IF($E$2=25.5,'S3'!AI12,IF($E$2=26.5,'S3'!AC12,IF($E$2=27.5,'S3'!AK12,IF($E$2=28.5,'S3'!AL12,IF($E$2=29.5,'S3'!AM12,IF($E$2=30.5,'S3'!AN12,IF($E$2=31.5,'S3'!AO12,IF($E$2=32.5,'S3'!AP12,IF($E$2=33.5,'S3'!AQ12,IF($E$2=34.5,'S3'!AR12,IF($E$2=35.5,'S3'!AS12))))))))))))))))</f>
        <v>14.2</v>
      </c>
      <c r="F12" s="398">
        <f t="shared" si="0"/>
        <v>19.88</v>
      </c>
      <c r="H12" s="379" t="s">
        <v>86</v>
      </c>
      <c r="I12" s="409" t="s">
        <v>33</v>
      </c>
      <c r="J12" s="384">
        <v>9.43</v>
      </c>
      <c r="K12" s="384">
        <v>9.9600000000000009</v>
      </c>
      <c r="L12" s="384">
        <v>9.5299999999999994</v>
      </c>
      <c r="M12" s="384">
        <v>10.06</v>
      </c>
      <c r="N12" s="384">
        <v>9.6300000000000008</v>
      </c>
      <c r="O12" s="384">
        <v>10.16</v>
      </c>
      <c r="P12" s="384">
        <v>9.73</v>
      </c>
      <c r="Q12" s="384">
        <v>10.26</v>
      </c>
      <c r="R12" s="384">
        <v>9.83</v>
      </c>
      <c r="S12" s="384">
        <v>10.36</v>
      </c>
      <c r="T12" s="318">
        <v>9.93</v>
      </c>
      <c r="U12" s="318">
        <v>10.46</v>
      </c>
      <c r="V12" s="318">
        <v>10.029999999999999</v>
      </c>
      <c r="W12" s="318">
        <v>10.56</v>
      </c>
      <c r="X12" s="316">
        <v>10.130000000000001</v>
      </c>
      <c r="Y12" s="317">
        <v>10.66</v>
      </c>
      <c r="Z12" s="316">
        <v>10.23</v>
      </c>
      <c r="AA12" s="317">
        <v>10.76</v>
      </c>
      <c r="AB12" s="316">
        <v>10.33</v>
      </c>
      <c r="AC12" s="317">
        <v>10.86</v>
      </c>
      <c r="AD12" s="316">
        <v>10.43</v>
      </c>
      <c r="AE12" s="317">
        <v>10.96</v>
      </c>
      <c r="AF12" s="371">
        <v>10.53</v>
      </c>
      <c r="AG12" s="372">
        <v>11.06</v>
      </c>
      <c r="AH12" s="371">
        <v>10.63</v>
      </c>
      <c r="AI12" s="372">
        <v>11.16</v>
      </c>
      <c r="AJ12" s="371">
        <v>10.74</v>
      </c>
      <c r="AK12" s="372">
        <v>11.27</v>
      </c>
      <c r="AL12" s="371">
        <v>10.84</v>
      </c>
      <c r="AM12" s="372">
        <v>11.37</v>
      </c>
      <c r="AN12" s="653">
        <v>10.94</v>
      </c>
      <c r="AO12" s="653">
        <v>11.47</v>
      </c>
      <c r="AP12" s="372">
        <v>11.04</v>
      </c>
      <c r="AQ12" s="372">
        <v>11.57</v>
      </c>
      <c r="AR12" s="373">
        <v>11.14</v>
      </c>
      <c r="AS12" s="373">
        <v>11.67</v>
      </c>
      <c r="AT12" s="373">
        <v>11.24</v>
      </c>
      <c r="AU12" s="373">
        <v>11.77</v>
      </c>
      <c r="AV12" s="373">
        <v>11.34</v>
      </c>
      <c r="AW12" s="373">
        <v>11.87</v>
      </c>
      <c r="AX12" s="373">
        <v>11.44</v>
      </c>
      <c r="AY12" s="373">
        <v>11.97</v>
      </c>
      <c r="AZ12" s="53">
        <v>7.42</v>
      </c>
      <c r="BA12" s="53">
        <v>7.8</v>
      </c>
      <c r="BB12" s="53">
        <v>7.32</v>
      </c>
      <c r="BC12" s="53">
        <v>7.7</v>
      </c>
      <c r="BD12" s="374">
        <f t="shared" si="1"/>
        <v>10.94</v>
      </c>
      <c r="BE12" s="374">
        <f t="shared" si="2"/>
        <v>11.47</v>
      </c>
      <c r="BF12" s="375">
        <f>IF(ข้อมูล!$P$14=0,BD12,IF(ข้อมูล!$P$14=1,BE12,IF(ข้อมูล!$P$14=2,BE12,)))</f>
        <v>10.94</v>
      </c>
      <c r="BI12" s="410">
        <f>BI11/10</f>
        <v>0.12636978300000001</v>
      </c>
      <c r="BJ12" s="400"/>
      <c r="BK12" s="401"/>
      <c r="BL12" s="399">
        <v>20</v>
      </c>
      <c r="BM12" s="402">
        <v>12</v>
      </c>
      <c r="BN12" s="32">
        <v>9.7858000000000001</v>
      </c>
      <c r="BO12" s="8">
        <f>-BM3/12*(BM6/100+(BM12+BM7-1)*BM4/100-(BM4+BM6)/100*(BM12+1)/2-(BM7-1))</f>
        <v>1.1666666666666667</v>
      </c>
      <c r="BP12" s="408">
        <v>5.5</v>
      </c>
      <c r="BQ12" s="32">
        <f>1+( BN12+BO12+BP12)/100</f>
        <v>1.1645246666666667</v>
      </c>
      <c r="BR12" s="403">
        <f>BR9/100+1</f>
        <v>1.07</v>
      </c>
      <c r="BS12" s="404">
        <f t="shared" si="4"/>
        <v>1.2460413933333334</v>
      </c>
      <c r="BT12" s="46">
        <v>1.2605</v>
      </c>
      <c r="BU12" s="45">
        <v>1.2827</v>
      </c>
      <c r="BV12" s="405"/>
    </row>
    <row r="13" spans="2:74">
      <c r="B13" s="411">
        <v>9</v>
      </c>
      <c r="C13" s="376">
        <f>IF($C$2=20.5,'S3'!T13,IF($C$2=21.5,'S3'!V13,IF($C$2=22.5,'S3'!A13,IF($C$2=23.5,'S3'!B13,IF($C$2=24.5,'S3'!C13,IF($C$2=25.5,'S3'!C13,IF($C$2=26.5,'S3'!E13,IF($C$2=27.5,'S3'!F13,IF($C$2=28.5,'S3'!G13,IF($C$2=29.5,'S3'!H13,IF($C$2=30.5,'S3'!I13,IF($C$2=31.5,'S3'!J13,IF($C$2=32.5,'S3'!K13,IF($C$2=33.5,'S3'!L13,IF($C$2=34.5,'S3'!M13,IF($C$2=35.5,'S3'!N13))))))))))))))))</f>
        <v>20.23</v>
      </c>
      <c r="D13" s="398">
        <f t="shared" si="3"/>
        <v>28.32</v>
      </c>
      <c r="E13" s="376">
        <f>IF($E$2=20.5,'S3'!U13,IF($E$2=21.5,'S3'!AE13,IF($E$2=22.5,'S3'!AF13,IF($E$2=23.5,'S3'!AG13,IF($E$2=24.5,'S3'!AH13,IF($E$2=25.5,'S3'!AI13,IF($E$2=26.5,'S3'!AC13,IF($E$2=27.5,'S3'!AK13,IF($E$2=28.5,'S3'!AL13,IF($E$2=29.5,'S3'!AM13,IF($E$2=30.5,'S3'!AN13,IF($E$2=31.5,'S3'!AO13,IF($E$2=32.5,'S3'!AP13,IF($E$2=33.5,'S3'!AQ13,IF($E$2=34.5,'S3'!AR13,IF($E$2=35.5,'S3'!AS13))))))))))))))))</f>
        <v>15.58</v>
      </c>
      <c r="F13" s="398">
        <f t="shared" si="0"/>
        <v>21.81</v>
      </c>
      <c r="H13" s="379" t="s">
        <v>87</v>
      </c>
      <c r="I13" s="409" t="s">
        <v>33</v>
      </c>
      <c r="J13" s="384">
        <v>12.29</v>
      </c>
      <c r="K13" s="384">
        <v>13.14</v>
      </c>
      <c r="L13" s="384">
        <v>12.42</v>
      </c>
      <c r="M13" s="384">
        <v>13.27</v>
      </c>
      <c r="N13" s="384">
        <v>12.54</v>
      </c>
      <c r="O13" s="384">
        <v>13.39</v>
      </c>
      <c r="P13" s="384">
        <v>12.67</v>
      </c>
      <c r="Q13" s="384">
        <v>13.52</v>
      </c>
      <c r="R13" s="384">
        <v>12.79</v>
      </c>
      <c r="S13" s="384">
        <v>13.64</v>
      </c>
      <c r="T13" s="318">
        <v>12.91</v>
      </c>
      <c r="U13" s="318">
        <v>13.76</v>
      </c>
      <c r="V13" s="318">
        <v>13.04</v>
      </c>
      <c r="W13" s="318">
        <v>13.89</v>
      </c>
      <c r="X13" s="316">
        <v>13.16</v>
      </c>
      <c r="Y13" s="317">
        <v>14.01</v>
      </c>
      <c r="Z13" s="316">
        <v>13.28</v>
      </c>
      <c r="AA13" s="317">
        <v>14.13</v>
      </c>
      <c r="AB13" s="316">
        <v>13.41</v>
      </c>
      <c r="AC13" s="317">
        <v>14.26</v>
      </c>
      <c r="AD13" s="316">
        <v>13.53</v>
      </c>
      <c r="AE13" s="317">
        <v>14.38</v>
      </c>
      <c r="AF13" s="371">
        <v>13.66</v>
      </c>
      <c r="AG13" s="372">
        <v>14.51</v>
      </c>
      <c r="AH13" s="371">
        <v>13.78</v>
      </c>
      <c r="AI13" s="372">
        <v>14.63</v>
      </c>
      <c r="AJ13" s="371">
        <v>13.9</v>
      </c>
      <c r="AK13" s="372">
        <v>14.75</v>
      </c>
      <c r="AL13" s="371">
        <v>14.03</v>
      </c>
      <c r="AM13" s="372">
        <v>14.88</v>
      </c>
      <c r="AN13" s="653">
        <v>14.15</v>
      </c>
      <c r="AO13" s="653">
        <v>15</v>
      </c>
      <c r="AP13" s="372">
        <v>14.27</v>
      </c>
      <c r="AQ13" s="372">
        <v>15.12</v>
      </c>
      <c r="AR13" s="373">
        <v>14.4</v>
      </c>
      <c r="AS13" s="373">
        <v>15.25</v>
      </c>
      <c r="AT13" s="373">
        <v>14.52</v>
      </c>
      <c r="AU13" s="373">
        <v>15.37</v>
      </c>
      <c r="AV13" s="373">
        <v>14.65</v>
      </c>
      <c r="AW13" s="373">
        <v>15.5</v>
      </c>
      <c r="AX13" s="373">
        <v>14.77</v>
      </c>
      <c r="AY13" s="373">
        <v>15.62</v>
      </c>
      <c r="AZ13" s="53">
        <v>9.66</v>
      </c>
      <c r="BA13" s="53">
        <v>10.27</v>
      </c>
      <c r="BB13" s="53">
        <v>9.5299999999999994</v>
      </c>
      <c r="BC13" s="53">
        <v>10.15</v>
      </c>
      <c r="BD13" s="374">
        <f t="shared" si="1"/>
        <v>14.15</v>
      </c>
      <c r="BE13" s="374">
        <f t="shared" si="2"/>
        <v>15</v>
      </c>
      <c r="BF13" s="375">
        <f>IF(ข้อมูล!$P$14=0,BD13,IF(ข้อมูล!$P$14=1,BE13,IF(ข้อมูล!$P$14=2,BE13,)))</f>
        <v>14.15</v>
      </c>
      <c r="BI13" s="399">
        <f>IF(BI12&gt;=1,((ROUND(BI12-0.5,0))*10),5)</f>
        <v>5</v>
      </c>
      <c r="BJ13" s="400"/>
      <c r="BK13" s="401"/>
      <c r="BL13" s="399">
        <v>30</v>
      </c>
      <c r="BM13" s="402">
        <v>12</v>
      </c>
      <c r="BN13" s="32">
        <v>6.9081999999999999</v>
      </c>
      <c r="BO13" s="8">
        <f>-BM3/12*(BM6/100+(BM13+BM7-1)*BM4/100-(BM4+BM6)/100*(BM13+1)/2-(BM7-1))</f>
        <v>1.1666666666666667</v>
      </c>
      <c r="BP13" s="408">
        <v>5.5</v>
      </c>
      <c r="BQ13" s="32">
        <f t="shared" ref="BQ13:BQ20" si="5">1+( BN13+BO13+BP13)/100</f>
        <v>1.1357486666666667</v>
      </c>
      <c r="BR13" s="403">
        <f>BR9/100+1</f>
        <v>1.07</v>
      </c>
      <c r="BS13" s="404">
        <f t="shared" si="4"/>
        <v>1.2152510733333335</v>
      </c>
      <c r="BT13" s="46">
        <v>1.2271000000000001</v>
      </c>
      <c r="BU13" s="45">
        <v>1.246</v>
      </c>
      <c r="BV13" s="405"/>
    </row>
    <row r="14" spans="2:74">
      <c r="B14" s="411">
        <v>10</v>
      </c>
      <c r="C14" s="376">
        <f>IF($C$2=20.5,'S3'!T14,IF($C$2=21.5,'S3'!V14,IF($C$2=22.5,'S3'!A14,IF($C$2=23.5,'S3'!B14,IF($C$2=24.5,'S3'!C14,IF($C$2=25.5,'S3'!C14,IF($C$2=26.5,'S3'!E14,IF($C$2=27.5,'S3'!F14,IF($C$2=28.5,'S3'!G14,IF($C$2=29.5,'S3'!H14,IF($C$2=30.5,'S3'!I14,IF($C$2=31.5,'S3'!J14,IF($C$2=32.5,'S3'!K14,IF($C$2=33.5,'S3'!L14,IF($C$2=34.5,'S3'!M14,IF($C$2=35.5,'S3'!N14))))))))))))))))</f>
        <v>22.37</v>
      </c>
      <c r="D14" s="398">
        <f t="shared" si="3"/>
        <v>31.32</v>
      </c>
      <c r="E14" s="376">
        <f>IF($E$2=20.5,'S3'!U14,IF($E$2=21.5,'S3'!AE14,IF($E$2=22.5,'S3'!AF14,IF($E$2=23.5,'S3'!AG14,IF($E$2=24.5,'S3'!AH14,IF($E$2=25.5,'S3'!AI14,IF($E$2=26.5,'S3'!AC14,IF($E$2=27.5,'S3'!AK14,IF($E$2=28.5,'S3'!AL14,IF($E$2=29.5,'S3'!AM14,IF($E$2=30.5,'S3'!AN14,IF($E$2=31.5,'S3'!AO14,IF($E$2=32.5,'S3'!AP14,IF($E$2=33.5,'S3'!AQ14,IF($E$2=34.5,'S3'!AR14,IF($E$2=35.5,'S3'!AS14))))))))))))))))</f>
        <v>16.97</v>
      </c>
      <c r="F14" s="398">
        <f t="shared" si="0"/>
        <v>23.76</v>
      </c>
      <c r="H14" s="379" t="s">
        <v>88</v>
      </c>
      <c r="I14" s="409" t="s">
        <v>33</v>
      </c>
      <c r="J14" s="384">
        <v>9.9</v>
      </c>
      <c r="K14" s="384">
        <v>10.34</v>
      </c>
      <c r="L14" s="384">
        <v>9.99</v>
      </c>
      <c r="M14" s="384">
        <v>10.43</v>
      </c>
      <c r="N14" s="384">
        <v>10.09</v>
      </c>
      <c r="O14" s="384">
        <v>10.53</v>
      </c>
      <c r="P14" s="384">
        <v>10.19</v>
      </c>
      <c r="Q14" s="384">
        <v>10.63</v>
      </c>
      <c r="R14" s="384">
        <v>10.29</v>
      </c>
      <c r="S14" s="384">
        <v>10.73</v>
      </c>
      <c r="T14" s="318">
        <v>10.39</v>
      </c>
      <c r="U14" s="318">
        <v>10.83</v>
      </c>
      <c r="V14" s="318">
        <v>10.48</v>
      </c>
      <c r="W14" s="318">
        <v>10.92</v>
      </c>
      <c r="X14" s="316">
        <v>10.58</v>
      </c>
      <c r="Y14" s="317">
        <v>11.02</v>
      </c>
      <c r="Z14" s="316">
        <v>10.68</v>
      </c>
      <c r="AA14" s="317">
        <v>11.12</v>
      </c>
      <c r="AB14" s="316">
        <v>10.78</v>
      </c>
      <c r="AC14" s="317">
        <v>11.22</v>
      </c>
      <c r="AD14" s="316">
        <v>10.87</v>
      </c>
      <c r="AE14" s="317">
        <v>11.31</v>
      </c>
      <c r="AF14" s="371">
        <v>10.97</v>
      </c>
      <c r="AG14" s="372">
        <v>11.41</v>
      </c>
      <c r="AH14" s="371">
        <v>11.07</v>
      </c>
      <c r="AI14" s="372">
        <v>11.51</v>
      </c>
      <c r="AJ14" s="371">
        <v>11.17</v>
      </c>
      <c r="AK14" s="372">
        <v>11.61</v>
      </c>
      <c r="AL14" s="371">
        <v>11.26</v>
      </c>
      <c r="AM14" s="372">
        <v>11.7</v>
      </c>
      <c r="AN14" s="653">
        <v>11.36</v>
      </c>
      <c r="AO14" s="653">
        <v>11.8</v>
      </c>
      <c r="AP14" s="372">
        <v>11.46</v>
      </c>
      <c r="AQ14" s="372">
        <v>11.9</v>
      </c>
      <c r="AR14" s="373">
        <v>11.56</v>
      </c>
      <c r="AS14" s="373">
        <v>12</v>
      </c>
      <c r="AT14" s="373">
        <v>11.66</v>
      </c>
      <c r="AU14" s="373">
        <v>12.1</v>
      </c>
      <c r="AV14" s="373">
        <v>11.75</v>
      </c>
      <c r="AW14" s="373">
        <v>12.19</v>
      </c>
      <c r="AX14" s="373">
        <v>11.85</v>
      </c>
      <c r="AY14" s="373">
        <v>12.29</v>
      </c>
      <c r="AZ14" s="53">
        <v>7.83</v>
      </c>
      <c r="BA14" s="53">
        <v>8.14</v>
      </c>
      <c r="BB14" s="53">
        <v>7.73</v>
      </c>
      <c r="BC14" s="53">
        <v>8.0399999999999991</v>
      </c>
      <c r="BD14" s="374">
        <f t="shared" si="1"/>
        <v>11.36</v>
      </c>
      <c r="BE14" s="374">
        <f t="shared" si="2"/>
        <v>11.8</v>
      </c>
      <c r="BF14" s="375">
        <f>IF(ข้อมูล!$P$14=0,BD14,IF(ข้อมูล!$P$14=1,BE14,IF(ข้อมูล!$P$14=2,BE14,)))</f>
        <v>11.36</v>
      </c>
      <c r="BI14" s="399">
        <f>(ROUND(BI12+0.5,0))*10</f>
        <v>10</v>
      </c>
      <c r="BJ14" s="400"/>
      <c r="BK14" s="401"/>
      <c r="BL14" s="399">
        <v>40</v>
      </c>
      <c r="BM14" s="402">
        <v>16</v>
      </c>
      <c r="BN14" s="32">
        <v>6.9898999999999996</v>
      </c>
      <c r="BO14" s="8">
        <f>-BM3/12*(BM6/100+(BM14+BM7-1)*BM4/100-(BM4+BM6)/100*(BM14+1)/2-(BM7-1))</f>
        <v>1.1666666666666667</v>
      </c>
      <c r="BP14" s="408">
        <v>5</v>
      </c>
      <c r="BQ14" s="32">
        <f t="shared" si="5"/>
        <v>1.1315656666666667</v>
      </c>
      <c r="BR14" s="403">
        <f>BR9/100+1</f>
        <v>1.07</v>
      </c>
      <c r="BS14" s="404">
        <f t="shared" si="4"/>
        <v>1.2107752633333335</v>
      </c>
      <c r="BT14" s="46">
        <v>1.2228000000000001</v>
      </c>
      <c r="BU14" s="45">
        <v>1.2437</v>
      </c>
      <c r="BV14" s="405"/>
    </row>
    <row r="15" spans="2:74">
      <c r="B15" s="411">
        <v>11</v>
      </c>
      <c r="C15" s="376">
        <f>IF($C$2=20.5,'S3'!T15,IF($C$2=21.5,'S3'!V15,IF($C$2=22.5,'S3'!A15,IF($C$2=23.5,'S3'!B15,IF($C$2=24.5,'S3'!C15,IF($C$2=25.5,'S3'!C15,IF($C$2=26.5,'S3'!E15,IF($C$2=27.5,'S3'!F15,IF($C$2=28.5,'S3'!G15,IF($C$2=29.5,'S3'!H15,IF($C$2=30.5,'S3'!I15,IF($C$2=31.5,'S3'!J15,IF($C$2=32.5,'S3'!K15,IF($C$2=33.5,'S3'!L15,IF($C$2=34.5,'S3'!M15,IF($C$2=35.5,'S3'!N15))))))))))))))))</f>
        <v>24.51</v>
      </c>
      <c r="D15" s="398">
        <f t="shared" si="3"/>
        <v>34.31</v>
      </c>
      <c r="E15" s="376">
        <f>IF($E$2=20.5,'S3'!U15,IF($E$2=21.5,'S3'!AE15,IF($E$2=22.5,'S3'!AF15,IF($E$2=23.5,'S3'!AG15,IF($E$2=24.5,'S3'!AH15,IF($E$2=25.5,'S3'!AI15,IF($E$2=26.5,'S3'!AC15,IF($E$2=27.5,'S3'!AK15,IF($E$2=28.5,'S3'!AL15,IF($E$2=29.5,'S3'!AM15,IF($E$2=30.5,'S3'!AN15,IF($E$2=31.5,'S3'!AO15,IF($E$2=32.5,'S3'!AP15,IF($E$2=33.5,'S3'!AQ15,IF($E$2=34.5,'S3'!AR15,IF($E$2=35.5,'S3'!AS15))))))))))))))))</f>
        <v>18.350000000000001</v>
      </c>
      <c r="F15" s="398">
        <f t="shared" si="0"/>
        <v>25.69</v>
      </c>
      <c r="H15" s="382" t="s">
        <v>89</v>
      </c>
      <c r="I15" s="409" t="s">
        <v>33</v>
      </c>
      <c r="J15" s="384">
        <v>5.35</v>
      </c>
      <c r="K15" s="384">
        <v>5.51</v>
      </c>
      <c r="L15" s="384">
        <v>8.48</v>
      </c>
      <c r="M15" s="384">
        <v>5.64</v>
      </c>
      <c r="N15" s="384">
        <v>5.6</v>
      </c>
      <c r="O15" s="384">
        <v>5.76</v>
      </c>
      <c r="P15" s="384">
        <v>5.73</v>
      </c>
      <c r="Q15" s="384">
        <v>5.89</v>
      </c>
      <c r="R15" s="384">
        <v>5.86</v>
      </c>
      <c r="S15" s="384">
        <v>6.02</v>
      </c>
      <c r="T15" s="318">
        <v>5.99</v>
      </c>
      <c r="U15" s="318">
        <v>6.15</v>
      </c>
      <c r="V15" s="318">
        <v>6.12</v>
      </c>
      <c r="W15" s="318">
        <v>6.28</v>
      </c>
      <c r="X15" s="316">
        <v>6.25</v>
      </c>
      <c r="Y15" s="317">
        <v>6.41</v>
      </c>
      <c r="Z15" s="316">
        <v>6.38</v>
      </c>
      <c r="AA15" s="317">
        <v>6.54</v>
      </c>
      <c r="AB15" s="316">
        <v>6.51</v>
      </c>
      <c r="AC15" s="317">
        <v>6.67</v>
      </c>
      <c r="AD15" s="316">
        <v>6.63</v>
      </c>
      <c r="AE15" s="317">
        <v>6.79</v>
      </c>
      <c r="AF15" s="371">
        <v>6.76</v>
      </c>
      <c r="AG15" s="372">
        <v>6.92</v>
      </c>
      <c r="AH15" s="371">
        <v>6.89</v>
      </c>
      <c r="AI15" s="372">
        <v>7.05</v>
      </c>
      <c r="AJ15" s="371">
        <v>7.02</v>
      </c>
      <c r="AK15" s="372">
        <v>7.18</v>
      </c>
      <c r="AL15" s="371">
        <v>7.15</v>
      </c>
      <c r="AM15" s="372">
        <v>7.31</v>
      </c>
      <c r="AN15" s="653">
        <v>7.28</v>
      </c>
      <c r="AO15" s="653">
        <v>7.44</v>
      </c>
      <c r="AP15" s="372">
        <v>7.41</v>
      </c>
      <c r="AQ15" s="372">
        <v>7.57</v>
      </c>
      <c r="AR15" s="373">
        <v>7.54</v>
      </c>
      <c r="AS15" s="373">
        <v>7.7</v>
      </c>
      <c r="AT15" s="373">
        <v>7.67</v>
      </c>
      <c r="AU15" s="373">
        <v>7.83</v>
      </c>
      <c r="AV15" s="373">
        <v>7.79</v>
      </c>
      <c r="AW15" s="373">
        <v>7.95</v>
      </c>
      <c r="AX15" s="373">
        <v>7.92</v>
      </c>
      <c r="AY15" s="373">
        <v>8.08</v>
      </c>
      <c r="AZ15" s="53">
        <v>4.96</v>
      </c>
      <c r="BA15" s="53">
        <v>5.0999999999999996</v>
      </c>
      <c r="BB15" s="53">
        <v>4.84</v>
      </c>
      <c r="BC15" s="53">
        <v>4.97</v>
      </c>
      <c r="BD15" s="374">
        <f t="shared" si="1"/>
        <v>7.28</v>
      </c>
      <c r="BE15" s="374">
        <f t="shared" si="2"/>
        <v>7.44</v>
      </c>
      <c r="BF15" s="375">
        <f>IF(ข้อมูล!$P$14=0,BD15,IF(ข้อมูล!$P$14=1,BE15,IF(ข้อมูล!$P$14=2,BE15,)))</f>
        <v>7.28</v>
      </c>
      <c r="BI15" s="410">
        <f>VLOOKUP(BI13,BL10:BS20,8)</f>
        <v>1.3364596033333334</v>
      </c>
      <c r="BJ15" s="404">
        <f>VLOOKUP(BI13,BL10:BT20,9)</f>
        <v>1.3532</v>
      </c>
      <c r="BK15" s="412">
        <f>VLOOKUP(BI13,BL10:BU20,10)</f>
        <v>1.3956999999999999</v>
      </c>
      <c r="BL15" s="399">
        <v>50</v>
      </c>
      <c r="BM15" s="402">
        <v>18</v>
      </c>
      <c r="BN15" s="32">
        <v>6.4551999999999996</v>
      </c>
      <c r="BO15" s="8">
        <f>-BM3/12*(BM6/100+(BM15+BM7-1)*BM4/100-(BM4+BM6)/100*(BM15+1)/2-(BM7-1))</f>
        <v>1.1666666666666667</v>
      </c>
      <c r="BP15" s="408">
        <v>5</v>
      </c>
      <c r="BQ15" s="32">
        <f t="shared" si="5"/>
        <v>1.1262186666666667</v>
      </c>
      <c r="BR15" s="403">
        <f>BR9/100+1</f>
        <v>1.07</v>
      </c>
      <c r="BS15" s="404">
        <f t="shared" si="4"/>
        <v>1.2050539733333334</v>
      </c>
      <c r="BT15" s="46">
        <v>1.2163999999999999</v>
      </c>
      <c r="BU15" s="45">
        <v>1.2376</v>
      </c>
      <c r="BV15" s="405"/>
    </row>
    <row r="16" spans="2:74">
      <c r="B16" s="411">
        <v>12</v>
      </c>
      <c r="C16" s="376">
        <f>IF($C$2=20.5,'S3'!T16,IF($C$2=21.5,'S3'!V16,IF($C$2=22.5,'S3'!A16,IF($C$2=23.5,'S3'!B16,IF($C$2=24.5,'S3'!C16,IF($C$2=25.5,'S3'!C16,IF($C$2=26.5,'S3'!E16,IF($C$2=27.5,'S3'!F16,IF($C$2=28.5,'S3'!G16,IF($C$2=29.5,'S3'!H16,IF($C$2=30.5,'S3'!I16,IF($C$2=31.5,'S3'!J16,IF($C$2=32.5,'S3'!K16,IF($C$2=33.5,'S3'!L16,IF($C$2=34.5,'S3'!M16,IF($C$2=35.5,'S3'!N16))))))))))))))))</f>
        <v>26.66</v>
      </c>
      <c r="D16" s="398">
        <f t="shared" si="3"/>
        <v>37.32</v>
      </c>
      <c r="E16" s="376">
        <f>IF($E$2=20.5,'S3'!U16,IF($E$2=21.5,'S3'!AE16,IF($E$2=22.5,'S3'!AF16,IF($E$2=23.5,'S3'!AG16,IF($E$2=24.5,'S3'!AH16,IF($E$2=25.5,'S3'!AI16,IF($E$2=26.5,'S3'!AC16,IF($E$2=27.5,'S3'!AK16,IF($E$2=28.5,'S3'!AL16,IF($E$2=29.5,'S3'!AM16,IF($E$2=30.5,'S3'!AN16,IF($E$2=31.5,'S3'!AO16,IF($E$2=32.5,'S3'!AP16,IF($E$2=33.5,'S3'!AQ16,IF($E$2=34.5,'S3'!AR16,IF($E$2=35.5,'S3'!AS16))))))))))))))))</f>
        <v>19.739999999999998</v>
      </c>
      <c r="F16" s="398">
        <f t="shared" si="0"/>
        <v>27.64</v>
      </c>
      <c r="H16" s="382" t="s">
        <v>90</v>
      </c>
      <c r="I16" s="409" t="s">
        <v>33</v>
      </c>
      <c r="J16" s="384">
        <v>5.26</v>
      </c>
      <c r="K16" s="384">
        <v>5.48</v>
      </c>
      <c r="L16" s="384">
        <v>5.38</v>
      </c>
      <c r="M16" s="384">
        <v>5.6</v>
      </c>
      <c r="N16" s="384">
        <v>5.5</v>
      </c>
      <c r="O16" s="384">
        <v>5.72</v>
      </c>
      <c r="P16" s="384">
        <v>5.62</v>
      </c>
      <c r="Q16" s="384">
        <v>5.84</v>
      </c>
      <c r="R16" s="384">
        <v>5.74</v>
      </c>
      <c r="S16" s="384">
        <v>5.96</v>
      </c>
      <c r="T16" s="318">
        <v>5.86</v>
      </c>
      <c r="U16" s="318">
        <v>6.08</v>
      </c>
      <c r="V16" s="318">
        <v>5.98</v>
      </c>
      <c r="W16" s="318">
        <v>6.2</v>
      </c>
      <c r="X16" s="316">
        <v>6.1</v>
      </c>
      <c r="Y16" s="317">
        <v>6.32</v>
      </c>
      <c r="Z16" s="316">
        <v>6.22</v>
      </c>
      <c r="AA16" s="317">
        <v>6.44</v>
      </c>
      <c r="AB16" s="316">
        <v>6.34</v>
      </c>
      <c r="AC16" s="317">
        <v>6.56</v>
      </c>
      <c r="AD16" s="316">
        <v>6.45</v>
      </c>
      <c r="AE16" s="317">
        <v>6.67</v>
      </c>
      <c r="AF16" s="371">
        <v>6.57</v>
      </c>
      <c r="AG16" s="372">
        <v>6.79</v>
      </c>
      <c r="AH16" s="371">
        <v>6.69</v>
      </c>
      <c r="AI16" s="372">
        <v>6.91</v>
      </c>
      <c r="AJ16" s="371">
        <v>6.81</v>
      </c>
      <c r="AK16" s="372">
        <v>7.03</v>
      </c>
      <c r="AL16" s="371">
        <v>6.93</v>
      </c>
      <c r="AM16" s="372">
        <v>7.15</v>
      </c>
      <c r="AN16" s="653">
        <v>7.05</v>
      </c>
      <c r="AO16" s="653">
        <v>7.27</v>
      </c>
      <c r="AP16" s="372">
        <v>7.17</v>
      </c>
      <c r="AQ16" s="372">
        <v>7.39</v>
      </c>
      <c r="AR16" s="373">
        <v>7.29</v>
      </c>
      <c r="AS16" s="373">
        <v>7.51</v>
      </c>
      <c r="AT16" s="373">
        <v>7.41</v>
      </c>
      <c r="AU16" s="373">
        <v>7.63</v>
      </c>
      <c r="AV16" s="373">
        <v>7.53</v>
      </c>
      <c r="AW16" s="373">
        <v>7.75</v>
      </c>
      <c r="AX16" s="373">
        <v>7.65</v>
      </c>
      <c r="AY16" s="373">
        <v>7.87</v>
      </c>
      <c r="AZ16" s="53">
        <v>4.7699999999999996</v>
      </c>
      <c r="BA16" s="53">
        <v>4.96</v>
      </c>
      <c r="BB16" s="53">
        <v>4.6500000000000004</v>
      </c>
      <c r="BC16" s="53">
        <v>4.84</v>
      </c>
      <c r="BD16" s="374">
        <f t="shared" si="1"/>
        <v>7.05</v>
      </c>
      <c r="BE16" s="374">
        <f t="shared" si="2"/>
        <v>7.27</v>
      </c>
      <c r="BF16" s="375">
        <f>IF(ข้อมูล!$P$14=0,BD16,IF(ข้อมูล!$P$14=1,BE16,IF(ข้อมูล!$P$14=2,BE16,)))</f>
        <v>7.05</v>
      </c>
      <c r="BI16" s="410">
        <f>VLOOKUP(BI14,BL10:BS20,8)</f>
        <v>1.2915720333333334</v>
      </c>
      <c r="BJ16" s="404">
        <f>VLOOKUP(BI14,BL10:BT20,9)</f>
        <v>1.3081</v>
      </c>
      <c r="BK16" s="412">
        <f>VLOOKUP(BI14,BL10:BU20,10)</f>
        <v>1.3452999999999999</v>
      </c>
      <c r="BL16" s="399">
        <v>60</v>
      </c>
      <c r="BM16" s="402">
        <v>18</v>
      </c>
      <c r="BN16" s="32">
        <v>5.5918999999999999</v>
      </c>
      <c r="BO16" s="8">
        <f>-BM3/12*(BM6/100+(BM16+BM7-1)*BM4/100-(BM4+BM6)/100*(BM16+1)/2-(BM7-1))</f>
        <v>1.1666666666666667</v>
      </c>
      <c r="BP16" s="408">
        <v>5</v>
      </c>
      <c r="BQ16" s="32">
        <f t="shared" si="5"/>
        <v>1.1175856666666666</v>
      </c>
      <c r="BR16" s="403">
        <f>BR9/100+1</f>
        <v>1.07</v>
      </c>
      <c r="BS16" s="404">
        <f t="shared" si="4"/>
        <v>1.1958166633333334</v>
      </c>
      <c r="BT16" s="46">
        <v>1.206</v>
      </c>
      <c r="BU16" s="45">
        <v>1.226</v>
      </c>
      <c r="BV16" s="405"/>
    </row>
    <row r="17" spans="2:74">
      <c r="B17" s="411">
        <v>13</v>
      </c>
      <c r="C17" s="376">
        <f>IF($C$2=20.5,'S3'!T17,IF($C$2=21.5,'S3'!V17,IF($C$2=22.5,'S3'!A17,IF($C$2=23.5,'S3'!B17,IF($C$2=24.5,'S3'!C17,IF($C$2=25.5,'S3'!C17,IF($C$2=26.5,'S3'!E17,IF($C$2=27.5,'S3'!F17,IF($C$2=28.5,'S3'!G17,IF($C$2=29.5,'S3'!H17,IF($C$2=30.5,'S3'!I17,IF($C$2=31.5,'S3'!J17,IF($C$2=32.5,'S3'!K17,IF($C$2=33.5,'S3'!L17,IF($C$2=34.5,'S3'!M17,IF($C$2=35.5,'S3'!N17))))))))))))))))</f>
        <v>28.8</v>
      </c>
      <c r="D17" s="398">
        <f t="shared" si="3"/>
        <v>40.32</v>
      </c>
      <c r="E17" s="376">
        <f>IF($E$2=20.5,'S3'!U17,IF($E$2=21.5,'S3'!AE17,IF($E$2=22.5,'S3'!AF17,IF($E$2=23.5,'S3'!AG17,IF($E$2=24.5,'S3'!AH17,IF($E$2=25.5,'S3'!AI17,IF($E$2=26.5,'S3'!AC17,IF($E$2=27.5,'S3'!AK17,IF($E$2=28.5,'S3'!AL17,IF($E$2=29.5,'S3'!AM17,IF($E$2=30.5,'S3'!AN17,IF($E$2=31.5,'S3'!AO17,IF($E$2=32.5,'S3'!AP17,IF($E$2=33.5,'S3'!AQ17,IF($E$2=34.5,'S3'!AR17,IF($E$2=35.5,'S3'!AS17))))))))))))))))</f>
        <v>21.12</v>
      </c>
      <c r="F17" s="398">
        <f t="shared" si="0"/>
        <v>29.57</v>
      </c>
      <c r="H17" s="382" t="s">
        <v>91</v>
      </c>
      <c r="I17" s="383"/>
      <c r="J17" s="384"/>
      <c r="K17" s="384"/>
      <c r="L17" s="384"/>
      <c r="M17" s="384"/>
      <c r="N17" s="384"/>
      <c r="O17" s="384"/>
      <c r="P17" s="384"/>
      <c r="Q17" s="384"/>
      <c r="R17" s="384"/>
      <c r="S17" s="384"/>
      <c r="T17" s="318"/>
      <c r="U17" s="318"/>
      <c r="V17" s="318"/>
      <c r="W17" s="318"/>
      <c r="X17" s="320"/>
      <c r="Y17" s="320"/>
      <c r="Z17" s="320"/>
      <c r="AA17" s="320"/>
      <c r="AB17" s="320"/>
      <c r="AC17" s="320"/>
      <c r="AD17" s="320"/>
      <c r="AE17" s="320"/>
      <c r="AF17" s="413"/>
      <c r="AG17" s="413"/>
      <c r="AH17" s="413"/>
      <c r="AI17" s="413"/>
      <c r="AJ17" s="413"/>
      <c r="AK17" s="413"/>
      <c r="AL17" s="413"/>
      <c r="AM17" s="413"/>
      <c r="AN17" s="655"/>
      <c r="AO17" s="655"/>
      <c r="AP17" s="413"/>
      <c r="AQ17" s="413"/>
      <c r="AR17" s="414"/>
      <c r="AS17" s="414"/>
      <c r="AT17" s="414"/>
      <c r="AU17" s="414"/>
      <c r="AV17" s="414"/>
      <c r="AW17" s="414"/>
      <c r="AX17" s="414"/>
      <c r="AY17" s="414"/>
      <c r="AZ17" s="55"/>
      <c r="BA17" s="55"/>
      <c r="BB17" s="55"/>
      <c r="BC17" s="55"/>
      <c r="BD17" s="374"/>
      <c r="BE17" s="374"/>
      <c r="BF17" s="387"/>
      <c r="BI17" s="37">
        <f>ROUND(IF(BI11&gt;5,BI15-((BI15-BI16)/(BI14-BI13)*(BI11-BI13)),BI15),4)</f>
        <v>1.3365</v>
      </c>
      <c r="BJ17" s="38">
        <f>ROUND(IF(BI11&gt;5,BJ15-((BJ15-BJ16)/(BI14-BI13)*(BI11-BI13)),BJ15),4)</f>
        <v>1.3532</v>
      </c>
      <c r="BK17" s="39">
        <f>ROUND(IF(BI11&gt;5,BK15-((BK15-BK16)/(BI14-BI13)*(BI11-BI13)),BK15),4)</f>
        <v>1.3956999999999999</v>
      </c>
      <c r="BL17" s="399">
        <v>70</v>
      </c>
      <c r="BM17" s="402">
        <v>19</v>
      </c>
      <c r="BN17" s="32">
        <v>5.4047999999999998</v>
      </c>
      <c r="BO17" s="8">
        <f>-BM3/12*(BM6/100+(BM17+BM7-1)*BM4/100-(BM4+BM6)/100*(BM17+1)/2-(BM7-1))</f>
        <v>1.1666666666666667</v>
      </c>
      <c r="BP17" s="408">
        <v>4.5</v>
      </c>
      <c r="BQ17" s="32">
        <f t="shared" si="5"/>
        <v>1.1107146666666667</v>
      </c>
      <c r="BR17" s="403">
        <f>BR9/100+1</f>
        <v>1.07</v>
      </c>
      <c r="BS17" s="404">
        <f t="shared" si="4"/>
        <v>1.1884646933333334</v>
      </c>
      <c r="BT17" s="46">
        <v>1.1982999999999999</v>
      </c>
      <c r="BU17" s="45">
        <v>1.2183999999999999</v>
      </c>
      <c r="BV17" s="405"/>
    </row>
    <row r="18" spans="2:74">
      <c r="B18" s="411">
        <v>14</v>
      </c>
      <c r="C18" s="376">
        <f>IF($C$2=20.5,'S3'!T18,IF($C$2=21.5,'S3'!V18,IF($C$2=22.5,'S3'!A18,IF($C$2=23.5,'S3'!B18,IF($C$2=24.5,'S3'!C18,IF($C$2=25.5,'S3'!C18,IF($C$2=26.5,'S3'!E18,IF($C$2=27.5,'S3'!F18,IF($C$2=28.5,'S3'!G18,IF($C$2=29.5,'S3'!H18,IF($C$2=30.5,'S3'!I18,IF($C$2=31.5,'S3'!J18,IF($C$2=32.5,'S3'!K18,IF($C$2=33.5,'S3'!L18,IF($C$2=34.5,'S3'!M18,IF($C$2=35.5,'S3'!N18))))))))))))))))</f>
        <v>30.94</v>
      </c>
      <c r="D18" s="398">
        <f t="shared" si="3"/>
        <v>43.32</v>
      </c>
      <c r="E18" s="376">
        <f>IF($E$2=20.5,'S3'!U18,IF($E$2=21.5,'S3'!AE18,IF($E$2=22.5,'S3'!AF18,IF($E$2=23.5,'S3'!AG18,IF($E$2=24.5,'S3'!AH18,IF($E$2=25.5,'S3'!AI18,IF($E$2=26.5,'S3'!AC18,IF($E$2=27.5,'S3'!AK18,IF($E$2=28.5,'S3'!AL18,IF($E$2=29.5,'S3'!AM18,IF($E$2=30.5,'S3'!AN18,IF($E$2=31.5,'S3'!AO18,IF($E$2=32.5,'S3'!AP18,IF($E$2=33.5,'S3'!AQ18,IF($E$2=34.5,'S3'!AR18,IF($E$2=35.5,'S3'!AS18))))))))))))))))</f>
        <v>22.51</v>
      </c>
      <c r="F18" s="398">
        <f t="shared" si="0"/>
        <v>31.51</v>
      </c>
      <c r="H18" s="415" t="s">
        <v>148</v>
      </c>
      <c r="I18" s="409"/>
      <c r="J18" s="384"/>
      <c r="K18" s="384"/>
      <c r="L18" s="384"/>
      <c r="M18" s="384"/>
      <c r="N18" s="384"/>
      <c r="O18" s="384"/>
      <c r="P18" s="384"/>
      <c r="Q18" s="384"/>
      <c r="R18" s="384"/>
      <c r="S18" s="384"/>
      <c r="T18" s="318"/>
      <c r="U18" s="318"/>
      <c r="V18" s="318"/>
      <c r="W18" s="318"/>
      <c r="X18" s="316"/>
      <c r="Y18" s="317"/>
      <c r="Z18" s="316"/>
      <c r="AA18" s="317"/>
      <c r="AB18" s="316"/>
      <c r="AC18" s="317"/>
      <c r="AD18" s="316"/>
      <c r="AE18" s="317"/>
      <c r="AF18" s="371"/>
      <c r="AG18" s="372"/>
      <c r="AH18" s="371"/>
      <c r="AI18" s="372"/>
      <c r="AJ18" s="371"/>
      <c r="AK18" s="372"/>
      <c r="AL18" s="371"/>
      <c r="AM18" s="372"/>
      <c r="AN18" s="653"/>
      <c r="AO18" s="653"/>
      <c r="AP18" s="372"/>
      <c r="AQ18" s="372"/>
      <c r="AR18" s="373"/>
      <c r="AS18" s="373"/>
      <c r="AT18" s="373"/>
      <c r="AU18" s="373"/>
      <c r="AV18" s="373"/>
      <c r="AW18" s="373"/>
      <c r="AX18" s="373"/>
      <c r="AY18" s="373"/>
      <c r="AZ18" s="53"/>
      <c r="BA18" s="53"/>
      <c r="BB18" s="53"/>
      <c r="BC18" s="53"/>
      <c r="BD18" s="374"/>
      <c r="BE18" s="374"/>
      <c r="BF18" s="387"/>
      <c r="BI18" s="37"/>
      <c r="BJ18" s="38"/>
      <c r="BK18" s="39"/>
      <c r="BL18" s="399">
        <v>80</v>
      </c>
      <c r="BM18" s="402">
        <v>20</v>
      </c>
      <c r="BN18" s="32">
        <v>5.1508000000000003</v>
      </c>
      <c r="BO18" s="8">
        <f>-BM3/12*(BM6/100+(BM18+BM7-1)*BM4/100-(BM4+BM6)/100*(BM18+1)/2-(BM7-1))</f>
        <v>1.1666666666666667</v>
      </c>
      <c r="BP18" s="408">
        <v>4.5</v>
      </c>
      <c r="BQ18" s="32">
        <f t="shared" si="5"/>
        <v>1.1081746666666668</v>
      </c>
      <c r="BR18" s="403">
        <f>BR9/100+1</f>
        <v>1.07</v>
      </c>
      <c r="BS18" s="404">
        <f t="shared" si="4"/>
        <v>1.1857468933333335</v>
      </c>
      <c r="BT18" s="46">
        <v>1.1951000000000001</v>
      </c>
      <c r="BU18" s="45">
        <v>1.2152000000000001</v>
      </c>
      <c r="BV18" s="405"/>
    </row>
    <row r="19" spans="2:74">
      <c r="B19" s="411">
        <v>15</v>
      </c>
      <c r="C19" s="376">
        <f>IF($C$2=20.5,'S3'!T19,IF($C$2=21.5,'S3'!V19,IF($C$2=22.5,'S3'!A19,IF($C$2=23.5,'S3'!B19,IF($C$2=24.5,'S3'!C19,IF($C$2=25.5,'S3'!C19,IF($C$2=26.5,'S3'!E19,IF($C$2=27.5,'S3'!F19,IF($C$2=28.5,'S3'!G19,IF($C$2=29.5,'S3'!H19,IF($C$2=30.5,'S3'!I19,IF($C$2=31.5,'S3'!J19,IF($C$2=32.5,'S3'!K19,IF($C$2=33.5,'S3'!L19,IF($C$2=34.5,'S3'!M19,IF($C$2=35.5,'S3'!N19))))))))))))))))</f>
        <v>33.08</v>
      </c>
      <c r="D19" s="398">
        <f t="shared" si="3"/>
        <v>46.31</v>
      </c>
      <c r="E19" s="376">
        <f>IF($E$2=20.5,'S3'!U19,IF($E$2=21.5,'S3'!AE19,IF($E$2=22.5,'S3'!AF19,IF($E$2=23.5,'S3'!AG19,IF($E$2=24.5,'S3'!AH19,IF($E$2=25.5,'S3'!AI19,IF($E$2=26.5,'S3'!AC19,IF($E$2=27.5,'S3'!AK19,IF($E$2=28.5,'S3'!AL19,IF($E$2=29.5,'S3'!AM19,IF($E$2=30.5,'S3'!AN19,IF($E$2=31.5,'S3'!AO19,IF($E$2=32.5,'S3'!AP19,IF($E$2=33.5,'S3'!AQ19,IF($E$2=34.5,'S3'!AR19,IF($E$2=35.5,'S3'!AS19))))))))))))))))</f>
        <v>23.95</v>
      </c>
      <c r="F19" s="398">
        <f t="shared" si="0"/>
        <v>33.53</v>
      </c>
      <c r="H19" s="415" t="s">
        <v>149</v>
      </c>
      <c r="I19" s="409" t="s">
        <v>33</v>
      </c>
      <c r="J19" s="384">
        <v>12.54</v>
      </c>
      <c r="K19" s="384">
        <v>13.25</v>
      </c>
      <c r="L19" s="384">
        <v>12.7</v>
      </c>
      <c r="M19" s="384">
        <v>13.41</v>
      </c>
      <c r="N19" s="384">
        <v>12.87</v>
      </c>
      <c r="O19" s="384">
        <v>13.58</v>
      </c>
      <c r="P19" s="384">
        <v>13.03</v>
      </c>
      <c r="Q19" s="384">
        <v>13.74</v>
      </c>
      <c r="R19" s="384">
        <v>13.2</v>
      </c>
      <c r="S19" s="384">
        <v>13.91</v>
      </c>
      <c r="T19" s="318">
        <v>13.37</v>
      </c>
      <c r="U19" s="318">
        <v>14.08</v>
      </c>
      <c r="V19" s="318">
        <v>13.53</v>
      </c>
      <c r="W19" s="318">
        <v>14.24</v>
      </c>
      <c r="X19" s="316">
        <v>13.7</v>
      </c>
      <c r="Y19" s="317">
        <v>14.41</v>
      </c>
      <c r="Z19" s="316">
        <v>13.86</v>
      </c>
      <c r="AA19" s="317">
        <v>14.57</v>
      </c>
      <c r="AB19" s="316">
        <v>14.03</v>
      </c>
      <c r="AC19" s="317">
        <v>14.74</v>
      </c>
      <c r="AD19" s="316">
        <v>14.19</v>
      </c>
      <c r="AE19" s="317">
        <v>14.9</v>
      </c>
      <c r="AF19" s="371">
        <v>14.36</v>
      </c>
      <c r="AG19" s="372">
        <v>15.07</v>
      </c>
      <c r="AH19" s="371">
        <v>14.52</v>
      </c>
      <c r="AI19" s="372">
        <v>15.23</v>
      </c>
      <c r="AJ19" s="371">
        <v>14.69</v>
      </c>
      <c r="AK19" s="372">
        <v>15.4</v>
      </c>
      <c r="AL19" s="371">
        <v>14.85</v>
      </c>
      <c r="AM19" s="372">
        <v>15.56</v>
      </c>
      <c r="AN19" s="653">
        <v>15.02</v>
      </c>
      <c r="AO19" s="653">
        <v>15.73</v>
      </c>
      <c r="AP19" s="372">
        <v>15.18</v>
      </c>
      <c r="AQ19" s="372">
        <v>15.89</v>
      </c>
      <c r="AR19" s="373">
        <v>15.35</v>
      </c>
      <c r="AS19" s="373">
        <v>16.059999999999999</v>
      </c>
      <c r="AT19" s="373">
        <v>15.52</v>
      </c>
      <c r="AU19" s="373">
        <v>16.23</v>
      </c>
      <c r="AV19" s="373">
        <v>15.68</v>
      </c>
      <c r="AW19" s="373">
        <v>16.39</v>
      </c>
      <c r="AX19" s="373">
        <v>15.85</v>
      </c>
      <c r="AY19" s="373">
        <v>16.559999999999999</v>
      </c>
      <c r="AZ19" s="53">
        <v>11.33</v>
      </c>
      <c r="BA19" s="53">
        <v>11.97</v>
      </c>
      <c r="BB19" s="53">
        <v>11.17</v>
      </c>
      <c r="BC19" s="53">
        <v>11.81</v>
      </c>
      <c r="BD19" s="374">
        <f t="shared" si="1"/>
        <v>15.02</v>
      </c>
      <c r="BE19" s="374">
        <f t="shared" si="2"/>
        <v>15.73</v>
      </c>
      <c r="BF19" s="375">
        <f>IF(ข้อมูล!$P$14=0,BD19,IF(ข้อมูล!$P$14=1,BE19,IF(ข้อมูล!$P$14=2,BE19,)))</f>
        <v>15.02</v>
      </c>
      <c r="BI19" s="416"/>
      <c r="BJ19" s="379"/>
      <c r="BK19" s="417"/>
      <c r="BL19" s="399">
        <v>90</v>
      </c>
      <c r="BM19" s="402">
        <v>20</v>
      </c>
      <c r="BN19" s="32">
        <v>4.7691999999999997</v>
      </c>
      <c r="BO19" s="8">
        <f>-BM3/12*(BM6/100+(BM19+BM7-1)*BM4/100-(BM4+BM6)/100*(BM19+1)/2-(BM7-1))</f>
        <v>1.1666666666666667</v>
      </c>
      <c r="BP19" s="408">
        <v>4.5</v>
      </c>
      <c r="BQ19" s="32">
        <f t="shared" si="5"/>
        <v>1.1043586666666667</v>
      </c>
      <c r="BR19" s="403">
        <f>BR9/100+1</f>
        <v>1.07</v>
      </c>
      <c r="BS19" s="404">
        <f t="shared" si="4"/>
        <v>1.1816637733333335</v>
      </c>
      <c r="BT19" s="46">
        <v>1.1904999999999999</v>
      </c>
      <c r="BU19" s="45">
        <v>1.21</v>
      </c>
      <c r="BV19" s="405"/>
    </row>
    <row r="20" spans="2:74" ht="21" thickBot="1">
      <c r="B20" s="411">
        <v>16</v>
      </c>
      <c r="C20" s="376">
        <f>IF($C$2=20.5,'S3'!T20,IF($C$2=21.5,'S3'!V20,IF($C$2=22.5,'S3'!A20,IF($C$2=23.5,'S3'!B20,IF($C$2=24.5,'S3'!C20,IF($C$2=25.5,'S3'!C20,IF($C$2=26.5,'S3'!E20,IF($C$2=27.5,'S3'!F20,IF($C$2=28.5,'S3'!G20,IF($C$2=29.5,'S3'!H20,IF($C$2=30.5,'S3'!I20,IF($C$2=31.5,'S3'!J20,IF($C$2=32.5,'S3'!K20,IF($C$2=33.5,'S3'!L20,IF($C$2=34.5,'S3'!M20,IF($C$2=35.5,'S3'!N20))))))))))))))))</f>
        <v>35.229999999999997</v>
      </c>
      <c r="D20" s="398">
        <f t="shared" si="3"/>
        <v>49.32</v>
      </c>
      <c r="E20" s="376">
        <f>IF($E$2=20.5,'S3'!U20,IF($E$2=21.5,'S3'!AE20,IF($E$2=22.5,'S3'!AF20,IF($E$2=23.5,'S3'!AG20,IF($E$2=24.5,'S3'!AH20,IF($E$2=25.5,'S3'!AI20,IF($E$2=26.5,'S3'!AC20,IF($E$2=27.5,'S3'!AK20,IF($E$2=28.5,'S3'!AL20,IF($E$2=29.5,'S3'!AM20,IF($E$2=30.5,'S3'!AN20,IF($E$2=31.5,'S3'!AO20,IF($E$2=32.5,'S3'!AP20,IF($E$2=33.5,'S3'!AQ20,IF($E$2=34.5,'S3'!AR20,IF($E$2=35.5,'S3'!AS20))))))))))))))))</f>
        <v>25.5</v>
      </c>
      <c r="F20" s="398">
        <f t="shared" si="0"/>
        <v>35.700000000000003</v>
      </c>
      <c r="H20" s="379" t="s">
        <v>150</v>
      </c>
      <c r="I20" s="409" t="s">
        <v>33</v>
      </c>
      <c r="J20" s="384">
        <v>10.09</v>
      </c>
      <c r="K20" s="384">
        <v>10.66</v>
      </c>
      <c r="L20" s="384">
        <v>10.199999999999999</v>
      </c>
      <c r="M20" s="384">
        <v>10.77</v>
      </c>
      <c r="N20" s="384">
        <v>10.31</v>
      </c>
      <c r="O20" s="384">
        <v>10.88</v>
      </c>
      <c r="P20" s="384">
        <v>10.42</v>
      </c>
      <c r="Q20" s="384">
        <v>10.99</v>
      </c>
      <c r="R20" s="384">
        <v>10.53</v>
      </c>
      <c r="S20" s="384">
        <v>11.1</v>
      </c>
      <c r="T20" s="318">
        <v>10.64</v>
      </c>
      <c r="U20" s="318">
        <v>11.21</v>
      </c>
      <c r="V20" s="318">
        <v>10.27</v>
      </c>
      <c r="W20" s="318">
        <v>11.32</v>
      </c>
      <c r="X20" s="316">
        <v>10.86</v>
      </c>
      <c r="Y20" s="317">
        <v>11.43</v>
      </c>
      <c r="Z20" s="316">
        <v>10.97</v>
      </c>
      <c r="AA20" s="317">
        <v>11.54</v>
      </c>
      <c r="AB20" s="316">
        <v>11.08</v>
      </c>
      <c r="AC20" s="317">
        <v>11.65</v>
      </c>
      <c r="AD20" s="316">
        <v>11.19</v>
      </c>
      <c r="AE20" s="317">
        <v>11.76</v>
      </c>
      <c r="AF20" s="371">
        <v>11.3</v>
      </c>
      <c r="AG20" s="372">
        <v>11.87</v>
      </c>
      <c r="AH20" s="371">
        <v>11.41</v>
      </c>
      <c r="AI20" s="372">
        <v>11.98</v>
      </c>
      <c r="AJ20" s="371">
        <v>11.52</v>
      </c>
      <c r="AK20" s="372">
        <v>12.09</v>
      </c>
      <c r="AL20" s="371">
        <v>11.63</v>
      </c>
      <c r="AM20" s="372">
        <v>12.2</v>
      </c>
      <c r="AN20" s="653">
        <v>11.74</v>
      </c>
      <c r="AO20" s="653">
        <v>12.31</v>
      </c>
      <c r="AP20" s="372">
        <v>11.85</v>
      </c>
      <c r="AQ20" s="372">
        <v>12.42</v>
      </c>
      <c r="AR20" s="373">
        <v>11.96</v>
      </c>
      <c r="AS20" s="373">
        <v>12.53</v>
      </c>
      <c r="AT20" s="373">
        <v>12.07</v>
      </c>
      <c r="AU20" s="373">
        <v>12.64</v>
      </c>
      <c r="AV20" s="373">
        <v>12.18</v>
      </c>
      <c r="AW20" s="373">
        <v>12.75</v>
      </c>
      <c r="AX20" s="373">
        <v>12.29</v>
      </c>
      <c r="AY20" s="373">
        <v>12.86</v>
      </c>
      <c r="AZ20" s="53">
        <v>9.06</v>
      </c>
      <c r="BA20" s="53">
        <v>9.58</v>
      </c>
      <c r="BB20" s="53">
        <v>8.9499999999999993</v>
      </c>
      <c r="BC20" s="53">
        <v>9.4700000000000006</v>
      </c>
      <c r="BD20" s="374">
        <f t="shared" si="1"/>
        <v>11.74</v>
      </c>
      <c r="BE20" s="374">
        <f t="shared" si="2"/>
        <v>12.31</v>
      </c>
      <c r="BF20" s="375">
        <f>IF(ข้อมูล!$P$14=0,BD20,IF(ข้อมูล!$P$14=1,BE20,IF(ข้อมูล!$P$14=2,BE20,)))</f>
        <v>11.74</v>
      </c>
      <c r="BI20" s="418"/>
      <c r="BJ20" s="419"/>
      <c r="BK20" s="420"/>
      <c r="BL20" s="392">
        <v>100</v>
      </c>
      <c r="BM20" s="6">
        <v>20</v>
      </c>
      <c r="BN20" s="33">
        <v>4.4638999999999998</v>
      </c>
      <c r="BO20" s="9">
        <f>-BM3/12*(BM6/100+(BM20+BM7-1)*BM4/100-(BM4+BM6)/100*(BM20+1)/2-(BM7-1))</f>
        <v>1.1666666666666667</v>
      </c>
      <c r="BP20" s="421">
        <v>4.5</v>
      </c>
      <c r="BQ20" s="422">
        <f t="shared" si="5"/>
        <v>1.1013056666666667</v>
      </c>
      <c r="BR20" s="423">
        <f>BR9/100+1</f>
        <v>1.07</v>
      </c>
      <c r="BS20" s="422">
        <f t="shared" si="4"/>
        <v>1.1783970633333334</v>
      </c>
      <c r="BT20" s="47">
        <v>1.1867000000000001</v>
      </c>
      <c r="BU20" s="48">
        <v>1.2058</v>
      </c>
      <c r="BV20" s="405"/>
    </row>
    <row r="21" spans="2:74">
      <c r="B21" s="411">
        <v>17</v>
      </c>
      <c r="C21" s="376">
        <f>IF($C$2=20.5,'S3'!T21,IF($C$2=21.5,'S3'!V21,IF($C$2=22.5,'S3'!A21,IF($C$2=23.5,'S3'!B21,IF($C$2=24.5,'S3'!C21,IF($C$2=25.5,'S3'!C21,IF($C$2=26.5,'S3'!E21,IF($C$2=27.5,'S3'!F21,IF($C$2=28.5,'S3'!G21,IF($C$2=29.5,'S3'!H21,IF($C$2=30.5,'S3'!I21,IF($C$2=31.5,'S3'!J21,IF($C$2=32.5,'S3'!K21,IF($C$2=33.5,'S3'!L21,IF($C$2=34.5,'S3'!M21,IF($C$2=35.5,'S3'!N21))))))))))))))))</f>
        <v>37.369999999999997</v>
      </c>
      <c r="D21" s="398">
        <f t="shared" si="3"/>
        <v>52.32</v>
      </c>
      <c r="E21" s="376">
        <f>IF($E$2=20.5,'S3'!U21,IF($E$2=21.5,'S3'!AE21,IF($E$2=22.5,'S3'!AF21,IF($E$2=23.5,'S3'!AG21,IF($E$2=24.5,'S3'!AH21,IF($E$2=25.5,'S3'!AI21,IF($E$2=26.5,'S3'!AC21,IF($E$2=27.5,'S3'!AK21,IF($E$2=28.5,'S3'!AL21,IF($E$2=29.5,'S3'!AM21,IF($E$2=30.5,'S3'!AN21,IF($E$2=31.5,'S3'!AO21,IF($E$2=32.5,'S3'!AP21,IF($E$2=33.5,'S3'!AQ21,IF($E$2=34.5,'S3'!AR21,IF($E$2=35.5,'S3'!AS21))))))))))))))))</f>
        <v>27.06</v>
      </c>
      <c r="F21" s="398">
        <f t="shared" si="0"/>
        <v>37.880000000000003</v>
      </c>
      <c r="H21" s="379" t="s">
        <v>151</v>
      </c>
      <c r="I21" s="409" t="s">
        <v>92</v>
      </c>
      <c r="J21" s="384">
        <v>221.46</v>
      </c>
      <c r="K21" s="384">
        <v>225.65</v>
      </c>
      <c r="L21" s="384">
        <v>232.24</v>
      </c>
      <c r="M21" s="384">
        <v>236.43</v>
      </c>
      <c r="N21" s="384">
        <v>243.03</v>
      </c>
      <c r="O21" s="384">
        <v>247.22</v>
      </c>
      <c r="P21" s="384">
        <v>253.81</v>
      </c>
      <c r="Q21" s="384">
        <v>258</v>
      </c>
      <c r="R21" s="384">
        <v>264.58999999999997</v>
      </c>
      <c r="S21" s="384">
        <v>268.77999999999997</v>
      </c>
      <c r="T21" s="318">
        <v>275.38</v>
      </c>
      <c r="U21" s="318">
        <v>279.57</v>
      </c>
      <c r="V21" s="318">
        <v>286.16000000000003</v>
      </c>
      <c r="W21" s="318">
        <v>290.35000000000002</v>
      </c>
      <c r="X21" s="316">
        <v>296.94</v>
      </c>
      <c r="Y21" s="317">
        <v>301.13</v>
      </c>
      <c r="Z21" s="316">
        <v>307.73</v>
      </c>
      <c r="AA21" s="317">
        <v>311.92</v>
      </c>
      <c r="AB21" s="316">
        <v>318.51</v>
      </c>
      <c r="AC21" s="317">
        <v>322.7</v>
      </c>
      <c r="AD21" s="316">
        <v>329.29</v>
      </c>
      <c r="AE21" s="317">
        <v>333.48</v>
      </c>
      <c r="AF21" s="371">
        <v>340.08</v>
      </c>
      <c r="AG21" s="372">
        <v>344.27</v>
      </c>
      <c r="AH21" s="371">
        <v>350.86</v>
      </c>
      <c r="AI21" s="372">
        <v>355.05</v>
      </c>
      <c r="AJ21" s="371">
        <v>361.64</v>
      </c>
      <c r="AK21" s="372">
        <v>365.83</v>
      </c>
      <c r="AL21" s="371">
        <v>372.43</v>
      </c>
      <c r="AM21" s="372">
        <v>376.62</v>
      </c>
      <c r="AN21" s="653">
        <v>383.21</v>
      </c>
      <c r="AO21" s="653">
        <v>387.4</v>
      </c>
      <c r="AP21" s="372">
        <v>393.99</v>
      </c>
      <c r="AQ21" s="372">
        <v>398.18</v>
      </c>
      <c r="AR21" s="373">
        <v>404.78</v>
      </c>
      <c r="AS21" s="373">
        <v>408.97</v>
      </c>
      <c r="AT21" s="373">
        <v>415.56</v>
      </c>
      <c r="AU21" s="373">
        <v>419.75</v>
      </c>
      <c r="AV21" s="373">
        <v>426.35</v>
      </c>
      <c r="AW21" s="373">
        <v>430.54</v>
      </c>
      <c r="AX21" s="373">
        <v>437.13</v>
      </c>
      <c r="AY21" s="373">
        <v>441.32</v>
      </c>
      <c r="AZ21" s="53">
        <v>251.54</v>
      </c>
      <c r="BA21" s="53">
        <v>255.73</v>
      </c>
      <c r="BB21" s="53">
        <v>240.76</v>
      </c>
      <c r="BC21" s="53">
        <v>244.95</v>
      </c>
      <c r="BD21" s="374">
        <f t="shared" si="1"/>
        <v>383.21</v>
      </c>
      <c r="BE21" s="374">
        <f t="shared" si="2"/>
        <v>387.4</v>
      </c>
      <c r="BF21" s="375">
        <f>IF(ข้อมูล!$P$14=0,BD21,IF(ข้อมูล!$P$14=1,BE21,IF(ข้อมูล!$P$14=2,BE21,)))</f>
        <v>383.21</v>
      </c>
    </row>
    <row r="22" spans="2:74">
      <c r="B22" s="411">
        <v>18</v>
      </c>
      <c r="C22" s="376">
        <f>IF($C$2=20.5,'S3'!T22,IF($C$2=21.5,'S3'!V22,IF($C$2=22.5,'S3'!A22,IF($C$2=23.5,'S3'!B22,IF($C$2=24.5,'S3'!C22,IF($C$2=25.5,'S3'!C22,IF($C$2=26.5,'S3'!E22,IF($C$2=27.5,'S3'!F22,IF($C$2=28.5,'S3'!G22,IF($C$2=29.5,'S3'!H22,IF($C$2=30.5,'S3'!I22,IF($C$2=31.5,'S3'!J22,IF($C$2=32.5,'S3'!K22,IF($C$2=33.5,'S3'!L22,IF($C$2=34.5,'S3'!M22,IF($C$2=35.5,'S3'!N22))))))))))))))))</f>
        <v>39.51</v>
      </c>
      <c r="D22" s="398">
        <f t="shared" si="3"/>
        <v>55.31</v>
      </c>
      <c r="E22" s="376">
        <f>IF($E$2=20.5,'S3'!U22,IF($E$2=21.5,'S3'!AE22,IF($E$2=22.5,'S3'!AF22,IF($E$2=23.5,'S3'!AG22,IF($E$2=24.5,'S3'!AH22,IF($E$2=25.5,'S3'!AI22,IF($E$2=26.5,'S3'!AC22,IF($E$2=27.5,'S3'!AK22,IF($E$2=28.5,'S3'!AL22,IF($E$2=29.5,'S3'!AM22,IF($E$2=30.5,'S3'!AN22,IF($E$2=31.5,'S3'!AO22,IF($E$2=32.5,'S3'!AP22,IF($E$2=33.5,'S3'!AQ22,IF($E$2=34.5,'S3'!AR22,IF($E$2=35.5,'S3'!AS22))))))))))))))))</f>
        <v>28.61</v>
      </c>
      <c r="F22" s="398">
        <f t="shared" si="0"/>
        <v>40.049999999999997</v>
      </c>
      <c r="H22" s="382" t="s">
        <v>93</v>
      </c>
      <c r="I22" s="383"/>
      <c r="J22" s="384"/>
      <c r="K22" s="384"/>
      <c r="L22" s="384"/>
      <c r="M22" s="384"/>
      <c r="N22" s="384"/>
      <c r="O22" s="384"/>
      <c r="P22" s="384"/>
      <c r="Q22" s="384"/>
      <c r="R22" s="384"/>
      <c r="S22" s="384"/>
      <c r="T22" s="318"/>
      <c r="U22" s="318"/>
      <c r="V22" s="318"/>
      <c r="W22" s="318"/>
      <c r="X22" s="316"/>
      <c r="Y22" s="317"/>
      <c r="Z22" s="316"/>
      <c r="AA22" s="317"/>
      <c r="AB22" s="316"/>
      <c r="AC22" s="317"/>
      <c r="AD22" s="316"/>
      <c r="AE22" s="317"/>
      <c r="AF22" s="371"/>
      <c r="AG22" s="372"/>
      <c r="AH22" s="371"/>
      <c r="AI22" s="372"/>
      <c r="AJ22" s="371"/>
      <c r="AK22" s="372"/>
      <c r="AL22" s="371"/>
      <c r="AM22" s="372"/>
      <c r="AN22" s="653"/>
      <c r="AO22" s="653"/>
      <c r="AP22" s="372"/>
      <c r="AQ22" s="372"/>
      <c r="AR22" s="373"/>
      <c r="AS22" s="373"/>
      <c r="AT22" s="373"/>
      <c r="AU22" s="373"/>
      <c r="AV22" s="373"/>
      <c r="AW22" s="373"/>
      <c r="AX22" s="373"/>
      <c r="AY22" s="373"/>
      <c r="AZ22" s="53"/>
      <c r="BA22" s="53"/>
      <c r="BB22" s="53"/>
      <c r="BC22" s="53"/>
      <c r="BD22" s="374"/>
      <c r="BE22" s="374"/>
      <c r="BF22" s="387"/>
      <c r="BI22" s="424" t="s">
        <v>98</v>
      </c>
      <c r="BJ22" s="425" t="s">
        <v>99</v>
      </c>
      <c r="BK22" s="426" t="s">
        <v>98</v>
      </c>
      <c r="BM22" s="427"/>
    </row>
    <row r="23" spans="2:74">
      <c r="B23" s="411">
        <v>19</v>
      </c>
      <c r="C23" s="376">
        <f>IF($C$2=20.5,'S3'!T23,IF($C$2=21.5,'S3'!V23,IF($C$2=22.5,'S3'!A23,IF($C$2=23.5,'S3'!B23,IF($C$2=24.5,'S3'!C23,IF($C$2=25.5,'S3'!C23,IF($C$2=26.5,'S3'!E23,IF($C$2=27.5,'S3'!F23,IF($C$2=28.5,'S3'!G23,IF($C$2=29.5,'S3'!H23,IF($C$2=30.5,'S3'!I23,IF($C$2=31.5,'S3'!J23,IF($C$2=32.5,'S3'!K23,IF($C$2=33.5,'S3'!L23,IF($C$2=34.5,'S3'!M23,IF($C$2=35.5,'S3'!N23))))))))))))))))</f>
        <v>41.66</v>
      </c>
      <c r="D23" s="398">
        <f t="shared" si="3"/>
        <v>58.32</v>
      </c>
      <c r="E23" s="376">
        <f>IF($E$2=20.5,'S3'!U23,IF($E$2=21.5,'S3'!AE23,IF($E$2=22.5,'S3'!AF23,IF($E$2=23.5,'S3'!AG23,IF($E$2=24.5,'S3'!AH23,IF($E$2=25.5,'S3'!AI23,IF($E$2=26.5,'S3'!AC23,IF($E$2=27.5,'S3'!AK23,IF($E$2=28.5,'S3'!AL23,IF($E$2=29.5,'S3'!AM23,IF($E$2=30.5,'S3'!AN23,IF($E$2=31.5,'S3'!AO23,IF($E$2=32.5,'S3'!AP23,IF($E$2=33.5,'S3'!AQ23,IF($E$2=34.5,'S3'!AR23,IF($E$2=35.5,'S3'!AS23))))))))))))))))</f>
        <v>30.17</v>
      </c>
      <c r="F23" s="398">
        <f t="shared" si="0"/>
        <v>42.24</v>
      </c>
      <c r="H23" s="379" t="s">
        <v>94</v>
      </c>
      <c r="I23" s="409" t="s">
        <v>95</v>
      </c>
      <c r="J23" s="384">
        <v>12.73</v>
      </c>
      <c r="K23" s="384">
        <v>13.28</v>
      </c>
      <c r="L23" s="384">
        <v>12.99</v>
      </c>
      <c r="M23" s="384">
        <v>13.54</v>
      </c>
      <c r="N23" s="384">
        <v>13.25</v>
      </c>
      <c r="O23" s="384">
        <v>13.8</v>
      </c>
      <c r="P23" s="384">
        <v>13.51</v>
      </c>
      <c r="Q23" s="384">
        <v>14.06</v>
      </c>
      <c r="R23" s="384">
        <v>13.77</v>
      </c>
      <c r="S23" s="384">
        <v>14.32</v>
      </c>
      <c r="T23" s="318">
        <v>14.03</v>
      </c>
      <c r="U23" s="318">
        <v>14.58</v>
      </c>
      <c r="V23" s="318">
        <v>14.29</v>
      </c>
      <c r="W23" s="318">
        <v>14.84</v>
      </c>
      <c r="X23" s="320">
        <v>14.55</v>
      </c>
      <c r="Y23" s="320">
        <v>15.1</v>
      </c>
      <c r="Z23" s="320">
        <v>14.81</v>
      </c>
      <c r="AA23" s="320">
        <v>15.36</v>
      </c>
      <c r="AB23" s="320">
        <v>15.07</v>
      </c>
      <c r="AC23" s="320">
        <v>15.62</v>
      </c>
      <c r="AD23" s="320">
        <v>15.33</v>
      </c>
      <c r="AE23" s="320">
        <v>15.88</v>
      </c>
      <c r="AF23" s="413">
        <v>15.59</v>
      </c>
      <c r="AG23" s="413">
        <v>16.14</v>
      </c>
      <c r="AH23" s="413">
        <v>14.97</v>
      </c>
      <c r="AI23" s="413">
        <v>15.46</v>
      </c>
      <c r="AJ23" s="413">
        <v>15.23</v>
      </c>
      <c r="AK23" s="413">
        <v>15.72</v>
      </c>
      <c r="AL23" s="413">
        <v>15.49</v>
      </c>
      <c r="AM23" s="413">
        <v>15.98</v>
      </c>
      <c r="AN23" s="655">
        <v>15.75</v>
      </c>
      <c r="AO23" s="655">
        <v>16.239999999999998</v>
      </c>
      <c r="AP23" s="413">
        <v>16.010000000000002</v>
      </c>
      <c r="AQ23" s="413">
        <v>16.5</v>
      </c>
      <c r="AR23" s="414">
        <v>16.27</v>
      </c>
      <c r="AS23" s="414">
        <v>16.760000000000002</v>
      </c>
      <c r="AT23" s="414">
        <v>16.53</v>
      </c>
      <c r="AU23" s="414">
        <v>17.02</v>
      </c>
      <c r="AV23" s="414">
        <v>16.79</v>
      </c>
      <c r="AW23" s="414">
        <v>17.28</v>
      </c>
      <c r="AX23" s="414">
        <v>17.05</v>
      </c>
      <c r="AY23" s="414">
        <v>17.54</v>
      </c>
      <c r="AZ23" s="55">
        <v>11.62</v>
      </c>
      <c r="BA23" s="55">
        <v>12.1</v>
      </c>
      <c r="BB23" s="55">
        <v>11.36</v>
      </c>
      <c r="BC23" s="55">
        <v>11.84</v>
      </c>
      <c r="BD23" s="374">
        <f t="shared" si="1"/>
        <v>15.75</v>
      </c>
      <c r="BE23" s="374">
        <f t="shared" si="2"/>
        <v>16.239999999999998</v>
      </c>
      <c r="BF23" s="375">
        <f>IF(ข้อมูล!$P$14=0,BD23,IF(ข้อมูล!$P$14=1,BE23,IF(ข้อมูล!$P$14=2,BE23,)))</f>
        <v>15.75</v>
      </c>
      <c r="BI23" s="428">
        <f>ข้อมูล!$F$114</f>
        <v>4</v>
      </c>
      <c r="BJ23" s="400">
        <v>30</v>
      </c>
      <c r="BK23" s="429">
        <v>0.8</v>
      </c>
      <c r="BL23" s="430"/>
    </row>
    <row r="24" spans="2:74">
      <c r="B24" s="411">
        <v>20</v>
      </c>
      <c r="C24" s="376">
        <f>IF($C$2=20.5,'S3'!T24,IF($C$2=21.5,'S3'!V24,IF($C$2=22.5,'S3'!A24,IF($C$2=23.5,'S3'!B24,IF($C$2=24.5,'S3'!C24,IF($C$2=25.5,'S3'!C24,IF($C$2=26.5,'S3'!E24,IF($C$2=27.5,'S3'!F24,IF($C$2=28.5,'S3'!G24,IF($C$2=29.5,'S3'!H24,IF($C$2=30.5,'S3'!I24,IF($C$2=31.5,'S3'!J24,IF($C$2=32.5,'S3'!K24,IF($C$2=33.5,'S3'!L24,IF($C$2=34.5,'S3'!M24,IF($C$2=35.5,'S3'!N24))))))))))))))))</f>
        <v>43.8</v>
      </c>
      <c r="D24" s="398">
        <f t="shared" si="3"/>
        <v>61.32</v>
      </c>
      <c r="E24" s="376">
        <f>IF($E$2=20.5,'S3'!U24,IF($E$2=21.5,'S3'!AE24,IF($E$2=22.5,'S3'!AF24,IF($E$2=23.5,'S3'!AG24,IF($E$2=24.5,'S3'!AH24,IF($E$2=25.5,'S3'!AI24,IF($E$2=26.5,'S3'!AC24,IF($E$2=27.5,'S3'!AK24,IF($E$2=28.5,'S3'!AL24,IF($E$2=29.5,'S3'!AM24,IF($E$2=30.5,'S3'!AN24,IF($E$2=31.5,'S3'!AO24,IF($E$2=32.5,'S3'!AP24,IF($E$2=33.5,'S3'!AQ24,IF($E$2=34.5,'S3'!AR24,IF($E$2=35.5,'S3'!AS24))))))))))))))))</f>
        <v>31.72</v>
      </c>
      <c r="F24" s="398">
        <f t="shared" si="0"/>
        <v>44.41</v>
      </c>
      <c r="H24" s="379" t="s">
        <v>96</v>
      </c>
      <c r="I24" s="409" t="s">
        <v>95</v>
      </c>
      <c r="J24" s="384">
        <v>2.09</v>
      </c>
      <c r="K24" s="384">
        <v>2.19</v>
      </c>
      <c r="L24" s="384">
        <v>2.13</v>
      </c>
      <c r="M24" s="384">
        <v>2.23</v>
      </c>
      <c r="N24" s="384">
        <v>2.1800000000000002</v>
      </c>
      <c r="O24" s="384">
        <v>2.2799999999999998</v>
      </c>
      <c r="P24" s="384">
        <v>2.2200000000000002</v>
      </c>
      <c r="Q24" s="384">
        <v>2.3199999999999998</v>
      </c>
      <c r="R24" s="384">
        <v>2.2599999999999998</v>
      </c>
      <c r="S24" s="384">
        <v>2.36</v>
      </c>
      <c r="T24" s="318">
        <v>2.31</v>
      </c>
      <c r="U24" s="318">
        <v>2.41</v>
      </c>
      <c r="V24" s="318">
        <v>2.35</v>
      </c>
      <c r="W24" s="318">
        <v>2.4500000000000002</v>
      </c>
      <c r="X24" s="320">
        <v>2.4</v>
      </c>
      <c r="Y24" s="320">
        <v>2.5</v>
      </c>
      <c r="Z24" s="320">
        <v>2.44</v>
      </c>
      <c r="AA24" s="320">
        <v>2.54</v>
      </c>
      <c r="AB24" s="320">
        <v>2.48</v>
      </c>
      <c r="AC24" s="320">
        <v>2.58</v>
      </c>
      <c r="AD24" s="320">
        <v>2.5299999999999998</v>
      </c>
      <c r="AE24" s="320">
        <v>2.63</v>
      </c>
      <c r="AF24" s="413">
        <v>2.57</v>
      </c>
      <c r="AG24" s="413">
        <v>2.67</v>
      </c>
      <c r="AH24" s="413">
        <v>2.62</v>
      </c>
      <c r="AI24" s="413">
        <v>2.72</v>
      </c>
      <c r="AJ24" s="413">
        <v>2.66</v>
      </c>
      <c r="AK24" s="413">
        <v>2.76</v>
      </c>
      <c r="AL24" s="413">
        <v>2.7</v>
      </c>
      <c r="AM24" s="413">
        <v>2.8</v>
      </c>
      <c r="AN24" s="655">
        <v>2.75</v>
      </c>
      <c r="AO24" s="655">
        <v>2.85</v>
      </c>
      <c r="AP24" s="413">
        <v>2.79</v>
      </c>
      <c r="AQ24" s="413">
        <v>2.89</v>
      </c>
      <c r="AR24" s="414">
        <v>2.84</v>
      </c>
      <c r="AS24" s="414">
        <v>2.94</v>
      </c>
      <c r="AT24" s="414">
        <v>2.88</v>
      </c>
      <c r="AU24" s="414">
        <v>2.98</v>
      </c>
      <c r="AV24" s="414">
        <v>2.92</v>
      </c>
      <c r="AW24" s="414">
        <v>3.02</v>
      </c>
      <c r="AX24" s="414">
        <v>2.97</v>
      </c>
      <c r="AY24" s="414">
        <v>3.07</v>
      </c>
      <c r="AZ24" s="55">
        <v>2.0099999999999998</v>
      </c>
      <c r="BA24" s="55">
        <v>2.1</v>
      </c>
      <c r="BB24" s="55">
        <v>1.97</v>
      </c>
      <c r="BC24" s="55">
        <v>2.06</v>
      </c>
      <c r="BD24" s="374">
        <f t="shared" si="1"/>
        <v>2.75</v>
      </c>
      <c r="BE24" s="374">
        <f t="shared" si="2"/>
        <v>2.85</v>
      </c>
      <c r="BF24" s="375">
        <f>IF(ข้อมูล!$P$14=0,BD24,IF(ข้อมูล!$P$14=1,BE24,IF(ข้อมูล!$P$14=2,BE24,)))</f>
        <v>2.75</v>
      </c>
      <c r="BI24" s="400">
        <f>BI23*10</f>
        <v>40</v>
      </c>
      <c r="BJ24" s="400">
        <v>40</v>
      </c>
      <c r="BK24" s="429">
        <v>0.9</v>
      </c>
    </row>
    <row r="25" spans="2:74">
      <c r="B25" s="411">
        <v>21</v>
      </c>
      <c r="C25" s="376">
        <f>IF($C$2=20.5,'S3'!T25,IF($C$2=21.5,'S3'!V25,IF($C$2=22.5,'S3'!A25,IF($C$2=23.5,'S3'!B25,IF($C$2=24.5,'S3'!C25,IF($C$2=25.5,'S3'!C25,IF($C$2=26.5,'S3'!E25,IF($C$2=27.5,'S3'!F25,IF($C$2=28.5,'S3'!G25,IF($C$2=29.5,'S3'!H25,IF($C$2=30.5,'S3'!I25,IF($C$2=31.5,'S3'!J25,IF($C$2=32.5,'S3'!K25,IF($C$2=33.5,'S3'!L25,IF($C$2=34.5,'S3'!M25,IF($C$2=35.5,'S3'!N25))))))))))))))))</f>
        <v>45.94</v>
      </c>
      <c r="D25" s="398">
        <f t="shared" si="3"/>
        <v>64.319999999999993</v>
      </c>
      <c r="E25" s="376">
        <f>IF($E$2=20.5,'S3'!U25,IF($E$2=21.5,'S3'!AE25,IF($E$2=22.5,'S3'!AF25,IF($E$2=23.5,'S3'!AG25,IF($E$2=24.5,'S3'!AH25,IF($E$2=25.5,'S3'!AI25,IF($E$2=26.5,'S3'!AC25,IF($E$2=27.5,'S3'!AK25,IF($E$2=28.5,'S3'!AL25,IF($E$2=29.5,'S3'!AM25,IF($E$2=30.5,'S3'!AN25,IF($E$2=31.5,'S3'!AO25,IF($E$2=32.5,'S3'!AP25,IF($E$2=33.5,'S3'!AQ25,IF($E$2=34.5,'S3'!AR25,IF($E$2=35.5,'S3'!AS25))))))))))))))))</f>
        <v>33.28</v>
      </c>
      <c r="F25" s="398">
        <f t="shared" si="0"/>
        <v>46.59</v>
      </c>
      <c r="H25" s="379" t="s">
        <v>97</v>
      </c>
      <c r="I25" s="409" t="s">
        <v>95</v>
      </c>
      <c r="J25" s="384">
        <v>9.7799999999999994</v>
      </c>
      <c r="K25" s="384">
        <v>10.27</v>
      </c>
      <c r="L25" s="384">
        <v>9.93</v>
      </c>
      <c r="M25" s="384">
        <v>10.45</v>
      </c>
      <c r="N25" s="384">
        <v>10.1</v>
      </c>
      <c r="O25" s="384">
        <v>10.62</v>
      </c>
      <c r="P25" s="384">
        <v>10.27</v>
      </c>
      <c r="Q25" s="384">
        <v>10.79</v>
      </c>
      <c r="R25" s="384">
        <v>10.44</v>
      </c>
      <c r="S25" s="384">
        <v>10.96</v>
      </c>
      <c r="T25" s="318">
        <v>10.62</v>
      </c>
      <c r="U25" s="318">
        <v>11.14</v>
      </c>
      <c r="V25" s="318">
        <v>10.79</v>
      </c>
      <c r="W25" s="318">
        <v>11.31</v>
      </c>
      <c r="X25" s="320">
        <v>10.96</v>
      </c>
      <c r="Y25" s="320">
        <v>11.48</v>
      </c>
      <c r="Z25" s="320">
        <v>11.13</v>
      </c>
      <c r="AA25" s="320">
        <v>11.65</v>
      </c>
      <c r="AB25" s="320">
        <v>11.31</v>
      </c>
      <c r="AC25" s="320">
        <v>11.83</v>
      </c>
      <c r="AD25" s="320">
        <v>11.48</v>
      </c>
      <c r="AE25" s="320">
        <v>12</v>
      </c>
      <c r="AF25" s="413">
        <v>11.65</v>
      </c>
      <c r="AG25" s="413">
        <v>12.17</v>
      </c>
      <c r="AH25" s="413">
        <v>11.83</v>
      </c>
      <c r="AI25" s="413">
        <v>12.35</v>
      </c>
      <c r="AJ25" s="413">
        <v>12</v>
      </c>
      <c r="AK25" s="413">
        <v>12.52</v>
      </c>
      <c r="AL25" s="413">
        <v>12.17</v>
      </c>
      <c r="AM25" s="413">
        <v>12.69</v>
      </c>
      <c r="AN25" s="655">
        <v>12.34</v>
      </c>
      <c r="AO25" s="655">
        <v>12.86</v>
      </c>
      <c r="AP25" s="413">
        <v>12.52</v>
      </c>
      <c r="AQ25" s="413">
        <v>13.04</v>
      </c>
      <c r="AR25" s="414">
        <v>12.69</v>
      </c>
      <c r="AS25" s="414">
        <v>13.21</v>
      </c>
      <c r="AT25" s="414">
        <v>12.86</v>
      </c>
      <c r="AU25" s="414">
        <v>13.38</v>
      </c>
      <c r="AV25" s="414">
        <v>13.03</v>
      </c>
      <c r="AW25" s="414">
        <v>13.55</v>
      </c>
      <c r="AX25" s="414">
        <v>13.21</v>
      </c>
      <c r="AY25" s="414">
        <v>13.73</v>
      </c>
      <c r="AZ25" s="55">
        <v>9.25</v>
      </c>
      <c r="BA25" s="55">
        <v>9.73</v>
      </c>
      <c r="BB25" s="55">
        <v>9.08</v>
      </c>
      <c r="BC25" s="55">
        <v>9.56</v>
      </c>
      <c r="BD25" s="374">
        <f t="shared" si="1"/>
        <v>12.34</v>
      </c>
      <c r="BE25" s="374">
        <f t="shared" si="2"/>
        <v>12.86</v>
      </c>
      <c r="BF25" s="375">
        <f>IF(ข้อมูล!$P$14=0,BD25,IF(ข้อมูล!$P$14=1,BE25,IF(ข้อมูล!$P$14=2,BE25,)))</f>
        <v>12.34</v>
      </c>
      <c r="BI25" s="400">
        <f>VLOOKUP(BI24,BJ23:BK28,2)</f>
        <v>0.9</v>
      </c>
      <c r="BJ25" s="400">
        <v>50</v>
      </c>
      <c r="BK25" s="429">
        <v>1</v>
      </c>
    </row>
    <row r="26" spans="2:74">
      <c r="B26" s="411">
        <v>22</v>
      </c>
      <c r="C26" s="376">
        <f>IF($C$2=20.5,'S3'!T26,IF($C$2=21.5,'S3'!V26,IF($C$2=22.5,'S3'!A26,IF($C$2=23.5,'S3'!B26,IF($C$2=24.5,'S3'!C26,IF($C$2=25.5,'S3'!C26,IF($C$2=26.5,'S3'!E26,IF($C$2=27.5,'S3'!F26,IF($C$2=28.5,'S3'!G26,IF($C$2=29.5,'S3'!H26,IF($C$2=30.5,'S3'!I26,IF($C$2=31.5,'S3'!J26,IF($C$2=32.5,'S3'!K26,IF($C$2=33.5,'S3'!L26,IF($C$2=34.5,'S3'!M26,IF($C$2=35.5,'S3'!N26))))))))))))))))</f>
        <v>48.09</v>
      </c>
      <c r="D26" s="398">
        <f t="shared" si="3"/>
        <v>67.33</v>
      </c>
      <c r="E26" s="376">
        <f>IF($E$2=20.5,'S3'!U26,IF($E$2=21.5,'S3'!AE26,IF($E$2=22.5,'S3'!AF26,IF($E$2=23.5,'S3'!AG26,IF($E$2=24.5,'S3'!AH26,IF($E$2=25.5,'S3'!AI26,IF($E$2=26.5,'S3'!AC26,IF($E$2=27.5,'S3'!AK26,IF($E$2=28.5,'S3'!AL26,IF($E$2=29.5,'S3'!AM26,IF($E$2=30.5,'S3'!AN26,IF($E$2=31.5,'S3'!AO26,IF($E$2=32.5,'S3'!AP26,IF($E$2=33.5,'S3'!AQ26,IF($E$2=34.5,'S3'!AR26,IF($E$2=35.5,'S3'!AS26))))))))))))))))</f>
        <v>34.83</v>
      </c>
      <c r="F26" s="398">
        <f t="shared" si="0"/>
        <v>48.76</v>
      </c>
      <c r="H26" s="382" t="s">
        <v>155</v>
      </c>
      <c r="I26" s="383"/>
      <c r="J26" s="384"/>
      <c r="K26" s="384"/>
      <c r="L26" s="384"/>
      <c r="M26" s="384"/>
      <c r="N26" s="384"/>
      <c r="O26" s="384"/>
      <c r="P26" s="384"/>
      <c r="Q26" s="384"/>
      <c r="R26" s="384"/>
      <c r="S26" s="384"/>
      <c r="T26" s="318"/>
      <c r="U26" s="318"/>
      <c r="V26" s="318"/>
      <c r="W26" s="318"/>
      <c r="X26" s="316"/>
      <c r="Y26" s="317"/>
      <c r="Z26" s="316"/>
      <c r="AA26" s="317"/>
      <c r="AB26" s="316"/>
      <c r="AC26" s="317"/>
      <c r="AD26" s="316"/>
      <c r="AE26" s="317"/>
      <c r="AF26" s="371"/>
      <c r="AG26" s="372"/>
      <c r="AH26" s="371"/>
      <c r="AI26" s="372"/>
      <c r="AJ26" s="371"/>
      <c r="AK26" s="372"/>
      <c r="AL26" s="371"/>
      <c r="AM26" s="372"/>
      <c r="AN26" s="653"/>
      <c r="AO26" s="653"/>
      <c r="AP26" s="372"/>
      <c r="AQ26" s="372"/>
      <c r="AR26" s="373"/>
      <c r="AS26" s="373"/>
      <c r="AT26" s="373"/>
      <c r="AU26" s="373"/>
      <c r="AV26" s="373"/>
      <c r="AW26" s="373"/>
      <c r="AX26" s="373"/>
      <c r="AY26" s="373"/>
      <c r="AZ26" s="53"/>
      <c r="BA26" s="53"/>
      <c r="BB26" s="53"/>
      <c r="BC26" s="53"/>
      <c r="BD26" s="374"/>
      <c r="BE26" s="374"/>
      <c r="BF26" s="387"/>
      <c r="BI26" s="400"/>
      <c r="BJ26" s="400">
        <v>60</v>
      </c>
      <c r="BK26" s="429">
        <v>1.6</v>
      </c>
    </row>
    <row r="27" spans="2:74">
      <c r="B27" s="411">
        <v>23</v>
      </c>
      <c r="C27" s="376">
        <f>IF($C$2=20.5,'S3'!T27,IF($C$2=21.5,'S3'!V27,IF($C$2=22.5,'S3'!A27,IF($C$2=23.5,'S3'!B27,IF($C$2=24.5,'S3'!C27,IF($C$2=25.5,'S3'!C27,IF($C$2=26.5,'S3'!E27,IF($C$2=27.5,'S3'!F27,IF($C$2=28.5,'S3'!G27,IF($C$2=29.5,'S3'!H27,IF($C$2=30.5,'S3'!I27,IF($C$2=31.5,'S3'!J27,IF($C$2=32.5,'S3'!K27,IF($C$2=33.5,'S3'!L27,IF($C$2=34.5,'S3'!M27,IF($C$2=35.5,'S3'!N27))))))))))))))))</f>
        <v>50.22</v>
      </c>
      <c r="D27" s="398">
        <f t="shared" si="3"/>
        <v>70.31</v>
      </c>
      <c r="E27" s="376">
        <f>IF($E$2=20.5,'S3'!U27,IF($E$2=21.5,'S3'!AE27,IF($E$2=22.5,'S3'!AF27,IF($E$2=23.5,'S3'!AG27,IF($E$2=24.5,'S3'!AH27,IF($E$2=25.5,'S3'!AI27,IF($E$2=26.5,'S3'!AC27,IF($E$2=27.5,'S3'!AK27,IF($E$2=28.5,'S3'!AL27,IF($E$2=29.5,'S3'!AM27,IF($E$2=30.5,'S3'!AN27,IF($E$2=31.5,'S3'!AO27,IF($E$2=32.5,'S3'!AP27,IF($E$2=33.5,'S3'!AQ27,IF($E$2=34.5,'S3'!AR27,IF($E$2=35.5,'S3'!AS27))))))))))))))))</f>
        <v>36.39</v>
      </c>
      <c r="F27" s="398">
        <f t="shared" si="0"/>
        <v>50.95</v>
      </c>
      <c r="H27" s="379" t="s">
        <v>156</v>
      </c>
      <c r="I27" s="409" t="s">
        <v>95</v>
      </c>
      <c r="J27" s="384">
        <v>33.340000000000003</v>
      </c>
      <c r="K27" s="384">
        <v>35.19</v>
      </c>
      <c r="L27" s="384">
        <v>33.51</v>
      </c>
      <c r="M27" s="384">
        <v>35.36</v>
      </c>
      <c r="N27" s="384">
        <v>33.69</v>
      </c>
      <c r="O27" s="384">
        <v>35.54</v>
      </c>
      <c r="P27" s="384">
        <v>33.869999999999997</v>
      </c>
      <c r="Q27" s="384">
        <v>35.72</v>
      </c>
      <c r="R27" s="384">
        <v>34.049999999999997</v>
      </c>
      <c r="S27" s="384">
        <v>35.9</v>
      </c>
      <c r="T27" s="318">
        <v>34.22</v>
      </c>
      <c r="U27" s="318">
        <v>36.07</v>
      </c>
      <c r="V27" s="318">
        <v>34.4</v>
      </c>
      <c r="W27" s="318">
        <v>36.25</v>
      </c>
      <c r="X27" s="320">
        <v>34.58</v>
      </c>
      <c r="Y27" s="320">
        <v>36.43</v>
      </c>
      <c r="Z27" s="320">
        <v>34.76</v>
      </c>
      <c r="AA27" s="320">
        <v>36.61</v>
      </c>
      <c r="AB27" s="320">
        <v>34.93</v>
      </c>
      <c r="AC27" s="320">
        <v>36.78</v>
      </c>
      <c r="AD27" s="320">
        <v>35.11</v>
      </c>
      <c r="AE27" s="320">
        <v>36.96</v>
      </c>
      <c r="AF27" s="413">
        <v>35.29</v>
      </c>
      <c r="AG27" s="413">
        <v>37.14</v>
      </c>
      <c r="AH27" s="413">
        <v>35.47</v>
      </c>
      <c r="AI27" s="413">
        <v>37.32</v>
      </c>
      <c r="AJ27" s="413">
        <v>35.64</v>
      </c>
      <c r="AK27" s="413">
        <v>37.49</v>
      </c>
      <c r="AL27" s="413">
        <v>35.82</v>
      </c>
      <c r="AM27" s="413">
        <v>37.67</v>
      </c>
      <c r="AN27" s="655">
        <v>36</v>
      </c>
      <c r="AO27" s="655">
        <v>37.85</v>
      </c>
      <c r="AP27" s="413">
        <v>36.18</v>
      </c>
      <c r="AQ27" s="413">
        <v>38.03</v>
      </c>
      <c r="AR27" s="414">
        <v>36.35</v>
      </c>
      <c r="AS27" s="414">
        <v>38.200000000000003</v>
      </c>
      <c r="AT27" s="414">
        <v>36.53</v>
      </c>
      <c r="AU27" s="414">
        <v>38.380000000000003</v>
      </c>
      <c r="AV27" s="414">
        <v>36.71</v>
      </c>
      <c r="AW27" s="414">
        <v>38.56</v>
      </c>
      <c r="AX27" s="414">
        <v>36.89</v>
      </c>
      <c r="AY27" s="414">
        <v>38.74</v>
      </c>
      <c r="AZ27" s="55">
        <v>40.74</v>
      </c>
      <c r="BA27" s="55">
        <v>44.09</v>
      </c>
      <c r="BB27" s="55">
        <v>40.56</v>
      </c>
      <c r="BC27" s="55">
        <v>43.91</v>
      </c>
      <c r="BD27" s="374">
        <f t="shared" si="1"/>
        <v>36</v>
      </c>
      <c r="BE27" s="374">
        <f t="shared" si="2"/>
        <v>37.85</v>
      </c>
      <c r="BF27" s="375">
        <f>IF(ข้อมูล!$P$14=0,BD27,IF(ข้อมูล!$P$14=1,BE27,IF(ข้อมูล!$P$14=2,BE27,)))</f>
        <v>36</v>
      </c>
      <c r="BI27" s="400"/>
      <c r="BJ27" s="400">
        <v>70</v>
      </c>
      <c r="BK27" s="429">
        <v>1.7</v>
      </c>
    </row>
    <row r="28" spans="2:74">
      <c r="B28" s="411">
        <v>24</v>
      </c>
      <c r="C28" s="376">
        <f>IF($C$2=20.5,'S3'!T28,IF($C$2=21.5,'S3'!V28,IF($C$2=22.5,'S3'!A28,IF($C$2=23.5,'S3'!B28,IF($C$2=24.5,'S3'!C28,IF($C$2=25.5,'S3'!C28,IF($C$2=26.5,'S3'!E28,IF($C$2=27.5,'S3'!F28,IF($C$2=28.5,'S3'!G28,IF($C$2=29.5,'S3'!H28,IF($C$2=30.5,'S3'!I28,IF($C$2=31.5,'S3'!J28,IF($C$2=32.5,'S3'!K28,IF($C$2=33.5,'S3'!L28,IF($C$2=34.5,'S3'!M28,IF($C$2=35.5,'S3'!N28))))))))))))))))</f>
        <v>52.37</v>
      </c>
      <c r="D28" s="398">
        <f t="shared" si="3"/>
        <v>73.319999999999993</v>
      </c>
      <c r="E28" s="376">
        <f>IF($E$2=20.5,'S3'!U28,IF($E$2=21.5,'S3'!AE28,IF($E$2=22.5,'S3'!AF28,IF($E$2=23.5,'S3'!AG28,IF($E$2=24.5,'S3'!AH28,IF($E$2=25.5,'S3'!AI28,IF($E$2=26.5,'S3'!AC28,IF($E$2=27.5,'S3'!AK28,IF($E$2=28.5,'S3'!AL28,IF($E$2=29.5,'S3'!AM28,IF($E$2=30.5,'S3'!AN28,IF($E$2=31.5,'S3'!AO28,IF($E$2=32.5,'S3'!AP28,IF($E$2=33.5,'S3'!AQ28,IF($E$2=34.5,'S3'!AR28,IF($E$2=35.5,'S3'!AS28))))))))))))))))</f>
        <v>37.94</v>
      </c>
      <c r="F28" s="398">
        <f t="shared" si="0"/>
        <v>53.12</v>
      </c>
      <c r="H28" s="431" t="s">
        <v>158</v>
      </c>
      <c r="I28" s="379"/>
      <c r="J28" s="384"/>
      <c r="K28" s="384"/>
      <c r="L28" s="384"/>
      <c r="M28" s="384"/>
      <c r="N28" s="384"/>
      <c r="O28" s="384"/>
      <c r="P28" s="384"/>
      <c r="Q28" s="384"/>
      <c r="R28" s="384"/>
      <c r="S28" s="384"/>
      <c r="T28" s="318"/>
      <c r="U28" s="318"/>
      <c r="V28" s="318"/>
      <c r="W28" s="318"/>
      <c r="X28" s="321"/>
      <c r="Y28" s="321"/>
      <c r="Z28" s="321"/>
      <c r="AA28" s="321"/>
      <c r="AB28" s="321"/>
      <c r="AC28" s="321"/>
      <c r="AD28" s="321"/>
      <c r="AE28" s="321"/>
      <c r="AF28" s="387"/>
      <c r="AG28" s="387"/>
      <c r="AH28" s="387"/>
      <c r="AI28" s="387"/>
      <c r="AJ28" s="387"/>
      <c r="AK28" s="387"/>
      <c r="AL28" s="387"/>
      <c r="AM28" s="387"/>
      <c r="AN28" s="656"/>
      <c r="AO28" s="656"/>
      <c r="AP28" s="387"/>
      <c r="AQ28" s="387"/>
      <c r="AR28" s="432"/>
      <c r="AS28" s="432"/>
      <c r="AT28" s="432"/>
      <c r="AU28" s="432"/>
      <c r="AV28" s="432"/>
      <c r="AW28" s="432"/>
      <c r="AX28" s="432"/>
      <c r="AY28" s="432"/>
      <c r="AZ28" s="433"/>
      <c r="BA28" s="433"/>
      <c r="BB28" s="433"/>
      <c r="BC28" s="433"/>
      <c r="BD28" s="374"/>
      <c r="BE28" s="374"/>
      <c r="BF28" s="387"/>
      <c r="BI28" s="434"/>
      <c r="BJ28" s="435">
        <v>80</v>
      </c>
      <c r="BK28" s="436">
        <v>1.8</v>
      </c>
    </row>
    <row r="29" spans="2:74">
      <c r="B29" s="411">
        <v>25</v>
      </c>
      <c r="C29" s="376">
        <f>IF($C$2=20.5,'S3'!T29,IF($C$2=21.5,'S3'!V29,IF($C$2=22.5,'S3'!A29,IF($C$2=23.5,'S3'!B29,IF($C$2=24.5,'S3'!C29,IF($C$2=25.5,'S3'!C29,IF($C$2=26.5,'S3'!E29,IF($C$2=27.5,'S3'!F29,IF($C$2=28.5,'S3'!G29,IF($C$2=29.5,'S3'!H29,IF($C$2=30.5,'S3'!I29,IF($C$2=31.5,'S3'!J29,IF($C$2=32.5,'S3'!K29,IF($C$2=33.5,'S3'!L29,IF($C$2=34.5,'S3'!M29,IF($C$2=35.5,'S3'!N29))))))))))))))))</f>
        <v>54.52</v>
      </c>
      <c r="D29" s="398">
        <f t="shared" si="3"/>
        <v>76.33</v>
      </c>
      <c r="E29" s="376">
        <f>IF($E$2=20.5,'S3'!U29,IF($E$2=21.5,'S3'!AE29,IF($E$2=22.5,'S3'!AF29,IF($E$2=23.5,'S3'!AG29,IF($E$2=24.5,'S3'!AH29,IF($E$2=25.5,'S3'!AI29,IF($E$2=26.5,'S3'!AC29,IF($E$2=27.5,'S3'!AK29,IF($E$2=28.5,'S3'!AL29,IF($E$2=29.5,'S3'!AM29,IF($E$2=30.5,'S3'!AN29,IF($E$2=31.5,'S3'!AO29,IF($E$2=32.5,'S3'!AP29,IF($E$2=33.5,'S3'!AQ29,IF($E$2=34.5,'S3'!AR29,IF($E$2=35.5,'S3'!AS29))))))))))))))))</f>
        <v>39.5</v>
      </c>
      <c r="F29" s="398">
        <f t="shared" si="0"/>
        <v>55.3</v>
      </c>
      <c r="H29" s="437" t="s">
        <v>159</v>
      </c>
      <c r="I29" s="409" t="s">
        <v>95</v>
      </c>
      <c r="J29" s="384">
        <v>3.18</v>
      </c>
      <c r="K29" s="384">
        <v>3.32</v>
      </c>
      <c r="L29" s="384">
        <v>3.21</v>
      </c>
      <c r="M29" s="384">
        <v>3.35</v>
      </c>
      <c r="N29" s="384">
        <v>3.25</v>
      </c>
      <c r="O29" s="384">
        <v>3.39</v>
      </c>
      <c r="P29" s="384">
        <v>3.28</v>
      </c>
      <c r="Q29" s="384">
        <v>3.42</v>
      </c>
      <c r="R29" s="384">
        <v>3.31</v>
      </c>
      <c r="S29" s="384">
        <v>3.45</v>
      </c>
      <c r="T29" s="318">
        <v>3.34</v>
      </c>
      <c r="U29" s="318">
        <v>3.48</v>
      </c>
      <c r="V29" s="318">
        <v>3.38</v>
      </c>
      <c r="W29" s="318">
        <v>3.52</v>
      </c>
      <c r="X29" s="322">
        <v>3.41</v>
      </c>
      <c r="Y29" s="322">
        <v>3.55</v>
      </c>
      <c r="Z29" s="322">
        <v>3.44</v>
      </c>
      <c r="AA29" s="323">
        <v>3.58</v>
      </c>
      <c r="AB29" s="322">
        <v>3.47</v>
      </c>
      <c r="AC29" s="322">
        <v>3.61</v>
      </c>
      <c r="AD29" s="323">
        <v>3.5</v>
      </c>
      <c r="AE29" s="322">
        <v>3.64</v>
      </c>
      <c r="AF29" s="437">
        <v>3.54</v>
      </c>
      <c r="AG29" s="437">
        <v>3.68</v>
      </c>
      <c r="AH29" s="438">
        <v>3.57</v>
      </c>
      <c r="AI29" s="437">
        <v>3.71</v>
      </c>
      <c r="AJ29" s="437">
        <v>3.6</v>
      </c>
      <c r="AK29" s="437">
        <v>3.74</v>
      </c>
      <c r="AL29" s="437">
        <v>3.63</v>
      </c>
      <c r="AM29" s="437">
        <v>3.77</v>
      </c>
      <c r="AN29" s="657">
        <v>3.67</v>
      </c>
      <c r="AO29" s="658">
        <v>3.81</v>
      </c>
      <c r="AP29" s="438">
        <v>3.7</v>
      </c>
      <c r="AQ29" s="437">
        <v>3.84</v>
      </c>
      <c r="AR29" s="439">
        <v>3.73</v>
      </c>
      <c r="AS29" s="439">
        <v>3.87</v>
      </c>
      <c r="AT29" s="440">
        <v>3.76</v>
      </c>
      <c r="AU29" s="440">
        <v>3.9</v>
      </c>
      <c r="AV29" s="439">
        <v>3.79</v>
      </c>
      <c r="AW29" s="439">
        <v>3.93</v>
      </c>
      <c r="AX29" s="439">
        <v>3.83</v>
      </c>
      <c r="AY29" s="439">
        <v>3.97</v>
      </c>
      <c r="AZ29" s="441">
        <v>2.71</v>
      </c>
      <c r="BA29" s="441">
        <v>2.83</v>
      </c>
      <c r="BB29" s="441">
        <v>2.68</v>
      </c>
      <c r="BC29" s="441">
        <v>2.8</v>
      </c>
      <c r="BD29" s="374">
        <f t="shared" si="1"/>
        <v>3.67</v>
      </c>
      <c r="BE29" s="374">
        <f t="shared" si="2"/>
        <v>3.81</v>
      </c>
      <c r="BF29" s="375">
        <f>IF(ข้อมูล!$P$14=0,BD29,IF(ข้อมูล!$P$14=1,BE29,IF(ข้อมูล!$P$14=2,BE29,)))</f>
        <v>3.67</v>
      </c>
    </row>
    <row r="30" spans="2:74" ht="21" thickBot="1">
      <c r="B30" s="411">
        <v>26</v>
      </c>
      <c r="C30" s="376">
        <f>IF($C$2=20.5,'S3'!T30,IF($C$2=21.5,'S3'!V30,IF($C$2=22.5,'S3'!A30,IF($C$2=23.5,'S3'!B30,IF($C$2=24.5,'S3'!C30,IF($C$2=25.5,'S3'!C30,IF($C$2=26.5,'S3'!E30,IF($C$2=27.5,'S3'!F30,IF($C$2=28.5,'S3'!G30,IF($C$2=29.5,'S3'!H30,IF($C$2=30.5,'S3'!I30,IF($C$2=31.5,'S3'!J30,IF($C$2=32.5,'S3'!K30,IF($C$2=33.5,'S3'!L30,IF($C$2=34.5,'S3'!M30,IF($C$2=35.5,'S3'!N30))))))))))))))))</f>
        <v>56.66</v>
      </c>
      <c r="D30" s="398">
        <f t="shared" si="3"/>
        <v>79.319999999999993</v>
      </c>
      <c r="E30" s="376">
        <f>IF($E$2=20.5,'S3'!U30,IF($E$2=21.5,'S3'!AE30,IF($E$2=22.5,'S3'!AF30,IF($E$2=23.5,'S3'!AG30,IF($E$2=24.5,'S3'!AH30,IF($E$2=25.5,'S3'!AI30,IF($E$2=26.5,'S3'!AC30,IF($E$2=27.5,'S3'!AK30,IF($E$2=28.5,'S3'!AL30,IF($E$2=29.5,'S3'!AM30,IF($E$2=30.5,'S3'!AN30,IF($E$2=31.5,'S3'!AO30,IF($E$2=32.5,'S3'!AP30,IF($E$2=33.5,'S3'!AQ30,IF($E$2=34.5,'S3'!AR30,IF($E$2=35.5,'S3'!AS30))))))))))))))))</f>
        <v>41.05</v>
      </c>
      <c r="F30" s="398">
        <f t="shared" si="0"/>
        <v>57.47</v>
      </c>
      <c r="H30" s="442" t="s">
        <v>160</v>
      </c>
      <c r="I30" s="370" t="s">
        <v>81</v>
      </c>
      <c r="J30" s="365">
        <v>6.94</v>
      </c>
      <c r="K30" s="365">
        <v>7.36</v>
      </c>
      <c r="L30" s="365">
        <v>7.01</v>
      </c>
      <c r="M30" s="365">
        <v>7.43</v>
      </c>
      <c r="N30" s="365">
        <v>7.09</v>
      </c>
      <c r="O30" s="365">
        <v>7.51</v>
      </c>
      <c r="P30" s="365">
        <v>7.17</v>
      </c>
      <c r="Q30" s="365">
        <v>7.59</v>
      </c>
      <c r="R30" s="365">
        <v>7.24</v>
      </c>
      <c r="S30" s="365">
        <v>7.66</v>
      </c>
      <c r="T30" s="314">
        <v>7.32</v>
      </c>
      <c r="U30" s="314">
        <v>7.74</v>
      </c>
      <c r="V30" s="314">
        <v>7.4</v>
      </c>
      <c r="W30" s="314">
        <v>7.82</v>
      </c>
      <c r="X30" s="322">
        <v>7.47</v>
      </c>
      <c r="Y30" s="322">
        <v>7.89</v>
      </c>
      <c r="Z30" s="322">
        <v>7.55</v>
      </c>
      <c r="AA30" s="322">
        <v>7.97</v>
      </c>
      <c r="AB30" s="322">
        <v>7.63</v>
      </c>
      <c r="AC30" s="323">
        <v>8.0500000000000007</v>
      </c>
      <c r="AD30" s="323">
        <v>7.7</v>
      </c>
      <c r="AE30" s="322">
        <v>8.1199999999999992</v>
      </c>
      <c r="AF30" s="437">
        <v>7.78</v>
      </c>
      <c r="AG30" s="437">
        <v>8.1999999999999993</v>
      </c>
      <c r="AH30" s="438">
        <v>7.86</v>
      </c>
      <c r="AI30" s="437">
        <v>8.2799999999999994</v>
      </c>
      <c r="AJ30" s="437">
        <v>7.93</v>
      </c>
      <c r="AK30" s="438">
        <v>8.35</v>
      </c>
      <c r="AL30" s="438">
        <v>8.01</v>
      </c>
      <c r="AM30" s="437">
        <v>8.43</v>
      </c>
      <c r="AN30" s="658">
        <v>8.09</v>
      </c>
      <c r="AO30" s="657">
        <v>8.51</v>
      </c>
      <c r="AP30" s="437">
        <v>8.16</v>
      </c>
      <c r="AQ30" s="437">
        <v>8.58</v>
      </c>
      <c r="AR30" s="439">
        <v>8.24</v>
      </c>
      <c r="AS30" s="439">
        <v>8.66</v>
      </c>
      <c r="AT30" s="440">
        <v>8.32</v>
      </c>
      <c r="AU30" s="439">
        <v>8.74</v>
      </c>
      <c r="AV30" s="439">
        <v>8.39</v>
      </c>
      <c r="AW30" s="439">
        <v>8.81</v>
      </c>
      <c r="AX30" s="439">
        <v>8.4700000000000006</v>
      </c>
      <c r="AY30" s="439">
        <v>8.89</v>
      </c>
      <c r="AZ30" s="441">
        <v>5.71</v>
      </c>
      <c r="BA30" s="441">
        <v>6.04</v>
      </c>
      <c r="BB30" s="441">
        <v>5.63</v>
      </c>
      <c r="BC30" s="441">
        <v>5.96</v>
      </c>
      <c r="BD30" s="374">
        <f t="shared" si="1"/>
        <v>8.09</v>
      </c>
      <c r="BE30" s="374">
        <f t="shared" si="2"/>
        <v>8.51</v>
      </c>
      <c r="BF30" s="375">
        <f>IF(ข้อมูล!$P$14=0,BD30,IF(ข้อมูล!$P$14=1,BE30,IF(ข้อมูล!$P$14=2,BE30,)))</f>
        <v>8.09</v>
      </c>
    </row>
    <row r="31" spans="2:74" ht="21.75" thickBot="1">
      <c r="B31" s="411">
        <v>27</v>
      </c>
      <c r="C31" s="376">
        <f>IF($C$2=20.5,'S3'!T31,IF($C$2=21.5,'S3'!V31,IF($C$2=22.5,'S3'!A31,IF($C$2=23.5,'S3'!B31,IF($C$2=24.5,'S3'!C31,IF($C$2=25.5,'S3'!C31,IF($C$2=26.5,'S3'!E31,IF($C$2=27.5,'S3'!F31,IF($C$2=28.5,'S3'!G31,IF($C$2=29.5,'S3'!H31,IF($C$2=30.5,'S3'!I31,IF($C$2=31.5,'S3'!J31,IF($C$2=32.5,'S3'!K31,IF($C$2=33.5,'S3'!L31,IF($C$2=34.5,'S3'!M31,IF($C$2=35.5,'S3'!N31))))))))))))))))</f>
        <v>58.8</v>
      </c>
      <c r="D31" s="398">
        <f t="shared" si="3"/>
        <v>82.32</v>
      </c>
      <c r="E31" s="376">
        <f>IF($E$2=20.5,'S3'!U31,IF($E$2=21.5,'S3'!AE31,IF($E$2=22.5,'S3'!AF31,IF($E$2=23.5,'S3'!AG31,IF($E$2=24.5,'S3'!AH31,IF($E$2=25.5,'S3'!AI31,IF($E$2=26.5,'S3'!AC31,IF($E$2=27.5,'S3'!AK31,IF($E$2=28.5,'S3'!AL31,IF($E$2=29.5,'S3'!AM31,IF($E$2=30.5,'S3'!AN31,IF($E$2=31.5,'S3'!AO31,IF($E$2=32.5,'S3'!AP31,IF($E$2=33.5,'S3'!AQ31,IF($E$2=34.5,'S3'!AR31,IF($E$2=35.5,'S3'!AS31))))))))))))))))</f>
        <v>42.61</v>
      </c>
      <c r="F31" s="398">
        <f t="shared" si="0"/>
        <v>59.65</v>
      </c>
      <c r="H31" s="442" t="s">
        <v>182</v>
      </c>
      <c r="I31" s="437"/>
      <c r="J31" s="443"/>
      <c r="K31" s="443"/>
      <c r="L31" s="443"/>
      <c r="M31" s="443"/>
      <c r="N31" s="443"/>
      <c r="O31" s="443"/>
      <c r="P31" s="443"/>
      <c r="Q31" s="443"/>
      <c r="R31" s="443"/>
      <c r="S31" s="443"/>
      <c r="T31" s="324"/>
      <c r="U31" s="324"/>
      <c r="V31" s="324"/>
      <c r="W31" s="324"/>
      <c r="X31" s="322"/>
      <c r="Y31" s="322"/>
      <c r="Z31" s="322"/>
      <c r="AA31" s="322"/>
      <c r="AB31" s="322"/>
      <c r="AC31" s="322"/>
      <c r="AD31" s="322"/>
      <c r="AE31" s="322"/>
      <c r="AF31" s="437"/>
      <c r="AG31" s="437"/>
      <c r="AH31" s="437"/>
      <c r="AI31" s="437"/>
      <c r="AJ31" s="437"/>
      <c r="AK31" s="437"/>
      <c r="AL31" s="437"/>
      <c r="AM31" s="437"/>
      <c r="AN31" s="658"/>
      <c r="AO31" s="658"/>
      <c r="AP31" s="437"/>
      <c r="AQ31" s="437"/>
      <c r="AR31" s="439"/>
      <c r="AS31" s="439"/>
      <c r="AT31" s="439"/>
      <c r="AU31" s="439"/>
      <c r="AV31" s="439"/>
      <c r="AW31" s="439"/>
      <c r="AX31" s="439"/>
      <c r="AY31" s="439"/>
      <c r="AZ31" s="441"/>
      <c r="BA31" s="441"/>
      <c r="BB31" s="441"/>
      <c r="BC31" s="441"/>
      <c r="BD31" s="374"/>
      <c r="BE31" s="374"/>
      <c r="BF31" s="437"/>
      <c r="BI31" s="803" t="s">
        <v>170</v>
      </c>
      <c r="BJ31" s="804"/>
      <c r="BK31" s="444" t="s">
        <v>266</v>
      </c>
      <c r="BL31" s="445">
        <f>IF(ข้อมูล!$P$14=0,'S2'!$BI$17,IF(ข้อมูล!$P$14=1,'S2'!$BJ$17,IF(ข้อมูล!$P$14=2,'S2'!$BK$17)))</f>
        <v>1.3365</v>
      </c>
    </row>
    <row r="32" spans="2:74">
      <c r="B32" s="411">
        <v>28</v>
      </c>
      <c r="C32" s="376">
        <f>IF($C$2=20.5,'S3'!T32,IF($C$2=21.5,'S3'!V32,IF($C$2=22.5,'S3'!A32,IF($C$2=23.5,'S3'!B32,IF($C$2=24.5,'S3'!C32,IF($C$2=25.5,'S3'!C32,IF($C$2=26.5,'S3'!E32,IF($C$2=27.5,'S3'!F32,IF($C$2=28.5,'S3'!G32,IF($C$2=29.5,'S3'!H32,IF($C$2=30.5,'S3'!I32,IF($C$2=31.5,'S3'!J32,IF($C$2=32.5,'S3'!K32,IF($C$2=33.5,'S3'!L32,IF($C$2=34.5,'S3'!M32,IF($C$2=35.5,'S3'!N32))))))))))))))))</f>
        <v>60.95</v>
      </c>
      <c r="D32" s="398">
        <f t="shared" si="3"/>
        <v>85.33</v>
      </c>
      <c r="E32" s="376">
        <f>IF($E$2=20.5,'S3'!U32,IF($E$2=21.5,'S3'!AE32,IF($E$2=22.5,'S3'!AF32,IF($E$2=23.5,'S3'!AG32,IF($E$2=24.5,'S3'!AH32,IF($E$2=25.5,'S3'!AI32,IF($E$2=26.5,'S3'!AC32,IF($E$2=27.5,'S3'!AK32,IF($E$2=28.5,'S3'!AL32,IF($E$2=29.5,'S3'!AM32,IF($E$2=30.5,'S3'!AN32,IF($E$2=31.5,'S3'!AO32,IF($E$2=32.5,'S3'!AP32,IF($E$2=33.5,'S3'!AQ32,IF($E$2=34.5,'S3'!AR32,IF($E$2=35.5,'S3'!AS32))))))))))))))))</f>
        <v>44.17</v>
      </c>
      <c r="F32" s="398">
        <f t="shared" si="0"/>
        <v>61.84</v>
      </c>
      <c r="H32" s="437" t="s">
        <v>183</v>
      </c>
      <c r="I32" s="446" t="s">
        <v>184</v>
      </c>
      <c r="J32" s="443">
        <v>18.649999999999999</v>
      </c>
      <c r="K32" s="443">
        <v>19.420000000000002</v>
      </c>
      <c r="L32" s="443">
        <v>18.48</v>
      </c>
      <c r="M32" s="443">
        <v>19.61</v>
      </c>
      <c r="N32" s="443">
        <v>19.02</v>
      </c>
      <c r="O32" s="443">
        <v>19.79</v>
      </c>
      <c r="P32" s="443">
        <v>19.21</v>
      </c>
      <c r="Q32" s="443">
        <v>19.98</v>
      </c>
      <c r="R32" s="447">
        <v>19.399999999999999</v>
      </c>
      <c r="S32" s="443">
        <v>20.170000000000002</v>
      </c>
      <c r="T32" s="324">
        <v>19.59</v>
      </c>
      <c r="U32" s="324">
        <v>20.36</v>
      </c>
      <c r="V32" s="324">
        <v>19.78</v>
      </c>
      <c r="W32" s="324">
        <v>20.55</v>
      </c>
      <c r="X32" s="322">
        <v>19.96</v>
      </c>
      <c r="Y32" s="322">
        <v>20.73</v>
      </c>
      <c r="Z32" s="323">
        <v>20.149999999999999</v>
      </c>
      <c r="AA32" s="323">
        <v>20.92</v>
      </c>
      <c r="AB32" s="322">
        <v>20.34</v>
      </c>
      <c r="AC32" s="322">
        <v>21.11</v>
      </c>
      <c r="AD32" s="322">
        <v>20.53</v>
      </c>
      <c r="AE32" s="323">
        <v>21.3</v>
      </c>
      <c r="AF32" s="437">
        <v>20.71</v>
      </c>
      <c r="AG32" s="437">
        <v>21.48</v>
      </c>
      <c r="AH32" s="438">
        <v>20.9</v>
      </c>
      <c r="AI32" s="437">
        <v>21.67</v>
      </c>
      <c r="AJ32" s="438">
        <v>21.09</v>
      </c>
      <c r="AK32" s="437">
        <v>21.86</v>
      </c>
      <c r="AL32" s="437">
        <v>21.28</v>
      </c>
      <c r="AM32" s="437">
        <v>22.05</v>
      </c>
      <c r="AN32" s="658">
        <v>21.47</v>
      </c>
      <c r="AO32" s="658">
        <v>22.24</v>
      </c>
      <c r="AP32" s="437">
        <v>21.65</v>
      </c>
      <c r="AQ32" s="438">
        <v>22.42</v>
      </c>
      <c r="AR32" s="439">
        <v>21.84</v>
      </c>
      <c r="AS32" s="439">
        <v>22.61</v>
      </c>
      <c r="AT32" s="439">
        <v>22.03</v>
      </c>
      <c r="AU32" s="440">
        <v>22.8</v>
      </c>
      <c r="AV32" s="439">
        <v>22.22</v>
      </c>
      <c r="AW32" s="439">
        <v>22.99</v>
      </c>
      <c r="AX32" s="439">
        <v>22.41</v>
      </c>
      <c r="AY32" s="439">
        <v>23.18</v>
      </c>
      <c r="AZ32" s="441">
        <v>16.559999999999999</v>
      </c>
      <c r="BA32" s="441">
        <v>17.29</v>
      </c>
      <c r="BB32" s="441">
        <v>16.37</v>
      </c>
      <c r="BC32" s="441">
        <v>17.100000000000001</v>
      </c>
      <c r="BD32" s="374">
        <f t="shared" si="1"/>
        <v>21.47</v>
      </c>
      <c r="BE32" s="374">
        <f t="shared" si="2"/>
        <v>22.24</v>
      </c>
      <c r="BF32" s="375">
        <f>IF(ข้อมูล!$P$14=0,BD32,IF(ข้อมูล!$P$14=1,BE32,IF(ข้อมูล!$P$14=2,BE32,)))</f>
        <v>21.47</v>
      </c>
    </row>
    <row r="33" spans="2:58">
      <c r="B33" s="411">
        <v>29</v>
      </c>
      <c r="C33" s="376">
        <f>IF($C$2=20.5,'S3'!T33,IF($C$2=21.5,'S3'!V33,IF($C$2=22.5,'S3'!A33,IF($C$2=23.5,'S3'!B33,IF($C$2=24.5,'S3'!C33,IF($C$2=25.5,'S3'!C33,IF($C$2=26.5,'S3'!E33,IF($C$2=27.5,'S3'!F33,IF($C$2=28.5,'S3'!G33,IF($C$2=29.5,'S3'!H33,IF($C$2=30.5,'S3'!I33,IF($C$2=31.5,'S3'!J33,IF($C$2=32.5,'S3'!K33,IF($C$2=33.5,'S3'!L33,IF($C$2=34.5,'S3'!M33,IF($C$2=35.5,'S3'!N33))))))))))))))))</f>
        <v>63.08</v>
      </c>
      <c r="D33" s="398">
        <f t="shared" si="3"/>
        <v>88.31</v>
      </c>
      <c r="E33" s="376">
        <f>IF($E$2=20.5,'S3'!U33,IF($E$2=21.5,'S3'!AE33,IF($E$2=22.5,'S3'!AF33,IF($E$2=23.5,'S3'!AG33,IF($E$2=24.5,'S3'!AH33,IF($E$2=25.5,'S3'!AI33,IF($E$2=26.5,'S3'!AC33,IF($E$2=27.5,'S3'!AK33,IF($E$2=28.5,'S3'!AL33,IF($E$2=29.5,'S3'!AM33,IF($E$2=30.5,'S3'!AN33,IF($E$2=31.5,'S3'!AO33,IF($E$2=32.5,'S3'!AP33,IF($E$2=33.5,'S3'!AQ33,IF($E$2=34.5,'S3'!AR33,IF($E$2=35.5,'S3'!AS33))))))))))))))))</f>
        <v>45.72</v>
      </c>
      <c r="F33" s="398">
        <f t="shared" si="0"/>
        <v>64.010000000000005</v>
      </c>
      <c r="H33" s="442" t="s">
        <v>185</v>
      </c>
      <c r="I33" s="437"/>
      <c r="J33" s="443"/>
      <c r="K33" s="443"/>
      <c r="L33" s="443"/>
      <c r="M33" s="443"/>
      <c r="N33" s="443"/>
      <c r="O33" s="443"/>
      <c r="P33" s="443"/>
      <c r="Q33" s="443"/>
      <c r="R33" s="443"/>
      <c r="S33" s="443"/>
      <c r="T33" s="324"/>
      <c r="U33" s="324"/>
      <c r="V33" s="324"/>
      <c r="W33" s="324"/>
      <c r="X33" s="322"/>
      <c r="Y33" s="322"/>
      <c r="Z33" s="322"/>
      <c r="AA33" s="322"/>
      <c r="AB33" s="322"/>
      <c r="AC33" s="322"/>
      <c r="AD33" s="322"/>
      <c r="AE33" s="322"/>
      <c r="AF33" s="437"/>
      <c r="AG33" s="437"/>
      <c r="AH33" s="437"/>
      <c r="AI33" s="437"/>
      <c r="AJ33" s="437"/>
      <c r="AK33" s="437"/>
      <c r="AL33" s="437"/>
      <c r="AM33" s="437"/>
      <c r="AN33" s="658"/>
      <c r="AO33" s="658"/>
      <c r="AP33" s="437"/>
      <c r="AQ33" s="437"/>
      <c r="AR33" s="439"/>
      <c r="AS33" s="439"/>
      <c r="AT33" s="439"/>
      <c r="AU33" s="439"/>
      <c r="AV33" s="439"/>
      <c r="AW33" s="439"/>
      <c r="AX33" s="439"/>
      <c r="AY33" s="439"/>
      <c r="AZ33" s="441"/>
      <c r="BA33" s="441"/>
      <c r="BB33" s="441"/>
      <c r="BC33" s="441"/>
      <c r="BD33" s="374"/>
      <c r="BE33" s="374"/>
      <c r="BF33" s="437"/>
    </row>
    <row r="34" spans="2:58">
      <c r="B34" s="411">
        <v>30</v>
      </c>
      <c r="C34" s="376">
        <f>IF($C$2=20.5,'S3'!T34,IF($C$2=21.5,'S3'!V34,IF($C$2=22.5,'S3'!A34,IF($C$2=23.5,'S3'!B34,IF($C$2=24.5,'S3'!C34,IF($C$2=25.5,'S3'!C34,IF($C$2=26.5,'S3'!E34,IF($C$2=27.5,'S3'!F34,IF($C$2=28.5,'S3'!G34,IF($C$2=29.5,'S3'!H34,IF($C$2=30.5,'S3'!I34,IF($C$2=31.5,'S3'!J34,IF($C$2=32.5,'S3'!K34,IF($C$2=33.5,'S3'!L34,IF($C$2=34.5,'S3'!M34,IF($C$2=35.5,'S3'!N34))))))))))))))))</f>
        <v>65.23</v>
      </c>
      <c r="D34" s="398">
        <f t="shared" si="3"/>
        <v>91.32</v>
      </c>
      <c r="E34" s="376">
        <f>IF($E$2=20.5,'S3'!U34,IF($E$2=21.5,'S3'!AE34,IF($E$2=22.5,'S3'!AF34,IF($E$2=23.5,'S3'!AG34,IF($E$2=24.5,'S3'!AH34,IF($E$2=25.5,'S3'!AI34,IF($E$2=26.5,'S3'!AC34,IF($E$2=27.5,'S3'!AK34,IF($E$2=28.5,'S3'!AL34,IF($E$2=29.5,'S3'!AM34,IF($E$2=30.5,'S3'!AN34,IF($E$2=31.5,'S3'!AO34,IF($E$2=32.5,'S3'!AP34,IF($E$2=33.5,'S3'!AQ34,IF($E$2=34.5,'S3'!AR34,IF($E$2=35.5,'S3'!AS34))))))))))))))))</f>
        <v>47.28</v>
      </c>
      <c r="F34" s="398">
        <f t="shared" si="0"/>
        <v>66.19</v>
      </c>
      <c r="H34" s="437" t="s">
        <v>186</v>
      </c>
      <c r="I34" s="370" t="s">
        <v>79</v>
      </c>
      <c r="J34" s="365">
        <v>18.53</v>
      </c>
      <c r="K34" s="365">
        <v>19.41</v>
      </c>
      <c r="L34" s="365">
        <v>18.75</v>
      </c>
      <c r="M34" s="365">
        <v>19.63</v>
      </c>
      <c r="N34" s="365">
        <v>18.97</v>
      </c>
      <c r="O34" s="365">
        <v>19.850000000000001</v>
      </c>
      <c r="P34" s="365">
        <v>19.18</v>
      </c>
      <c r="Q34" s="365">
        <v>20.059999999999999</v>
      </c>
      <c r="R34" s="365">
        <v>19.399999999999999</v>
      </c>
      <c r="S34" s="365">
        <v>20.28</v>
      </c>
      <c r="T34" s="314">
        <v>19.61</v>
      </c>
      <c r="U34" s="314">
        <v>20.49</v>
      </c>
      <c r="V34" s="314">
        <v>19.829999999999998</v>
      </c>
      <c r="W34" s="314">
        <v>20.71</v>
      </c>
      <c r="X34" s="322">
        <v>20.04</v>
      </c>
      <c r="Y34" s="322">
        <v>20.92</v>
      </c>
      <c r="Z34" s="323">
        <v>20.260000000000002</v>
      </c>
      <c r="AA34" s="322">
        <v>21.14</v>
      </c>
      <c r="AB34" s="322">
        <v>20.47</v>
      </c>
      <c r="AC34" s="322">
        <v>21.35</v>
      </c>
      <c r="AD34" s="322">
        <v>20.69</v>
      </c>
      <c r="AE34" s="323">
        <v>21.57</v>
      </c>
      <c r="AF34" s="437">
        <v>20.9</v>
      </c>
      <c r="AG34" s="437">
        <v>21.78</v>
      </c>
      <c r="AH34" s="437">
        <v>21.12</v>
      </c>
      <c r="AI34" s="438">
        <v>22</v>
      </c>
      <c r="AJ34" s="437">
        <v>21.34</v>
      </c>
      <c r="AK34" s="438">
        <v>22.22</v>
      </c>
      <c r="AL34" s="437">
        <v>21.55</v>
      </c>
      <c r="AM34" s="437">
        <v>22.43</v>
      </c>
      <c r="AN34" s="658">
        <v>21.77</v>
      </c>
      <c r="AO34" s="658">
        <v>22.65</v>
      </c>
      <c r="AP34" s="437">
        <v>21.98</v>
      </c>
      <c r="AQ34" s="437">
        <v>22.86</v>
      </c>
      <c r="AR34" s="440">
        <v>22.2</v>
      </c>
      <c r="AS34" s="439">
        <v>23.08</v>
      </c>
      <c r="AT34" s="439">
        <v>22.41</v>
      </c>
      <c r="AU34" s="439">
        <v>23.29</v>
      </c>
      <c r="AV34" s="439">
        <v>22.63</v>
      </c>
      <c r="AW34" s="440">
        <v>23.51</v>
      </c>
      <c r="AX34" s="439">
        <v>22.84</v>
      </c>
      <c r="AY34" s="439">
        <v>23.72</v>
      </c>
      <c r="AZ34" s="448">
        <v>16.72</v>
      </c>
      <c r="BA34" s="448">
        <v>17.59</v>
      </c>
      <c r="BB34" s="448">
        <v>16.510000000000002</v>
      </c>
      <c r="BC34" s="448">
        <v>17.38</v>
      </c>
      <c r="BD34" s="374">
        <f t="shared" si="1"/>
        <v>21.77</v>
      </c>
      <c r="BE34" s="374">
        <f t="shared" si="2"/>
        <v>22.65</v>
      </c>
      <c r="BF34" s="375">
        <f>IF(ข้อมูล!$P$14=0,BD34,IF(ข้อมูล!$P$14=1,BE34,IF(ข้อมูล!$P$14=2,BE34,)))</f>
        <v>21.77</v>
      </c>
    </row>
    <row r="35" spans="2:58">
      <c r="B35" s="411">
        <v>31</v>
      </c>
      <c r="C35" s="376">
        <f>IF($C$2=20.5,'S3'!T35,IF($C$2=21.5,'S3'!V35,IF($C$2=22.5,'S3'!A35,IF($C$2=23.5,'S3'!B35,IF($C$2=24.5,'S3'!C35,IF($C$2=25.5,'S3'!C35,IF($C$2=26.5,'S3'!E35,IF($C$2=27.5,'S3'!F35,IF($C$2=28.5,'S3'!G35,IF($C$2=29.5,'S3'!H35,IF($C$2=30.5,'S3'!I35,IF($C$2=31.5,'S3'!J35,IF($C$2=32.5,'S3'!K35,IF($C$2=33.5,'S3'!L35,IF($C$2=34.5,'S3'!M35,IF($C$2=35.5,'S3'!N35))))))))))))))))</f>
        <v>67.36</v>
      </c>
      <c r="D35" s="398">
        <f t="shared" si="3"/>
        <v>94.3</v>
      </c>
      <c r="E35" s="376">
        <f>IF($E$2=20.5,'S3'!U35,IF($E$2=21.5,'S3'!AE35,IF($E$2=22.5,'S3'!AF35,IF($E$2=23.5,'S3'!AG35,IF($E$2=24.5,'S3'!AH35,IF($E$2=25.5,'S3'!AI35,IF($E$2=26.5,'S3'!AC35,IF($E$2=27.5,'S3'!AK35,IF($E$2=28.5,'S3'!AL35,IF($E$2=29.5,'S3'!AM35,IF($E$2=30.5,'S3'!AN35,IF($E$2=31.5,'S3'!AO35,IF($E$2=32.5,'S3'!AP35,IF($E$2=33.5,'S3'!AQ35,IF($E$2=34.5,'S3'!AR35,IF($E$2=35.5,'S3'!AS35))))))))))))))))</f>
        <v>48.83</v>
      </c>
      <c r="F35" s="398">
        <f t="shared" si="0"/>
        <v>68.36</v>
      </c>
      <c r="H35" s="437" t="s">
        <v>187</v>
      </c>
      <c r="I35" s="370" t="s">
        <v>81</v>
      </c>
      <c r="J35" s="365">
        <v>39.17</v>
      </c>
      <c r="K35" s="365">
        <v>41.87</v>
      </c>
      <c r="L35" s="365">
        <v>39.630000000000003</v>
      </c>
      <c r="M35" s="365">
        <v>42.33</v>
      </c>
      <c r="N35" s="365">
        <v>40.08</v>
      </c>
      <c r="O35" s="365">
        <v>42.78</v>
      </c>
      <c r="P35" s="365">
        <v>40.53</v>
      </c>
      <c r="Q35" s="365">
        <v>43.23</v>
      </c>
      <c r="R35" s="365">
        <v>40.98</v>
      </c>
      <c r="S35" s="365">
        <v>43.68</v>
      </c>
      <c r="T35" s="314">
        <v>41.43</v>
      </c>
      <c r="U35" s="314">
        <v>44.13</v>
      </c>
      <c r="V35" s="314">
        <v>41.88</v>
      </c>
      <c r="W35" s="314">
        <v>44.58</v>
      </c>
      <c r="X35" s="323">
        <v>42.33</v>
      </c>
      <c r="Y35" s="322">
        <v>45.03</v>
      </c>
      <c r="Z35" s="322">
        <v>42.78</v>
      </c>
      <c r="AA35" s="322">
        <v>45.48</v>
      </c>
      <c r="AB35" s="322">
        <v>43.23</v>
      </c>
      <c r="AC35" s="322">
        <v>45.93</v>
      </c>
      <c r="AD35" s="322">
        <v>43.68</v>
      </c>
      <c r="AE35" s="322">
        <v>46.38</v>
      </c>
      <c r="AF35" s="437">
        <v>44.13</v>
      </c>
      <c r="AG35" s="437">
        <v>46.83</v>
      </c>
      <c r="AH35" s="437">
        <v>44.58</v>
      </c>
      <c r="AI35" s="437">
        <v>47.28</v>
      </c>
      <c r="AJ35" s="437">
        <v>45.03</v>
      </c>
      <c r="AK35" s="437">
        <v>47.73</v>
      </c>
      <c r="AL35" s="437">
        <v>45.49</v>
      </c>
      <c r="AM35" s="437">
        <v>48.19</v>
      </c>
      <c r="AN35" s="658">
        <v>45.94</v>
      </c>
      <c r="AO35" s="658">
        <v>48.64</v>
      </c>
      <c r="AP35" s="437">
        <v>46.39</v>
      </c>
      <c r="AQ35" s="437">
        <v>49.09</v>
      </c>
      <c r="AR35" s="439">
        <v>46.84</v>
      </c>
      <c r="AS35" s="439">
        <v>49.54</v>
      </c>
      <c r="AT35" s="439">
        <v>47.29</v>
      </c>
      <c r="AU35" s="439">
        <v>49.99</v>
      </c>
      <c r="AV35" s="439">
        <v>47.74</v>
      </c>
      <c r="AW35" s="439">
        <v>50.44</v>
      </c>
      <c r="AX35" s="439">
        <v>48.19</v>
      </c>
      <c r="AY35" s="439">
        <v>50.89</v>
      </c>
      <c r="AZ35" s="448">
        <v>31.03</v>
      </c>
      <c r="BA35" s="448">
        <v>33.01</v>
      </c>
      <c r="BB35" s="448">
        <v>30.58</v>
      </c>
      <c r="BC35" s="448">
        <v>32.56</v>
      </c>
      <c r="BD35" s="374">
        <f t="shared" si="1"/>
        <v>45.94</v>
      </c>
      <c r="BE35" s="374">
        <f t="shared" si="2"/>
        <v>48.64</v>
      </c>
      <c r="BF35" s="375">
        <f>IF(ข้อมูล!$P$14=0,BD35,IF(ข้อมูล!$P$14=1,BE35,IF(ข้อมูล!$P$14=2,BE35,)))</f>
        <v>45.94</v>
      </c>
    </row>
    <row r="36" spans="2:58">
      <c r="B36" s="411">
        <v>32</v>
      </c>
      <c r="C36" s="376">
        <f>IF($C$2=20.5,'S3'!T36,IF($C$2=21.5,'S3'!V36,IF($C$2=22.5,'S3'!A36,IF($C$2=23.5,'S3'!B36,IF($C$2=24.5,'S3'!C36,IF($C$2=25.5,'S3'!C36,IF($C$2=26.5,'S3'!E36,IF($C$2=27.5,'S3'!F36,IF($C$2=28.5,'S3'!G36,IF($C$2=29.5,'S3'!H36,IF($C$2=30.5,'S3'!I36,IF($C$2=31.5,'S3'!J36,IF($C$2=32.5,'S3'!K36,IF($C$2=33.5,'S3'!L36,IF($C$2=34.5,'S3'!M36,IF($C$2=35.5,'S3'!N36))))))))))))))))</f>
        <v>69.52</v>
      </c>
      <c r="D36" s="398">
        <f t="shared" si="3"/>
        <v>97.33</v>
      </c>
      <c r="E36" s="376">
        <f>IF($E$2=20.5,'S3'!U36,IF($E$2=21.5,'S3'!AE36,IF($E$2=22.5,'S3'!AF36,IF($E$2=23.5,'S3'!AG36,IF($E$2=24.5,'S3'!AH36,IF($E$2=25.5,'S3'!AI36,IF($E$2=26.5,'S3'!AC36,IF($E$2=27.5,'S3'!AK36,IF($E$2=28.5,'S3'!AL36,IF($E$2=29.5,'S3'!AM36,IF($E$2=30.5,'S3'!AN36,IF($E$2=31.5,'S3'!AO36,IF($E$2=32.5,'S3'!AP36,IF($E$2=33.5,'S3'!AQ36,IF($E$2=34.5,'S3'!AR36,IF($E$2=35.5,'S3'!AS36))))))))))))))))</f>
        <v>50.39</v>
      </c>
      <c r="F36" s="398">
        <f t="shared" si="0"/>
        <v>70.55</v>
      </c>
      <c r="H36" s="437"/>
      <c r="I36" s="437"/>
      <c r="J36" s="437"/>
      <c r="K36" s="437"/>
      <c r="L36" s="437"/>
      <c r="M36" s="437"/>
      <c r="N36" s="437"/>
      <c r="O36" s="437"/>
      <c r="P36" s="437"/>
      <c r="Q36" s="437"/>
      <c r="R36" s="437"/>
      <c r="S36" s="437"/>
      <c r="T36" s="322"/>
      <c r="U36" s="322"/>
      <c r="V36" s="322"/>
      <c r="W36" s="322"/>
      <c r="X36" s="322"/>
      <c r="Y36" s="322"/>
      <c r="Z36" s="322"/>
      <c r="AA36" s="322"/>
      <c r="AB36" s="322"/>
      <c r="AC36" s="322"/>
      <c r="AD36" s="322"/>
      <c r="AE36" s="322"/>
      <c r="AF36" s="437"/>
      <c r="AG36" s="437"/>
      <c r="AH36" s="437"/>
      <c r="AI36" s="437"/>
      <c r="AJ36" s="437"/>
      <c r="AK36" s="437"/>
      <c r="AL36" s="437"/>
      <c r="AM36" s="437"/>
      <c r="AN36" s="658"/>
      <c r="AO36" s="658"/>
      <c r="AP36" s="437"/>
      <c r="AQ36" s="437"/>
      <c r="AR36" s="437"/>
      <c r="AS36" s="437"/>
      <c r="AT36" s="437"/>
      <c r="AU36" s="437"/>
      <c r="AV36" s="437"/>
      <c r="AW36" s="437"/>
      <c r="AX36" s="437"/>
      <c r="AY36" s="437"/>
      <c r="AZ36" s="437"/>
      <c r="BA36" s="437"/>
      <c r="BB36" s="437"/>
      <c r="BC36" s="437"/>
      <c r="BD36" s="437"/>
      <c r="BE36" s="437"/>
      <c r="BF36" s="437"/>
    </row>
    <row r="37" spans="2:58">
      <c r="B37" s="411">
        <v>33</v>
      </c>
      <c r="C37" s="376">
        <f>IF($C$2=20.5,'S3'!T37,IF($C$2=21.5,'S3'!V37,IF($C$2=22.5,'S3'!A37,IF($C$2=23.5,'S3'!B37,IF($C$2=24.5,'S3'!C37,IF($C$2=25.5,'S3'!C37,IF($C$2=26.5,'S3'!E37,IF($C$2=27.5,'S3'!F37,IF($C$2=28.5,'S3'!G37,IF($C$2=29.5,'S3'!H37,IF($C$2=30.5,'S3'!I37,IF($C$2=31.5,'S3'!J37,IF($C$2=32.5,'S3'!K37,IF($C$2=33.5,'S3'!L37,IF($C$2=34.5,'S3'!M37,IF($C$2=35.5,'S3'!N37))))))))))))))))</f>
        <v>71.66</v>
      </c>
      <c r="D37" s="398">
        <f t="shared" si="3"/>
        <v>100.32</v>
      </c>
      <c r="E37" s="376">
        <f>IF($E$2=20.5,'S3'!U37,IF($E$2=21.5,'S3'!AE37,IF($E$2=22.5,'S3'!AF37,IF($E$2=23.5,'S3'!AG37,IF($E$2=24.5,'S3'!AH37,IF($E$2=25.5,'S3'!AI37,IF($E$2=26.5,'S3'!AC37,IF($E$2=27.5,'S3'!AK37,IF($E$2=28.5,'S3'!AL37,IF($E$2=29.5,'S3'!AM37,IF($E$2=30.5,'S3'!AN37,IF($E$2=31.5,'S3'!AO37,IF($E$2=32.5,'S3'!AP37,IF($E$2=33.5,'S3'!AQ37,IF($E$2=34.5,'S3'!AR37,IF($E$2=35.5,'S3'!AS37))))))))))))))))</f>
        <v>51.94</v>
      </c>
      <c r="F37" s="398">
        <f t="shared" si="0"/>
        <v>72.72</v>
      </c>
      <c r="H37" s="437"/>
      <c r="I37" s="437"/>
      <c r="J37" s="437"/>
      <c r="K37" s="437"/>
      <c r="L37" s="437"/>
      <c r="M37" s="437"/>
      <c r="N37" s="437"/>
      <c r="O37" s="437"/>
      <c r="P37" s="437"/>
      <c r="Q37" s="437"/>
      <c r="R37" s="437"/>
      <c r="S37" s="437"/>
      <c r="T37" s="322"/>
      <c r="U37" s="322"/>
      <c r="V37" s="322"/>
      <c r="W37" s="322"/>
      <c r="X37" s="322"/>
      <c r="Y37" s="322"/>
      <c r="Z37" s="322"/>
      <c r="AA37" s="322"/>
      <c r="AB37" s="322"/>
      <c r="AC37" s="322"/>
      <c r="AD37" s="322"/>
      <c r="AE37" s="322"/>
      <c r="AF37" s="437"/>
      <c r="AG37" s="437"/>
      <c r="AH37" s="437"/>
      <c r="AI37" s="437"/>
      <c r="AJ37" s="437"/>
      <c r="AK37" s="437"/>
      <c r="AL37" s="437"/>
      <c r="AM37" s="437"/>
      <c r="AN37" s="658"/>
      <c r="AO37" s="658"/>
      <c r="AP37" s="437"/>
      <c r="AQ37" s="437"/>
      <c r="AR37" s="437"/>
      <c r="AS37" s="437"/>
      <c r="AT37" s="437"/>
      <c r="AU37" s="437"/>
      <c r="AV37" s="437"/>
      <c r="AW37" s="437"/>
      <c r="AX37" s="437"/>
      <c r="AY37" s="437"/>
      <c r="AZ37" s="437"/>
      <c r="BA37" s="437"/>
      <c r="BB37" s="437"/>
      <c r="BC37" s="437"/>
      <c r="BD37" s="437"/>
      <c r="BE37" s="437"/>
      <c r="BF37" s="437"/>
    </row>
    <row r="38" spans="2:58">
      <c r="B38" s="411">
        <v>34</v>
      </c>
      <c r="C38" s="376">
        <f>IF($C$2=20.5,'S3'!T38,IF($C$2=21.5,'S3'!V38,IF($C$2=22.5,'S3'!A38,IF($C$2=23.5,'S3'!B38,IF($C$2=24.5,'S3'!C38,IF($C$2=25.5,'S3'!C38,IF($C$2=26.5,'S3'!E38,IF($C$2=27.5,'S3'!F38,IF($C$2=28.5,'S3'!G38,IF($C$2=29.5,'S3'!H38,IF($C$2=30.5,'S3'!I38,IF($C$2=31.5,'S3'!J38,IF($C$2=32.5,'S3'!K38,IF($C$2=33.5,'S3'!L38,IF($C$2=34.5,'S3'!M38,IF($C$2=35.5,'S3'!N38))))))))))))))))</f>
        <v>73.8</v>
      </c>
      <c r="D38" s="398">
        <f t="shared" si="3"/>
        <v>103.32</v>
      </c>
      <c r="E38" s="376">
        <f>IF($E$2=20.5,'S3'!U38,IF($E$2=21.5,'S3'!AE38,IF($E$2=22.5,'S3'!AF38,IF($E$2=23.5,'S3'!AG38,IF($E$2=24.5,'S3'!AH38,IF($E$2=25.5,'S3'!AI38,IF($E$2=26.5,'S3'!AC38,IF($E$2=27.5,'S3'!AK38,IF($E$2=28.5,'S3'!AL38,IF($E$2=29.5,'S3'!AM38,IF($E$2=30.5,'S3'!AN38,IF($E$2=31.5,'S3'!AO38,IF($E$2=32.5,'S3'!AP38,IF($E$2=33.5,'S3'!AQ38,IF($E$2=34.5,'S3'!AR38,IF($E$2=35.5,'S3'!AS38))))))))))))))))</f>
        <v>53.5</v>
      </c>
      <c r="F38" s="398">
        <f t="shared" si="0"/>
        <v>74.900000000000006</v>
      </c>
      <c r="H38" s="437"/>
      <c r="I38" s="437"/>
      <c r="J38" s="437"/>
      <c r="K38" s="437"/>
      <c r="L38" s="437"/>
      <c r="M38" s="437"/>
      <c r="N38" s="437"/>
      <c r="O38" s="437"/>
      <c r="P38" s="437"/>
      <c r="Q38" s="437"/>
      <c r="R38" s="437"/>
      <c r="S38" s="437"/>
      <c r="T38" s="322"/>
      <c r="U38" s="322"/>
      <c r="V38" s="322"/>
      <c r="W38" s="322"/>
      <c r="X38" s="322"/>
      <c r="Y38" s="322"/>
      <c r="Z38" s="322"/>
      <c r="AA38" s="322"/>
      <c r="AB38" s="322"/>
      <c r="AC38" s="322"/>
      <c r="AD38" s="322"/>
      <c r="AE38" s="322"/>
      <c r="AF38" s="437"/>
      <c r="AG38" s="437"/>
      <c r="AH38" s="437"/>
      <c r="AI38" s="437"/>
      <c r="AJ38" s="437"/>
      <c r="AK38" s="437"/>
      <c r="AL38" s="437"/>
      <c r="AM38" s="437"/>
      <c r="AN38" s="658"/>
      <c r="AO38" s="658"/>
      <c r="AP38" s="437"/>
      <c r="AQ38" s="437"/>
      <c r="AR38" s="437"/>
      <c r="AS38" s="437"/>
      <c r="AT38" s="437"/>
      <c r="AU38" s="437"/>
      <c r="AV38" s="437"/>
      <c r="AW38" s="437"/>
      <c r="AX38" s="437"/>
      <c r="AY38" s="437"/>
      <c r="AZ38" s="437"/>
      <c r="BA38" s="437"/>
      <c r="BB38" s="437"/>
      <c r="BC38" s="437"/>
      <c r="BD38" s="437"/>
      <c r="BE38" s="437"/>
      <c r="BF38" s="437"/>
    </row>
    <row r="39" spans="2:58">
      <c r="B39" s="411">
        <v>35</v>
      </c>
      <c r="C39" s="376">
        <f>IF($C$2=20.5,'S3'!T39,IF($C$2=21.5,'S3'!V39,IF($C$2=22.5,'S3'!A39,IF($C$2=23.5,'S3'!B39,IF($C$2=24.5,'S3'!C39,IF($C$2=25.5,'S3'!C39,IF($C$2=26.5,'S3'!E39,IF($C$2=27.5,'S3'!F39,IF($C$2=28.5,'S3'!G39,IF($C$2=29.5,'S3'!H39,IF($C$2=30.5,'S3'!I39,IF($C$2=31.5,'S3'!J39,IF($C$2=32.5,'S3'!K39,IF($C$2=33.5,'S3'!L39,IF($C$2=34.5,'S3'!M39,IF($C$2=35.5,'S3'!N39))))))))))))))))</f>
        <v>75.94</v>
      </c>
      <c r="D39" s="398">
        <f t="shared" si="3"/>
        <v>106.32</v>
      </c>
      <c r="E39" s="376">
        <f>IF($E$2=20.5,'S3'!U39,IF($E$2=21.5,'S3'!AE39,IF($E$2=22.5,'S3'!AF39,IF($E$2=23.5,'S3'!AG39,IF($E$2=24.5,'S3'!AH39,IF($E$2=25.5,'S3'!AI39,IF($E$2=26.5,'S3'!AC39,IF($E$2=27.5,'S3'!AK39,IF($E$2=28.5,'S3'!AL39,IF($E$2=29.5,'S3'!AM39,IF($E$2=30.5,'S3'!AN39,IF($E$2=31.5,'S3'!AO39,IF($E$2=32.5,'S3'!AP39,IF($E$2=33.5,'S3'!AQ39,IF($E$2=34.5,'S3'!AR39,IF($E$2=35.5,'S3'!AS39))))))))))))))))</f>
        <v>55.05</v>
      </c>
      <c r="F39" s="398">
        <f t="shared" si="0"/>
        <v>77.069999999999993</v>
      </c>
      <c r="H39" s="437"/>
      <c r="I39" s="437"/>
      <c r="J39" s="437"/>
      <c r="K39" s="437"/>
      <c r="L39" s="437"/>
      <c r="M39" s="437"/>
      <c r="N39" s="437"/>
      <c r="O39" s="437"/>
      <c r="P39" s="437"/>
      <c r="Q39" s="437"/>
      <c r="R39" s="437"/>
      <c r="S39" s="437"/>
      <c r="T39" s="322"/>
      <c r="U39" s="322"/>
      <c r="V39" s="322"/>
      <c r="W39" s="322"/>
      <c r="X39" s="322"/>
      <c r="Y39" s="322"/>
      <c r="Z39" s="322"/>
      <c r="AA39" s="322"/>
      <c r="AB39" s="322"/>
      <c r="AC39" s="322"/>
      <c r="AD39" s="322"/>
      <c r="AE39" s="322"/>
      <c r="AF39" s="437"/>
      <c r="AG39" s="437"/>
      <c r="AH39" s="437"/>
      <c r="AI39" s="437"/>
      <c r="AJ39" s="437"/>
      <c r="AK39" s="437"/>
      <c r="AL39" s="437"/>
      <c r="AM39" s="437"/>
      <c r="AN39" s="658"/>
      <c r="AO39" s="658"/>
      <c r="AP39" s="437"/>
      <c r="AQ39" s="437"/>
      <c r="AR39" s="437"/>
      <c r="AS39" s="437"/>
      <c r="AT39" s="437"/>
      <c r="AU39" s="437"/>
      <c r="AV39" s="437"/>
      <c r="AW39" s="437"/>
      <c r="AX39" s="437"/>
      <c r="AY39" s="437"/>
      <c r="AZ39" s="437"/>
      <c r="BA39" s="437"/>
      <c r="BB39" s="437"/>
      <c r="BC39" s="437"/>
      <c r="BD39" s="437"/>
      <c r="BE39" s="437"/>
      <c r="BF39" s="437"/>
    </row>
    <row r="40" spans="2:58">
      <c r="B40" s="411">
        <v>36</v>
      </c>
      <c r="C40" s="376">
        <f>IF($C$2=20.5,'S3'!T40,IF($C$2=21.5,'S3'!V40,IF($C$2=22.5,'S3'!A40,IF($C$2=23.5,'S3'!B40,IF($C$2=24.5,'S3'!C40,IF($C$2=25.5,'S3'!C40,IF($C$2=26.5,'S3'!E40,IF($C$2=27.5,'S3'!F40,IF($C$2=28.5,'S3'!G40,IF($C$2=29.5,'S3'!H40,IF($C$2=30.5,'S3'!I40,IF($C$2=31.5,'S3'!J40,IF($C$2=32.5,'S3'!K40,IF($C$2=33.5,'S3'!L40,IF($C$2=34.5,'S3'!M40,IF($C$2=35.5,'S3'!N40))))))))))))))))</f>
        <v>78.08</v>
      </c>
      <c r="D40" s="398">
        <f t="shared" si="3"/>
        <v>109.31</v>
      </c>
      <c r="E40" s="376">
        <f>IF($E$2=20.5,'S3'!U40,IF($E$2=21.5,'S3'!AE40,IF($E$2=22.5,'S3'!AF40,IF($E$2=23.5,'S3'!AG40,IF($E$2=24.5,'S3'!AH40,IF($E$2=25.5,'S3'!AI40,IF($E$2=26.5,'S3'!AC40,IF($E$2=27.5,'S3'!AK40,IF($E$2=28.5,'S3'!AL40,IF($E$2=29.5,'S3'!AM40,IF($E$2=30.5,'S3'!AN40,IF($E$2=31.5,'S3'!AO40,IF($E$2=32.5,'S3'!AP40,IF($E$2=33.5,'S3'!AQ40,IF($E$2=34.5,'S3'!AR40,IF($E$2=35.5,'S3'!AS40))))))))))))))))</f>
        <v>56.61</v>
      </c>
      <c r="F40" s="398">
        <f t="shared" si="0"/>
        <v>79.25</v>
      </c>
      <c r="H40" s="437"/>
      <c r="I40" s="437"/>
      <c r="J40" s="437"/>
      <c r="K40" s="437"/>
      <c r="L40" s="437"/>
      <c r="M40" s="437"/>
      <c r="N40" s="437"/>
      <c r="O40" s="437"/>
      <c r="P40" s="437"/>
      <c r="Q40" s="437"/>
      <c r="R40" s="437"/>
      <c r="S40" s="437"/>
      <c r="T40" s="322"/>
      <c r="U40" s="322"/>
      <c r="V40" s="322"/>
      <c r="W40" s="322"/>
      <c r="X40" s="322"/>
      <c r="Y40" s="322"/>
      <c r="Z40" s="322"/>
      <c r="AA40" s="322"/>
      <c r="AB40" s="322"/>
      <c r="AC40" s="322"/>
      <c r="AD40" s="322"/>
      <c r="AE40" s="322"/>
      <c r="AF40" s="437"/>
      <c r="AG40" s="437"/>
      <c r="AH40" s="437"/>
      <c r="AI40" s="437"/>
      <c r="AJ40" s="437"/>
      <c r="AK40" s="437"/>
      <c r="AL40" s="437"/>
      <c r="AM40" s="437"/>
      <c r="AN40" s="658"/>
      <c r="AO40" s="658"/>
      <c r="AP40" s="437"/>
      <c r="AQ40" s="437"/>
      <c r="AR40" s="437"/>
      <c r="AS40" s="437"/>
      <c r="AT40" s="437"/>
      <c r="AU40" s="437"/>
      <c r="AV40" s="437"/>
      <c r="AW40" s="437"/>
      <c r="AX40" s="437"/>
      <c r="AY40" s="437"/>
      <c r="AZ40" s="437"/>
      <c r="BA40" s="437"/>
      <c r="BB40" s="437"/>
      <c r="BC40" s="437"/>
      <c r="BD40" s="437"/>
      <c r="BE40" s="437"/>
      <c r="BF40" s="437"/>
    </row>
    <row r="41" spans="2:58">
      <c r="B41" s="411">
        <v>37</v>
      </c>
      <c r="C41" s="376">
        <f>IF($C$2=20.5,'S3'!T41,IF($C$2=21.5,'S3'!V41,IF($C$2=22.5,'S3'!A41,IF($C$2=23.5,'S3'!B41,IF($C$2=24.5,'S3'!C41,IF($C$2=25.5,'S3'!C41,IF($C$2=26.5,'S3'!E41,IF($C$2=27.5,'S3'!F41,IF($C$2=28.5,'S3'!G41,IF($C$2=29.5,'S3'!H41,IF($C$2=30.5,'S3'!I41,IF($C$2=31.5,'S3'!J41,IF($C$2=32.5,'S3'!K41,IF($C$2=33.5,'S3'!L41,IF($C$2=34.5,'S3'!M41,IF($C$2=35.5,'S3'!N41))))))))))))))))</f>
        <v>80.23</v>
      </c>
      <c r="D41" s="398">
        <f t="shared" si="3"/>
        <v>112.32</v>
      </c>
      <c r="E41" s="376">
        <f>IF($E$2=20.5,'S3'!U41,IF($E$2=21.5,'S3'!AE41,IF($E$2=22.5,'S3'!AF41,IF($E$2=23.5,'S3'!AG41,IF($E$2=24.5,'S3'!AH41,IF($E$2=25.5,'S3'!AI41,IF($E$2=26.5,'S3'!AC41,IF($E$2=27.5,'S3'!AK41,IF($E$2=28.5,'S3'!AL41,IF($E$2=29.5,'S3'!AM41,IF($E$2=30.5,'S3'!AN41,IF($E$2=31.5,'S3'!AO41,IF($E$2=32.5,'S3'!AP41,IF($E$2=33.5,'S3'!AQ41,IF($E$2=34.5,'S3'!AR41,IF($E$2=35.5,'S3'!AS41))))))))))))))))</f>
        <v>58.16</v>
      </c>
      <c r="F41" s="398">
        <f t="shared" si="0"/>
        <v>81.42</v>
      </c>
      <c r="H41" s="358"/>
      <c r="I41" s="358"/>
      <c r="J41" s="358"/>
      <c r="K41" s="358"/>
      <c r="L41" s="358"/>
      <c r="M41" s="358"/>
      <c r="N41" s="358"/>
      <c r="O41" s="358"/>
      <c r="P41" s="358"/>
      <c r="Q41" s="358"/>
      <c r="R41" s="358"/>
      <c r="S41" s="358"/>
      <c r="T41" s="325"/>
      <c r="U41" s="325"/>
      <c r="V41" s="325"/>
      <c r="W41" s="325"/>
      <c r="X41" s="325"/>
      <c r="Y41" s="325"/>
      <c r="Z41" s="325"/>
      <c r="AA41" s="325"/>
      <c r="AB41" s="325"/>
      <c r="AC41" s="325"/>
      <c r="AD41" s="325"/>
      <c r="AE41" s="325"/>
      <c r="AF41" s="358"/>
      <c r="AG41" s="358"/>
      <c r="AH41" s="358"/>
      <c r="AI41" s="358"/>
      <c r="AJ41" s="358"/>
      <c r="AK41" s="358"/>
      <c r="AL41" s="358"/>
      <c r="AM41" s="358"/>
      <c r="AN41" s="659"/>
      <c r="AO41" s="659"/>
      <c r="AP41" s="358"/>
      <c r="AQ41" s="358"/>
      <c r="AR41" s="358"/>
      <c r="AS41" s="358"/>
      <c r="AT41" s="358"/>
      <c r="AU41" s="358"/>
      <c r="AV41" s="358"/>
      <c r="AW41" s="358"/>
      <c r="AX41" s="358"/>
      <c r="AY41" s="358"/>
      <c r="AZ41" s="358"/>
      <c r="BA41" s="358"/>
      <c r="BB41" s="358"/>
      <c r="BC41" s="358"/>
      <c r="BD41" s="358"/>
      <c r="BE41" s="358"/>
      <c r="BF41" s="358"/>
    </row>
    <row r="42" spans="2:58">
      <c r="B42" s="411">
        <v>38</v>
      </c>
      <c r="C42" s="376">
        <f>IF($C$2=20.5,'S3'!T42,IF($C$2=21.5,'S3'!V42,IF($C$2=22.5,'S3'!A42,IF($C$2=23.5,'S3'!B42,IF($C$2=24.5,'S3'!C42,IF($C$2=25.5,'S3'!C42,IF($C$2=26.5,'S3'!E42,IF($C$2=27.5,'S3'!F42,IF($C$2=28.5,'S3'!G42,IF($C$2=29.5,'S3'!H42,IF($C$2=30.5,'S3'!I42,IF($C$2=31.5,'S3'!J42,IF($C$2=32.5,'S3'!K42,IF($C$2=33.5,'S3'!L42,IF($C$2=34.5,'S3'!M42,IF($C$2=35.5,'S3'!N42))))))))))))))))</f>
        <v>82.38</v>
      </c>
      <c r="D42" s="398">
        <f t="shared" si="3"/>
        <v>115.33</v>
      </c>
      <c r="E42" s="376">
        <f>IF($E$2=20.5,'S3'!U42,IF($E$2=21.5,'S3'!AE42,IF($E$2=22.5,'S3'!AF42,IF($E$2=23.5,'S3'!AG42,IF($E$2=24.5,'S3'!AH42,IF($E$2=25.5,'S3'!AI42,IF($E$2=26.5,'S3'!AC42,IF($E$2=27.5,'S3'!AK42,IF($E$2=28.5,'S3'!AL42,IF($E$2=29.5,'S3'!AM42,IF($E$2=30.5,'S3'!AN42,IF($E$2=31.5,'S3'!AO42,IF($E$2=32.5,'S3'!AP42,IF($E$2=33.5,'S3'!AQ42,IF($E$2=34.5,'S3'!AR42,IF($E$2=35.5,'S3'!AS42))))))))))))))))</f>
        <v>59.72</v>
      </c>
      <c r="F42" s="398">
        <f t="shared" si="0"/>
        <v>83.61</v>
      </c>
    </row>
    <row r="43" spans="2:58">
      <c r="B43" s="411">
        <v>39</v>
      </c>
      <c r="C43" s="376">
        <f>IF($C$2=20.5,'S3'!T43,IF($C$2=21.5,'S3'!V43,IF($C$2=22.5,'S3'!A43,IF($C$2=23.5,'S3'!B43,IF($C$2=24.5,'S3'!C43,IF($C$2=25.5,'S3'!C43,IF($C$2=26.5,'S3'!E43,IF($C$2=27.5,'S3'!F43,IF($C$2=28.5,'S3'!G43,IF($C$2=29.5,'S3'!H43,IF($C$2=30.5,'S3'!I43,IF($C$2=31.5,'S3'!J43,IF($C$2=32.5,'S3'!K43,IF($C$2=33.5,'S3'!L43,IF($C$2=34.5,'S3'!M43,IF($C$2=35.5,'S3'!N43))))))))))))))))</f>
        <v>84.52</v>
      </c>
      <c r="D43" s="398">
        <f t="shared" si="3"/>
        <v>118.33</v>
      </c>
      <c r="E43" s="376">
        <f>IF($E$2=20.5,'S3'!U43,IF($E$2=21.5,'S3'!AE43,IF($E$2=22.5,'S3'!AF43,IF($E$2=23.5,'S3'!AG43,IF($E$2=24.5,'S3'!AH43,IF($E$2=25.5,'S3'!AI43,IF($E$2=26.5,'S3'!AC43,IF($E$2=27.5,'S3'!AK43,IF($E$2=28.5,'S3'!AL43,IF($E$2=29.5,'S3'!AM43,IF($E$2=30.5,'S3'!AN43,IF($E$2=31.5,'S3'!AO43,IF($E$2=32.5,'S3'!AP43,IF($E$2=33.5,'S3'!AQ43,IF($E$2=34.5,'S3'!AR43,IF($E$2=35.5,'S3'!AS43))))))))))))))))</f>
        <v>61.28</v>
      </c>
      <c r="F43" s="398">
        <f t="shared" si="0"/>
        <v>85.79</v>
      </c>
    </row>
    <row r="44" spans="2:58">
      <c r="B44" s="411">
        <v>40</v>
      </c>
      <c r="C44" s="376">
        <f>IF($C$2=20.5,'S3'!T44,IF($C$2=21.5,'S3'!V44,IF($C$2=22.5,'S3'!A44,IF($C$2=23.5,'S3'!B44,IF($C$2=24.5,'S3'!C44,IF($C$2=25.5,'S3'!C44,IF($C$2=26.5,'S3'!E44,IF($C$2=27.5,'S3'!F44,IF($C$2=28.5,'S3'!G44,IF($C$2=29.5,'S3'!H44,IF($C$2=30.5,'S3'!I44,IF($C$2=31.5,'S3'!J44,IF($C$2=32.5,'S3'!K44,IF($C$2=33.5,'S3'!L44,IF($C$2=34.5,'S3'!M44,IF($C$2=35.5,'S3'!N44))))))))))))))))</f>
        <v>86.66</v>
      </c>
      <c r="D44" s="398">
        <f t="shared" si="3"/>
        <v>121.32</v>
      </c>
      <c r="E44" s="376">
        <f>IF($E$2=20.5,'S3'!U44,IF($E$2=21.5,'S3'!AE44,IF($E$2=22.5,'S3'!AF44,IF($E$2=23.5,'S3'!AG44,IF($E$2=24.5,'S3'!AH44,IF($E$2=25.5,'S3'!AI44,IF($E$2=26.5,'S3'!AC44,IF($E$2=27.5,'S3'!AK44,IF($E$2=28.5,'S3'!AL44,IF($E$2=29.5,'S3'!AM44,IF($E$2=30.5,'S3'!AN44,IF($E$2=31.5,'S3'!AO44,IF($E$2=32.5,'S3'!AP44,IF($E$2=33.5,'S3'!AQ44,IF($E$2=34.5,'S3'!AR44,IF($E$2=35.5,'S3'!AS44))))))))))))))))</f>
        <v>62.83</v>
      </c>
      <c r="F44" s="398">
        <f t="shared" si="0"/>
        <v>87.96</v>
      </c>
    </row>
    <row r="45" spans="2:58">
      <c r="B45" s="411">
        <v>41</v>
      </c>
      <c r="C45" s="376">
        <f>IF($C$2=20.5,'S3'!T45,IF($C$2=21.5,'S3'!V45,IF($C$2=22.5,'S3'!A45,IF($C$2=23.5,'S3'!B45,IF($C$2=24.5,'S3'!C45,IF($C$2=25.5,'S3'!C45,IF($C$2=26.5,'S3'!E45,IF($C$2=27.5,'S3'!F45,IF($C$2=28.5,'S3'!G45,IF($C$2=29.5,'S3'!H45,IF($C$2=30.5,'S3'!I45,IF($C$2=31.5,'S3'!J45,IF($C$2=32.5,'S3'!K45,IF($C$2=33.5,'S3'!L45,IF($C$2=34.5,'S3'!M45,IF($C$2=35.5,'S3'!N45))))))))))))))))</f>
        <v>88.81</v>
      </c>
      <c r="D45" s="398">
        <f t="shared" si="3"/>
        <v>124.33</v>
      </c>
      <c r="E45" s="376">
        <f>IF($E$2=20.5,'S3'!U45,IF($E$2=21.5,'S3'!AE45,IF($E$2=22.5,'S3'!AF45,IF($E$2=23.5,'S3'!AG45,IF($E$2=24.5,'S3'!AH45,IF($E$2=25.5,'S3'!AI45,IF($E$2=26.5,'S3'!AC45,IF($E$2=27.5,'S3'!AK45,IF($E$2=28.5,'S3'!AL45,IF($E$2=29.5,'S3'!AM45,IF($E$2=30.5,'S3'!AN45,IF($E$2=31.5,'S3'!AO45,IF($E$2=32.5,'S3'!AP45,IF($E$2=33.5,'S3'!AQ45,IF($E$2=34.5,'S3'!AR45,IF($E$2=35.5,'S3'!AS45))))))))))))))))</f>
        <v>64.38</v>
      </c>
      <c r="F45" s="398">
        <f t="shared" si="0"/>
        <v>90.13</v>
      </c>
    </row>
    <row r="46" spans="2:58">
      <c r="B46" s="411">
        <v>42</v>
      </c>
      <c r="C46" s="376">
        <f>IF($C$2=20.5,'S3'!T46,IF($C$2=21.5,'S3'!V46,IF($C$2=22.5,'S3'!A46,IF($C$2=23.5,'S3'!B46,IF($C$2=24.5,'S3'!C46,IF($C$2=25.5,'S3'!C46,IF($C$2=26.5,'S3'!E46,IF($C$2=27.5,'S3'!F46,IF($C$2=28.5,'S3'!G46,IF($C$2=29.5,'S3'!H46,IF($C$2=30.5,'S3'!I46,IF($C$2=31.5,'S3'!J46,IF($C$2=32.5,'S3'!K46,IF($C$2=33.5,'S3'!L46,IF($C$2=34.5,'S3'!M46,IF($C$2=35.5,'S3'!N46))))))))))))))))</f>
        <v>90.95</v>
      </c>
      <c r="D46" s="398">
        <f t="shared" si="3"/>
        <v>127.33</v>
      </c>
      <c r="E46" s="376">
        <f>IF($E$2=20.5,'S3'!U46,IF($E$2=21.5,'S3'!AE46,IF($E$2=22.5,'S3'!AF46,IF($E$2=23.5,'S3'!AG46,IF($E$2=24.5,'S3'!AH46,IF($E$2=25.5,'S3'!AI46,IF($E$2=26.5,'S3'!AC46,IF($E$2=27.5,'S3'!AK46,IF($E$2=28.5,'S3'!AL46,IF($E$2=29.5,'S3'!AM46,IF($E$2=30.5,'S3'!AN46,IF($E$2=31.5,'S3'!AO46,IF($E$2=32.5,'S3'!AP46,IF($E$2=33.5,'S3'!AQ46,IF($E$2=34.5,'S3'!AR46,IF($E$2=35.5,'S3'!AS46))))))))))))))))</f>
        <v>65.94</v>
      </c>
      <c r="F46" s="398">
        <f t="shared" si="0"/>
        <v>92.32</v>
      </c>
    </row>
    <row r="47" spans="2:58">
      <c r="B47" s="411">
        <v>43</v>
      </c>
      <c r="C47" s="376">
        <f>IF($C$2=20.5,'S3'!T47,IF($C$2=21.5,'S3'!V47,IF($C$2=22.5,'S3'!A47,IF($C$2=23.5,'S3'!B47,IF($C$2=24.5,'S3'!C47,IF($C$2=25.5,'S3'!C47,IF($C$2=26.5,'S3'!E47,IF($C$2=27.5,'S3'!F47,IF($C$2=28.5,'S3'!G47,IF($C$2=29.5,'S3'!H47,IF($C$2=30.5,'S3'!I47,IF($C$2=31.5,'S3'!J47,IF($C$2=32.5,'S3'!K47,IF($C$2=33.5,'S3'!L47,IF($C$2=34.5,'S3'!M47,IF($C$2=35.5,'S3'!N47))))))))))))))))</f>
        <v>93.09</v>
      </c>
      <c r="D47" s="398">
        <f t="shared" si="3"/>
        <v>130.33000000000001</v>
      </c>
      <c r="E47" s="376" t="str">
        <f>IF($E$2=20.5,'S3'!U47,IF($E$2=21.5,'S3'!AE47,IF($E$2=22.5,'S3'!AF47,IF($E$2=23.5,'S3'!AG47,IF($E$2=24.5,'S3'!AH47,IF($E$2=25.5,'S3'!AI47,IF($E$2=26.5,'S3'!AC47,IF($E$2=27.5,'S3'!AK47,IF($E$2=28.5,'S3'!AL47,IF($E$2=29.5,'S3'!AM47,IF($E$2=30.5,'S3'!AN47,IF($E$2=31.5,'S3'!AO47,IF($E$2=32.5,'S3'!AP47,IF($E$2=33.5,'S3'!AQ47,IF($E$2=34.5,'S3'!AR47,IF($E$2=35.5,'S3'!AS47))))))))))))))))</f>
        <v>67.49.</v>
      </c>
      <c r="F47" s="398" t="e">
        <f t="shared" si="0"/>
        <v>#VALUE!</v>
      </c>
    </row>
    <row r="48" spans="2:58">
      <c r="B48" s="411">
        <v>44</v>
      </c>
      <c r="C48" s="376">
        <f>IF($C$2=20.5,'S3'!T48,IF($C$2=21.5,'S3'!V48,IF($C$2=22.5,'S3'!A48,IF($C$2=23.5,'S3'!B48,IF($C$2=24.5,'S3'!C48,IF($C$2=25.5,'S3'!C48,IF($C$2=26.5,'S3'!E48,IF($C$2=27.5,'S3'!F48,IF($C$2=28.5,'S3'!G48,IF($C$2=29.5,'S3'!H48,IF($C$2=30.5,'S3'!I48,IF($C$2=31.5,'S3'!J48,IF($C$2=32.5,'S3'!K48,IF($C$2=33.5,'S3'!L48,IF($C$2=34.5,'S3'!M48,IF($C$2=35.5,'S3'!N48))))))))))))))))</f>
        <v>95.23</v>
      </c>
      <c r="D48" s="398">
        <f t="shared" si="3"/>
        <v>133.32</v>
      </c>
      <c r="E48" s="376">
        <f>IF($E$2=20.5,'S3'!U48,IF($E$2=21.5,'S3'!AE48,IF($E$2=22.5,'S3'!AF48,IF($E$2=23.5,'S3'!AG48,IF($E$2=24.5,'S3'!AH48,IF($E$2=25.5,'S3'!AI48,IF($E$2=26.5,'S3'!AC48,IF($E$2=27.5,'S3'!AK48,IF($E$2=28.5,'S3'!AL48,IF($E$2=29.5,'S3'!AM48,IF($E$2=30.5,'S3'!AN48,IF($E$2=31.5,'S3'!AO48,IF($E$2=32.5,'S3'!AP48,IF($E$2=33.5,'S3'!AQ48,IF($E$2=34.5,'S3'!AR48,IF($E$2=35.5,'S3'!AS48))))))))))))))))</f>
        <v>69.05</v>
      </c>
      <c r="F48" s="398">
        <f t="shared" si="0"/>
        <v>96.67</v>
      </c>
    </row>
    <row r="49" spans="2:6">
      <c r="B49" s="411">
        <v>45</v>
      </c>
      <c r="C49" s="376">
        <f>IF($C$2=20.5,'S3'!T49,IF($C$2=21.5,'S3'!V49,IF($C$2=22.5,'S3'!A49,IF($C$2=23.5,'S3'!B49,IF($C$2=24.5,'S3'!C49,IF($C$2=25.5,'S3'!C49,IF($C$2=26.5,'S3'!E49,IF($C$2=27.5,'S3'!F49,IF($C$2=28.5,'S3'!G49,IF($C$2=29.5,'S3'!H49,IF($C$2=30.5,'S3'!I49,IF($C$2=31.5,'S3'!J49,IF($C$2=32.5,'S3'!K49,IF($C$2=33.5,'S3'!L49,IF($C$2=34.5,'S3'!M49,IF($C$2=35.5,'S3'!N49))))))))))))))))</f>
        <v>97.37</v>
      </c>
      <c r="D49" s="398">
        <f t="shared" si="3"/>
        <v>136.32</v>
      </c>
      <c r="E49" s="376">
        <f>IF($E$2=20.5,'S3'!U49,IF($E$2=21.5,'S3'!AE49,IF($E$2=22.5,'S3'!AF49,IF($E$2=23.5,'S3'!AG49,IF($E$2=24.5,'S3'!AH49,IF($E$2=25.5,'S3'!AI49,IF($E$2=26.5,'S3'!AC49,IF($E$2=27.5,'S3'!AK49,IF($E$2=28.5,'S3'!AL49,IF($E$2=29.5,'S3'!AM49,IF($E$2=30.5,'S3'!AN49,IF($E$2=31.5,'S3'!AO49,IF($E$2=32.5,'S3'!AP49,IF($E$2=33.5,'S3'!AQ49,IF($E$2=34.5,'S3'!AR49,IF($E$2=35.5,'S3'!AS49))))))))))))))))</f>
        <v>70.61</v>
      </c>
      <c r="F49" s="398">
        <f t="shared" si="0"/>
        <v>98.85</v>
      </c>
    </row>
    <row r="50" spans="2:6">
      <c r="B50" s="411">
        <v>46</v>
      </c>
      <c r="C50" s="376">
        <f>IF($C$2=20.5,'S3'!T50,IF($C$2=21.5,'S3'!V50,IF($C$2=22.5,'S3'!A50,IF($C$2=23.5,'S3'!B50,IF($C$2=24.5,'S3'!C50,IF($C$2=25.5,'S3'!C50,IF($C$2=26.5,'S3'!E50,IF($C$2=27.5,'S3'!F50,IF($C$2=28.5,'S3'!G50,IF($C$2=29.5,'S3'!H50,IF($C$2=30.5,'S3'!I50,IF($C$2=31.5,'S3'!J50,IF($C$2=32.5,'S3'!K50,IF($C$2=33.5,'S3'!L50,IF($C$2=34.5,'S3'!M50,IF($C$2=35.5,'S3'!N50))))))))))))))))</f>
        <v>99.52</v>
      </c>
      <c r="D50" s="398">
        <f t="shared" si="3"/>
        <v>139.33000000000001</v>
      </c>
      <c r="E50" s="376">
        <f>IF($E$2=20.5,'S3'!U50,IF($E$2=21.5,'S3'!AE50,IF($E$2=22.5,'S3'!AF50,IF($E$2=23.5,'S3'!AG50,IF($E$2=24.5,'S3'!AH50,IF($E$2=25.5,'S3'!AI50,IF($E$2=26.5,'S3'!AC50,IF($E$2=27.5,'S3'!AK50,IF($E$2=28.5,'S3'!AL50,IF($E$2=29.5,'S3'!AM50,IF($E$2=30.5,'S3'!AN50,IF($E$2=31.5,'S3'!AO50,IF($E$2=32.5,'S3'!AP50,IF($E$2=33.5,'S3'!AQ50,IF($E$2=34.5,'S3'!AR50,IF($E$2=35.5,'S3'!AS50))))))))))))))))</f>
        <v>72.17</v>
      </c>
      <c r="F50" s="398">
        <f t="shared" si="0"/>
        <v>101.04</v>
      </c>
    </row>
    <row r="51" spans="2:6">
      <c r="B51" s="411">
        <v>47</v>
      </c>
      <c r="C51" s="376">
        <f>IF($C$2=20.5,'S3'!T51,IF($C$2=21.5,'S3'!V51,IF($C$2=22.5,'S3'!A51,IF($C$2=23.5,'S3'!B51,IF($C$2=24.5,'S3'!C51,IF($C$2=25.5,'S3'!C51,IF($C$2=26.5,'S3'!E51,IF($C$2=27.5,'S3'!F51,IF($C$2=28.5,'S3'!G51,IF($C$2=29.5,'S3'!H51,IF($C$2=30.5,'S3'!I51,IF($C$2=31.5,'S3'!J51,IF($C$2=32.5,'S3'!K51,IF($C$2=33.5,'S3'!L51,IF($C$2=34.5,'S3'!M51,IF($C$2=35.5,'S3'!N51))))))))))))))))</f>
        <v>101.66</v>
      </c>
      <c r="D51" s="398">
        <f t="shared" si="3"/>
        <v>142.32</v>
      </c>
      <c r="E51" s="376">
        <f>IF($E$2=20.5,'S3'!U51,IF($E$2=21.5,'S3'!AE51,IF($E$2=22.5,'S3'!AF51,IF($E$2=23.5,'S3'!AG51,IF($E$2=24.5,'S3'!AH51,IF($E$2=25.5,'S3'!AI51,IF($E$2=26.5,'S3'!AC51,IF($E$2=27.5,'S3'!AK51,IF($E$2=28.5,'S3'!AL51,IF($E$2=29.5,'S3'!AM51,IF($E$2=30.5,'S3'!AN51,IF($E$2=31.5,'S3'!AO51,IF($E$2=32.5,'S3'!AP51,IF($E$2=33.5,'S3'!AQ51,IF($E$2=34.5,'S3'!AR51,IF($E$2=35.5,'S3'!AS51))))))))))))))))</f>
        <v>73.72</v>
      </c>
      <c r="F51" s="398">
        <f t="shared" si="0"/>
        <v>103.21</v>
      </c>
    </row>
    <row r="52" spans="2:6">
      <c r="B52" s="411">
        <v>48</v>
      </c>
      <c r="C52" s="376">
        <f>IF($C$2=20.5,'S3'!T52,IF($C$2=21.5,'S3'!V52,IF($C$2=22.5,'S3'!A52,IF($C$2=23.5,'S3'!B52,IF($C$2=24.5,'S3'!C52,IF($C$2=25.5,'S3'!C52,IF($C$2=26.5,'S3'!E52,IF($C$2=27.5,'S3'!F52,IF($C$2=28.5,'S3'!G52,IF($C$2=29.5,'S3'!H52,IF($C$2=30.5,'S3'!I52,IF($C$2=31.5,'S3'!J52,IF($C$2=32.5,'S3'!K52,IF($C$2=33.5,'S3'!L52,IF($C$2=34.5,'S3'!M52,IF($C$2=35.5,'S3'!N52))))))))))))))))</f>
        <v>103.8</v>
      </c>
      <c r="D52" s="398">
        <f t="shared" si="3"/>
        <v>145.32</v>
      </c>
      <c r="E52" s="376">
        <f>IF($E$2=20.5,'S3'!U52,IF($E$2=21.5,'S3'!AE52,IF($E$2=22.5,'S3'!AF52,IF($E$2=23.5,'S3'!AG52,IF($E$2=24.5,'S3'!AH52,IF($E$2=25.5,'S3'!AI52,IF($E$2=26.5,'S3'!AC52,IF($E$2=27.5,'S3'!AK52,IF($E$2=28.5,'S3'!AL52,IF($E$2=29.5,'S3'!AM52,IF($E$2=30.5,'S3'!AN52,IF($E$2=31.5,'S3'!AO52,IF($E$2=32.5,'S3'!AP52,IF($E$2=33.5,'S3'!AQ52,IF($E$2=34.5,'S3'!AR52,IF($E$2=35.5,'S3'!AS52))))))))))))))))</f>
        <v>75.27</v>
      </c>
      <c r="F52" s="398">
        <f t="shared" si="0"/>
        <v>105.38</v>
      </c>
    </row>
    <row r="53" spans="2:6">
      <c r="B53" s="411">
        <v>49</v>
      </c>
      <c r="C53" s="376">
        <f>IF($C$2=20.5,'S3'!T53,IF($C$2=21.5,'S3'!V53,IF($C$2=22.5,'S3'!A53,IF($C$2=23.5,'S3'!B53,IF($C$2=24.5,'S3'!C53,IF($C$2=25.5,'S3'!C53,IF($C$2=26.5,'S3'!E53,IF($C$2=27.5,'S3'!F53,IF($C$2=28.5,'S3'!G53,IF($C$2=29.5,'S3'!H53,IF($C$2=30.5,'S3'!I53,IF($C$2=31.5,'S3'!J53,IF($C$2=32.5,'S3'!K53,IF($C$2=33.5,'S3'!L53,IF($C$2=34.5,'S3'!M53,IF($C$2=35.5,'S3'!N53))))))))))))))))</f>
        <v>105.93</v>
      </c>
      <c r="D53" s="398">
        <f t="shared" si="3"/>
        <v>148.30000000000001</v>
      </c>
      <c r="E53" s="376">
        <f>IF($E$2=20.5,'S3'!U53,IF($E$2=21.5,'S3'!AE53,IF($E$2=22.5,'S3'!AF53,IF($E$2=23.5,'S3'!AG53,IF($E$2=24.5,'S3'!AH53,IF($E$2=25.5,'S3'!AI53,IF($E$2=26.5,'S3'!AC53,IF($E$2=27.5,'S3'!AK53,IF($E$2=28.5,'S3'!AL53,IF($E$2=29.5,'S3'!AM53,IF($E$2=30.5,'S3'!AN53,IF($E$2=31.5,'S3'!AO53,IF($E$2=32.5,'S3'!AP53,IF($E$2=33.5,'S3'!AQ53,IF($E$2=34.5,'S3'!AR53,IF($E$2=35.5,'S3'!AS53))))))))))))))))</f>
        <v>76.83</v>
      </c>
      <c r="F53" s="398">
        <f t="shared" si="0"/>
        <v>107.56</v>
      </c>
    </row>
    <row r="54" spans="2:6">
      <c r="B54" s="411">
        <v>50</v>
      </c>
      <c r="C54" s="376">
        <f>IF($C$2=20.5,'S3'!T54,IF($C$2=21.5,'S3'!V54,IF($C$2=22.5,'S3'!A54,IF($C$2=23.5,'S3'!B54,IF($C$2=24.5,'S3'!C54,IF($C$2=25.5,'S3'!C54,IF($C$2=26.5,'S3'!E54,IF($C$2=27.5,'S3'!F54,IF($C$2=28.5,'S3'!G54,IF($C$2=29.5,'S3'!H54,IF($C$2=30.5,'S3'!I54,IF($C$2=31.5,'S3'!J54,IF($C$2=32.5,'S3'!K54,IF($C$2=33.5,'S3'!L54,IF($C$2=34.5,'S3'!M54,IF($C$2=35.5,'S3'!N54))))))))))))))))</f>
        <v>108.07</v>
      </c>
      <c r="D54" s="398">
        <f t="shared" si="3"/>
        <v>151.30000000000001</v>
      </c>
      <c r="E54" s="376">
        <f>IF($E$2=20.5,'S3'!U54,IF($E$2=21.5,'S3'!AE54,IF($E$2=22.5,'S3'!AF54,IF($E$2=23.5,'S3'!AG54,IF($E$2=24.5,'S3'!AH54,IF($E$2=25.5,'S3'!AI54,IF($E$2=26.5,'S3'!AC54,IF($E$2=27.5,'S3'!AK54,IF($E$2=28.5,'S3'!AL54,IF($E$2=29.5,'S3'!AM54,IF($E$2=30.5,'S3'!AN54,IF($E$2=31.5,'S3'!AO54,IF($E$2=32.5,'S3'!AP54,IF($E$2=33.5,'S3'!AQ54,IF($E$2=34.5,'S3'!AR54,IF($E$2=35.5,'S3'!AS54))))))))))))))))</f>
        <v>78.38</v>
      </c>
      <c r="F54" s="398">
        <f t="shared" si="0"/>
        <v>109.73</v>
      </c>
    </row>
    <row r="55" spans="2:6">
      <c r="B55" s="411">
        <v>51</v>
      </c>
      <c r="C55" s="376">
        <f>IF($C$2=20.5,'S3'!T55,IF($C$2=21.5,'S3'!V55,IF($C$2=22.5,'S3'!A55,IF($C$2=23.5,'S3'!B55,IF($C$2=24.5,'S3'!C55,IF($C$2=25.5,'S3'!C55,IF($C$2=26.5,'S3'!E55,IF($C$2=27.5,'S3'!F55,IF($C$2=28.5,'S3'!G55,IF($C$2=29.5,'S3'!H55,IF($C$2=30.5,'S3'!I55,IF($C$2=31.5,'S3'!J55,IF($C$2=32.5,'S3'!K55,IF($C$2=33.5,'S3'!L55,IF($C$2=34.5,'S3'!M55,IF($C$2=35.5,'S3'!N55))))))))))))))))</f>
        <v>110.23</v>
      </c>
      <c r="D55" s="398">
        <f t="shared" si="3"/>
        <v>154.32</v>
      </c>
      <c r="E55" s="376">
        <f>IF($E$2=20.5,'S3'!U55,IF($E$2=21.5,'S3'!AE55,IF($E$2=22.5,'S3'!AF55,IF($E$2=23.5,'S3'!AG55,IF($E$2=24.5,'S3'!AH55,IF($E$2=25.5,'S3'!AI55,IF($E$2=26.5,'S3'!AC55,IF($E$2=27.5,'S3'!AK55,IF($E$2=28.5,'S3'!AL55,IF($E$2=29.5,'S3'!AM55,IF($E$2=30.5,'S3'!AN55,IF($E$2=31.5,'S3'!AO55,IF($E$2=32.5,'S3'!AP55,IF($E$2=33.5,'S3'!AQ55,IF($E$2=34.5,'S3'!AR55,IF($E$2=35.5,'S3'!AS55))))))))))))))))</f>
        <v>79.94</v>
      </c>
      <c r="F55" s="398">
        <f t="shared" si="0"/>
        <v>111.92</v>
      </c>
    </row>
    <row r="56" spans="2:6">
      <c r="B56" s="411">
        <v>52</v>
      </c>
      <c r="C56" s="376">
        <f>IF($C$2=20.5,'S3'!T56,IF($C$2=21.5,'S3'!V56,IF($C$2=22.5,'S3'!A56,IF($C$2=23.5,'S3'!B56,IF($C$2=24.5,'S3'!C56,IF($C$2=25.5,'S3'!C56,IF($C$2=26.5,'S3'!E56,IF($C$2=27.5,'S3'!F56,IF($C$2=28.5,'S3'!G56,IF($C$2=29.5,'S3'!H56,IF($C$2=30.5,'S3'!I56,IF($C$2=31.5,'S3'!J56,IF($C$2=32.5,'S3'!K56,IF($C$2=33.5,'S3'!L56,IF($C$2=34.5,'S3'!M56,IF($C$2=35.5,'S3'!N56))))))))))))))))</f>
        <v>112.36</v>
      </c>
      <c r="D56" s="398">
        <f t="shared" si="3"/>
        <v>157.30000000000001</v>
      </c>
      <c r="E56" s="376">
        <f>IF($E$2=20.5,'S3'!U56,IF($E$2=21.5,'S3'!AE56,IF($E$2=22.5,'S3'!AF56,IF($E$2=23.5,'S3'!AG56,IF($E$2=24.5,'S3'!AH56,IF($E$2=25.5,'S3'!AI56,IF($E$2=26.5,'S3'!AC56,IF($E$2=27.5,'S3'!AK56,IF($E$2=28.5,'S3'!AL56,IF($E$2=29.5,'S3'!AM56,IF($E$2=30.5,'S3'!AN56,IF($E$2=31.5,'S3'!AO56,IF($E$2=32.5,'S3'!AP56,IF($E$2=33.5,'S3'!AQ56,IF($E$2=34.5,'S3'!AR56,IF($E$2=35.5,'S3'!AS56))))))))))))))))</f>
        <v>81.489999999999995</v>
      </c>
      <c r="F56" s="398">
        <f t="shared" si="0"/>
        <v>114.09</v>
      </c>
    </row>
    <row r="57" spans="2:6">
      <c r="B57" s="411">
        <v>53</v>
      </c>
      <c r="C57" s="376">
        <f>IF($C$2=20.5,'S3'!T57,IF($C$2=21.5,'S3'!V57,IF($C$2=22.5,'S3'!A57,IF($C$2=23.5,'S3'!B57,IF($C$2=24.5,'S3'!C57,IF($C$2=25.5,'S3'!C57,IF($C$2=26.5,'S3'!E57,IF($C$2=27.5,'S3'!F57,IF($C$2=28.5,'S3'!G57,IF($C$2=29.5,'S3'!H57,IF($C$2=30.5,'S3'!I57,IF($C$2=31.5,'S3'!J57,IF($C$2=32.5,'S3'!K57,IF($C$2=33.5,'S3'!L57,IF($C$2=34.5,'S3'!M57,IF($C$2=35.5,'S3'!N57))))))))))))))))</f>
        <v>114.51</v>
      </c>
      <c r="D57" s="398">
        <f t="shared" si="3"/>
        <v>160.31</v>
      </c>
      <c r="E57" s="376">
        <f>IF($E$2=20.5,'S3'!U57,IF($E$2=21.5,'S3'!AE57,IF($E$2=22.5,'S3'!AF57,IF($E$2=23.5,'S3'!AG57,IF($E$2=24.5,'S3'!AH57,IF($E$2=25.5,'S3'!AI57,IF($E$2=26.5,'S3'!AC57,IF($E$2=27.5,'S3'!AK57,IF($E$2=28.5,'S3'!AL57,IF($E$2=29.5,'S3'!AM57,IF($E$2=30.5,'S3'!AN57,IF($E$2=31.5,'S3'!AO57,IF($E$2=32.5,'S3'!AP57,IF($E$2=33.5,'S3'!AQ57,IF($E$2=34.5,'S3'!AR57,IF($E$2=35.5,'S3'!AS57))))))))))))))))</f>
        <v>83.04</v>
      </c>
      <c r="F57" s="398">
        <f t="shared" si="0"/>
        <v>116.26</v>
      </c>
    </row>
    <row r="58" spans="2:6">
      <c r="B58" s="411">
        <v>54</v>
      </c>
      <c r="C58" s="376">
        <f>IF($C$2=20.5,'S3'!T58,IF($C$2=21.5,'S3'!V58,IF($C$2=22.5,'S3'!A58,IF($C$2=23.5,'S3'!B58,IF($C$2=24.5,'S3'!C58,IF($C$2=25.5,'S3'!C58,IF($C$2=26.5,'S3'!E58,IF($C$2=27.5,'S3'!F58,IF($C$2=28.5,'S3'!G58,IF($C$2=29.5,'S3'!H58,IF($C$2=30.5,'S3'!I58,IF($C$2=31.5,'S3'!J58,IF($C$2=32.5,'S3'!K58,IF($C$2=33.5,'S3'!L58,IF($C$2=34.5,'S3'!M58,IF($C$2=35.5,'S3'!N58))))))))))))))))</f>
        <v>116.66</v>
      </c>
      <c r="D58" s="398">
        <f t="shared" si="3"/>
        <v>163.32</v>
      </c>
      <c r="E58" s="376">
        <f>IF($E$2=20.5,'S3'!U58,IF($E$2=21.5,'S3'!AE58,IF($E$2=22.5,'S3'!AF58,IF($E$2=23.5,'S3'!AG58,IF($E$2=24.5,'S3'!AH58,IF($E$2=25.5,'S3'!AI58,IF($E$2=26.5,'S3'!AC58,IF($E$2=27.5,'S3'!AK58,IF($E$2=28.5,'S3'!AL58,IF($E$2=29.5,'S3'!AM58,IF($E$2=30.5,'S3'!AN58,IF($E$2=31.5,'S3'!AO58,IF($E$2=32.5,'S3'!AP58,IF($E$2=33.5,'S3'!AQ58,IF($E$2=34.5,'S3'!AR58,IF($E$2=35.5,'S3'!AS58))))))))))))))))</f>
        <v>84.6</v>
      </c>
      <c r="F58" s="398">
        <f t="shared" si="0"/>
        <v>118.44</v>
      </c>
    </row>
    <row r="59" spans="2:6">
      <c r="B59" s="411">
        <v>55</v>
      </c>
      <c r="C59" s="376">
        <f>IF($C$2=20.5,'S3'!T59,IF($C$2=21.5,'S3'!V59,IF($C$2=22.5,'S3'!A59,IF($C$2=23.5,'S3'!B59,IF($C$2=24.5,'S3'!C59,IF($C$2=25.5,'S3'!C59,IF($C$2=26.5,'S3'!E59,IF($C$2=27.5,'S3'!F59,IF($C$2=28.5,'S3'!G59,IF($C$2=29.5,'S3'!H59,IF($C$2=30.5,'S3'!I59,IF($C$2=31.5,'S3'!J59,IF($C$2=32.5,'S3'!K59,IF($C$2=33.5,'S3'!L59,IF($C$2=34.5,'S3'!M59,IF($C$2=35.5,'S3'!N59))))))))))))))))</f>
        <v>118.79</v>
      </c>
      <c r="D59" s="632">
        <f t="shared" si="3"/>
        <v>166.31</v>
      </c>
      <c r="E59" s="376">
        <f>IF($E$2=20.5,'S3'!U59,IF($E$2=21.5,'S3'!AE59,IF($E$2=22.5,'S3'!AF59,IF($E$2=23.5,'S3'!AG59,IF($E$2=24.5,'S3'!AH59,IF($E$2=25.5,'S3'!AI59,IF($E$2=26.5,'S3'!AC59,IF($E$2=27.5,'S3'!AK59,IF($E$2=28.5,'S3'!AL59,IF($E$2=29.5,'S3'!AM59,IF($E$2=30.5,'S3'!AN59,IF($E$2=31.5,'S3'!AO59,IF($E$2=32.5,'S3'!AP59,IF($E$2=33.5,'S3'!AQ59,IF($E$2=34.5,'S3'!AR59,IF($E$2=35.5,'S3'!AS59))))))))))))))))</f>
        <v>86.16</v>
      </c>
      <c r="F59" s="398">
        <f t="shared" si="0"/>
        <v>120.62</v>
      </c>
    </row>
    <row r="60" spans="2:6">
      <c r="B60" s="411">
        <v>56</v>
      </c>
      <c r="C60" s="376">
        <f>IF($C$2=20.5,'S3'!T60,IF($C$2=21.5,'S3'!V60,IF($C$2=22.5,'S3'!A60,IF($C$2=23.5,'S3'!B60,IF($C$2=24.5,'S3'!C60,IF($C$2=25.5,'S3'!C60,IF($C$2=26.5,'S3'!E60,IF($C$2=27.5,'S3'!F60,IF($C$2=28.5,'S3'!G60,IF($C$2=29.5,'S3'!H60,IF($C$2=30.5,'S3'!I60,IF($C$2=31.5,'S3'!J60,IF($C$2=32.5,'S3'!K60,IF($C$2=33.5,'S3'!L60,IF($C$2=34.5,'S3'!M60,IF($C$2=35.5,'S3'!N60))))))))))))))))</f>
        <v>120.93</v>
      </c>
      <c r="D60" s="398">
        <f t="shared" si="3"/>
        <v>169.3</v>
      </c>
      <c r="E60" s="376">
        <f>IF($E$2=20.5,'S3'!U60,IF($E$2=21.5,'S3'!AE60,IF($E$2=22.5,'S3'!AF60,IF($E$2=23.5,'S3'!AG60,IF($E$2=24.5,'S3'!AH60,IF($E$2=25.5,'S3'!AI60,IF($E$2=26.5,'S3'!AC60,IF($E$2=27.5,'S3'!AK60,IF($E$2=28.5,'S3'!AL60,IF($E$2=29.5,'S3'!AM60,IF($E$2=30.5,'S3'!AN60,IF($E$2=31.5,'S3'!AO60,IF($E$2=32.5,'S3'!AP60,IF($E$2=33.5,'S3'!AQ60,IF($E$2=34.5,'S3'!AR60,IF($E$2=35.5,'S3'!AS60))))))))))))))))</f>
        <v>87.71</v>
      </c>
      <c r="F60" s="398">
        <f t="shared" si="0"/>
        <v>122.79</v>
      </c>
    </row>
    <row r="61" spans="2:6">
      <c r="B61" s="411">
        <v>57</v>
      </c>
      <c r="C61" s="376">
        <f>IF($C$2=20.5,'S3'!T61,IF($C$2=21.5,'S3'!V61,IF($C$2=22.5,'S3'!A61,IF($C$2=23.5,'S3'!B61,IF($C$2=24.5,'S3'!C61,IF($C$2=25.5,'S3'!C61,IF($C$2=26.5,'S3'!E61,IF($C$2=27.5,'S3'!F61,IF($C$2=28.5,'S3'!G61,IF($C$2=29.5,'S3'!H61,IF($C$2=30.5,'S3'!I61,IF($C$2=31.5,'S3'!J61,IF($C$2=32.5,'S3'!K61,IF($C$2=33.5,'S3'!L61,IF($C$2=34.5,'S3'!M61,IF($C$2=35.5,'S3'!N61))))))))))))))))</f>
        <v>123.08</v>
      </c>
      <c r="D61" s="398">
        <f t="shared" si="3"/>
        <v>172.31</v>
      </c>
      <c r="E61" s="376">
        <f>IF($E$2=20.5,'S3'!U61,IF($E$2=21.5,'S3'!AE61,IF($E$2=22.5,'S3'!AF61,IF($E$2=23.5,'S3'!AG61,IF($E$2=24.5,'S3'!AH61,IF($E$2=25.5,'S3'!AI61,IF($E$2=26.5,'S3'!AC61,IF($E$2=27.5,'S3'!AK61,IF($E$2=28.5,'S3'!AL61,IF($E$2=29.5,'S3'!AM61,IF($E$2=30.5,'S3'!AN61,IF($E$2=31.5,'S3'!AO61,IF($E$2=32.5,'S3'!AP61,IF($E$2=33.5,'S3'!AQ61,IF($E$2=34.5,'S3'!AR61,IF($E$2=35.5,'S3'!AS61))))))))))))))))</f>
        <v>89.26</v>
      </c>
      <c r="F61" s="398">
        <f t="shared" si="0"/>
        <v>124.96</v>
      </c>
    </row>
    <row r="62" spans="2:6">
      <c r="B62" s="411">
        <v>58</v>
      </c>
      <c r="C62" s="376">
        <f>IF($C$2=20.5,'S3'!T62,IF($C$2=21.5,'S3'!V62,IF($C$2=22.5,'S3'!A62,IF($C$2=23.5,'S3'!B62,IF($C$2=24.5,'S3'!C62,IF($C$2=25.5,'S3'!C62,IF($C$2=26.5,'S3'!E62,IF($C$2=27.5,'S3'!F62,IF($C$2=28.5,'S3'!G62,IF($C$2=29.5,'S3'!H62,IF($C$2=30.5,'S3'!I62,IF($C$2=31.5,'S3'!J62,IF($C$2=32.5,'S3'!K62,IF($C$2=33.5,'S3'!L62,IF($C$2=34.5,'S3'!M62,IF($C$2=35.5,'S3'!N62))))))))))))))))</f>
        <v>125.24</v>
      </c>
      <c r="D62" s="398">
        <f t="shared" si="3"/>
        <v>175.34</v>
      </c>
      <c r="E62" s="376">
        <f>IF($E$2=20.5,'S3'!U62,IF($E$2=21.5,'S3'!AE62,IF($E$2=22.5,'S3'!AF62,IF($E$2=23.5,'S3'!AG62,IF($E$2=24.5,'S3'!AH62,IF($E$2=25.5,'S3'!AI62,IF($E$2=26.5,'S3'!AC62,IF($E$2=27.5,'S3'!AK62,IF($E$2=28.5,'S3'!AL62,IF($E$2=29.5,'S3'!AM62,IF($E$2=30.5,'S3'!AN62,IF($E$2=31.5,'S3'!AO62,IF($E$2=32.5,'S3'!AP62,IF($E$2=33.5,'S3'!AQ62,IF($E$2=34.5,'S3'!AR62,IF($E$2=35.5,'S3'!AS62))))))))))))))))</f>
        <v>90.82</v>
      </c>
      <c r="F62" s="398">
        <f t="shared" si="0"/>
        <v>127.15</v>
      </c>
    </row>
    <row r="63" spans="2:6">
      <c r="B63" s="411">
        <v>59</v>
      </c>
      <c r="C63" s="376">
        <f>IF($C$2=20.5,'S3'!T63,IF($C$2=21.5,'S3'!V63,IF($C$2=22.5,'S3'!A63,IF($C$2=23.5,'S3'!B63,IF($C$2=24.5,'S3'!C63,IF($C$2=25.5,'S3'!C63,IF($C$2=26.5,'S3'!E63,IF($C$2=27.5,'S3'!F63,IF($C$2=28.5,'S3'!G63,IF($C$2=29.5,'S3'!H63,IF($C$2=30.5,'S3'!I63,IF($C$2=31.5,'S3'!J63,IF($C$2=32.5,'S3'!K63,IF($C$2=33.5,'S3'!L63,IF($C$2=34.5,'S3'!M63,IF($C$2=35.5,'S3'!N63))))))))))))))))</f>
        <v>127.37</v>
      </c>
      <c r="D63" s="398">
        <f t="shared" si="3"/>
        <v>178.32</v>
      </c>
      <c r="E63" s="376">
        <f>IF($E$2=20.5,'S3'!U63,IF($E$2=21.5,'S3'!AE63,IF($E$2=22.5,'S3'!AF63,IF($E$2=23.5,'S3'!AG63,IF($E$2=24.5,'S3'!AH63,IF($E$2=25.5,'S3'!AI63,IF($E$2=26.5,'S3'!AC63,IF($E$2=27.5,'S3'!AK63,IF($E$2=28.5,'S3'!AL63,IF($E$2=29.5,'S3'!AM63,IF($E$2=30.5,'S3'!AN63,IF($E$2=31.5,'S3'!AO63,IF($E$2=32.5,'S3'!AP63,IF($E$2=33.5,'S3'!AQ63,IF($E$2=34.5,'S3'!AR63,IF($E$2=35.5,'S3'!AS63))))))))))))))))</f>
        <v>92.38</v>
      </c>
      <c r="F63" s="398">
        <f t="shared" si="0"/>
        <v>129.33000000000001</v>
      </c>
    </row>
    <row r="64" spans="2:6">
      <c r="B64" s="411">
        <v>60</v>
      </c>
      <c r="C64" s="376">
        <f>IF($C$2=20.5,'S3'!T64,IF($C$2=21.5,'S3'!V64,IF($C$2=22.5,'S3'!A64,IF($C$2=23.5,'S3'!B64,IF($C$2=24.5,'S3'!C64,IF($C$2=25.5,'S3'!C64,IF($C$2=26.5,'S3'!E64,IF($C$2=27.5,'S3'!F64,IF($C$2=28.5,'S3'!G64,IF($C$2=29.5,'S3'!H64,IF($C$2=30.5,'S3'!I64,IF($C$2=31.5,'S3'!J64,IF($C$2=32.5,'S3'!K64,IF($C$2=33.5,'S3'!L64,IF($C$2=34.5,'S3'!M64,IF($C$2=35.5,'S3'!N64))))))))))))))))</f>
        <v>129.51</v>
      </c>
      <c r="D64" s="398">
        <f t="shared" si="3"/>
        <v>181.31</v>
      </c>
      <c r="E64" s="376">
        <f>IF($E$2=20.5,'S3'!U64,IF($E$2=21.5,'S3'!AE64,IF($E$2=22.5,'S3'!AF64,IF($E$2=23.5,'S3'!AG64,IF($E$2=24.5,'S3'!AH64,IF($E$2=25.5,'S3'!AI64,IF($E$2=26.5,'S3'!AC64,IF($E$2=27.5,'S3'!AK64,IF($E$2=28.5,'S3'!AL64,IF($E$2=29.5,'S3'!AM64,IF($E$2=30.5,'S3'!AN64,IF($E$2=31.5,'S3'!AO64,IF($E$2=32.5,'S3'!AP64,IF($E$2=33.5,'S3'!AQ64,IF($E$2=34.5,'S3'!AR64,IF($E$2=35.5,'S3'!AS64))))))))))))))))</f>
        <v>93.94</v>
      </c>
      <c r="F64" s="398">
        <f t="shared" si="0"/>
        <v>131.52000000000001</v>
      </c>
    </row>
    <row r="65" spans="2:6">
      <c r="B65" s="411">
        <v>61</v>
      </c>
      <c r="C65" s="376">
        <f>IF($C$2=20.5,'S3'!T65,IF($C$2=21.5,'S3'!V65,IF($C$2=22.5,'S3'!A65,IF($C$2=23.5,'S3'!B65,IF($C$2=24.5,'S3'!C65,IF($C$2=25.5,'S3'!C65,IF($C$2=26.5,'S3'!E65,IF($C$2=27.5,'S3'!F65,IF($C$2=28.5,'S3'!G65,IF($C$2=29.5,'S3'!H65,IF($C$2=30.5,'S3'!I65,IF($C$2=31.5,'S3'!J65,IF($C$2=32.5,'S3'!K65,IF($C$2=33.5,'S3'!L65,IF($C$2=34.5,'S3'!M65,IF($C$2=35.5,'S3'!N65))))))))))))))))</f>
        <v>131.66</v>
      </c>
      <c r="D65" s="398">
        <f t="shared" si="3"/>
        <v>184.32</v>
      </c>
      <c r="E65" s="376">
        <f>IF($E$2=20.5,'S3'!U65,IF($E$2=21.5,'S3'!AE65,IF($E$2=22.5,'S3'!AF65,IF($E$2=23.5,'S3'!AG65,IF($E$2=24.5,'S3'!AH65,IF($E$2=25.5,'S3'!AI65,IF($E$2=26.5,'S3'!AC65,IF($E$2=27.5,'S3'!AK65,IF($E$2=28.5,'S3'!AL65,IF($E$2=29.5,'S3'!AM65,IF($E$2=30.5,'S3'!AN65,IF($E$2=31.5,'S3'!AO65,IF($E$2=32.5,'S3'!AP65,IF($E$2=33.5,'S3'!AQ65,IF($E$2=34.5,'S3'!AR65,IF($E$2=35.5,'S3'!AS65))))))))))))))))</f>
        <v>95.49</v>
      </c>
      <c r="F65" s="398">
        <f t="shared" si="0"/>
        <v>133.69</v>
      </c>
    </row>
    <row r="66" spans="2:6">
      <c r="B66" s="411">
        <v>62</v>
      </c>
      <c r="C66" s="376">
        <f>IF($C$2=20.5,'S3'!T66,IF($C$2=21.5,'S3'!V66,IF($C$2=22.5,'S3'!A66,IF($C$2=23.5,'S3'!B66,IF($C$2=24.5,'S3'!C66,IF($C$2=25.5,'S3'!C66,IF($C$2=26.5,'S3'!E66,IF($C$2=27.5,'S3'!F66,IF($C$2=28.5,'S3'!G66,IF($C$2=29.5,'S3'!H66,IF($C$2=30.5,'S3'!I66,IF($C$2=31.5,'S3'!J66,IF($C$2=32.5,'S3'!K66,IF($C$2=33.5,'S3'!L66,IF($C$2=34.5,'S3'!M66,IF($C$2=35.5,'S3'!N66))))))))))))))))</f>
        <v>133.83000000000001</v>
      </c>
      <c r="D66" s="398">
        <f t="shared" si="3"/>
        <v>187.36</v>
      </c>
      <c r="E66" s="376">
        <f>IF($E$2=20.5,'S3'!U66,IF($E$2=21.5,'S3'!AE66,IF($E$2=22.5,'S3'!AF66,IF($E$2=23.5,'S3'!AG66,IF($E$2=24.5,'S3'!AH66,IF($E$2=25.5,'S3'!AI66,IF($E$2=26.5,'S3'!AC66,IF($E$2=27.5,'S3'!AK66,IF($E$2=28.5,'S3'!AL66,IF($E$2=29.5,'S3'!AM66,IF($E$2=30.5,'S3'!AN66,IF($E$2=31.5,'S3'!AO66,IF($E$2=32.5,'S3'!AP66,IF($E$2=33.5,'S3'!AQ66,IF($E$2=34.5,'S3'!AR66,IF($E$2=35.5,'S3'!AS66))))))))))))))))</f>
        <v>97.04</v>
      </c>
      <c r="F66" s="398">
        <f t="shared" si="0"/>
        <v>135.86000000000001</v>
      </c>
    </row>
    <row r="67" spans="2:6">
      <c r="B67" s="411">
        <v>63</v>
      </c>
      <c r="C67" s="376">
        <f>IF($C$2=20.5,'S3'!T67,IF($C$2=21.5,'S3'!V67,IF($C$2=22.5,'S3'!A67,IF($C$2=23.5,'S3'!B67,IF($C$2=24.5,'S3'!C67,IF($C$2=25.5,'S3'!C67,IF($C$2=26.5,'S3'!E67,IF($C$2=27.5,'S3'!F67,IF($C$2=28.5,'S3'!G67,IF($C$2=29.5,'S3'!H67,IF($C$2=30.5,'S3'!I67,IF($C$2=31.5,'S3'!J67,IF($C$2=32.5,'S3'!K67,IF($C$2=33.5,'S3'!L67,IF($C$2=34.5,'S3'!M67,IF($C$2=35.5,'S3'!N67))))))))))))))))</f>
        <v>135.94999999999999</v>
      </c>
      <c r="D67" s="398">
        <f t="shared" si="3"/>
        <v>190.33</v>
      </c>
      <c r="E67" s="376">
        <f>IF($E$2=20.5,'S3'!U67,IF($E$2=21.5,'S3'!AE67,IF($E$2=22.5,'S3'!AF67,IF($E$2=23.5,'S3'!AG67,IF($E$2=24.5,'S3'!AH67,IF($E$2=25.5,'S3'!AI67,IF($E$2=26.5,'S3'!AC67,IF($E$2=27.5,'S3'!AK67,IF($E$2=28.5,'S3'!AL67,IF($E$2=29.5,'S3'!AM67,IF($E$2=30.5,'S3'!AN67,IF($E$2=31.5,'S3'!AO67,IF($E$2=32.5,'S3'!AP67,IF($E$2=33.5,'S3'!AQ67,IF($E$2=34.5,'S3'!AR67,IF($E$2=35.5,'S3'!AS67))))))))))))))))</f>
        <v>98.6</v>
      </c>
      <c r="F67" s="398">
        <f t="shared" si="0"/>
        <v>138.04</v>
      </c>
    </row>
    <row r="68" spans="2:6">
      <c r="B68" s="411">
        <v>64</v>
      </c>
      <c r="C68" s="376">
        <f>IF($C$2=20.5,'S3'!T68,IF($C$2=21.5,'S3'!V68,IF($C$2=22.5,'S3'!A68,IF($C$2=23.5,'S3'!B68,IF($C$2=24.5,'S3'!C68,IF($C$2=25.5,'S3'!C68,IF($C$2=26.5,'S3'!E68,IF($C$2=27.5,'S3'!F68,IF($C$2=28.5,'S3'!G68,IF($C$2=29.5,'S3'!H68,IF($C$2=30.5,'S3'!I68,IF($C$2=31.5,'S3'!J68,IF($C$2=32.5,'S3'!K68,IF($C$2=33.5,'S3'!L68,IF($C$2=34.5,'S3'!M68,IF($C$2=35.5,'S3'!N68))))))))))))))))</f>
        <v>138.08000000000001</v>
      </c>
      <c r="D68" s="398">
        <f t="shared" si="3"/>
        <v>193.31</v>
      </c>
      <c r="E68" s="376">
        <f>IF($E$2=20.5,'S3'!U68,IF($E$2=21.5,'S3'!AE68,IF($E$2=22.5,'S3'!AF68,IF($E$2=23.5,'S3'!AG68,IF($E$2=24.5,'S3'!AH68,IF($E$2=25.5,'S3'!AI68,IF($E$2=26.5,'S3'!AC68,IF($E$2=27.5,'S3'!AK68,IF($E$2=28.5,'S3'!AL68,IF($E$2=29.5,'S3'!AM68,IF($E$2=30.5,'S3'!AN68,IF($E$2=31.5,'S3'!AO68,IF($E$2=32.5,'S3'!AP68,IF($E$2=33.5,'S3'!AQ68,IF($E$2=34.5,'S3'!AR68,IF($E$2=35.5,'S3'!AS68))))))))))))))))</f>
        <v>100.16</v>
      </c>
      <c r="F68" s="398">
        <f t="shared" si="0"/>
        <v>140.22</v>
      </c>
    </row>
    <row r="69" spans="2:6">
      <c r="B69" s="411">
        <v>65</v>
      </c>
      <c r="C69" s="376">
        <f>IF($C$2=20.5,'S3'!T69,IF($C$2=21.5,'S3'!V69,IF($C$2=22.5,'S3'!A69,IF($C$2=23.5,'S3'!B69,IF($C$2=24.5,'S3'!C69,IF($C$2=25.5,'S3'!C69,IF($C$2=26.5,'S3'!E69,IF($C$2=27.5,'S3'!F69,IF($C$2=28.5,'S3'!G69,IF($C$2=29.5,'S3'!H69,IF($C$2=30.5,'S3'!I69,IF($C$2=31.5,'S3'!J69,IF($C$2=32.5,'S3'!K69,IF($C$2=33.5,'S3'!L69,IF($C$2=34.5,'S3'!M69,IF($C$2=35.5,'S3'!N69))))))))))))))))</f>
        <v>140.22</v>
      </c>
      <c r="D69" s="398">
        <f t="shared" si="3"/>
        <v>196.31</v>
      </c>
      <c r="E69" s="376">
        <f>IF($E$2=20.5,'S3'!U69,IF($E$2=21.5,'S3'!AE69,IF($E$2=22.5,'S3'!AF69,IF($E$2=23.5,'S3'!AG69,IF($E$2=24.5,'S3'!AH69,IF($E$2=25.5,'S3'!AI69,IF($E$2=26.5,'S3'!AC69,IF($E$2=27.5,'S3'!AK69,IF($E$2=28.5,'S3'!AL69,IF($E$2=29.5,'S3'!AM69,IF($E$2=30.5,'S3'!AN69,IF($E$2=31.5,'S3'!AO69,IF($E$2=32.5,'S3'!AP69,IF($E$2=33.5,'S3'!AQ69,IF($E$2=34.5,'S3'!AR69,IF($E$2=35.5,'S3'!AS69))))))))))))))))</f>
        <v>101.7</v>
      </c>
      <c r="F69" s="398">
        <f t="shared" si="0"/>
        <v>142.38</v>
      </c>
    </row>
    <row r="70" spans="2:6">
      <c r="B70" s="411">
        <v>66</v>
      </c>
      <c r="C70" s="376">
        <f>IF($C$2=20.5,'S3'!T70,IF($C$2=21.5,'S3'!V70,IF($C$2=22.5,'S3'!A70,IF($C$2=23.5,'S3'!B70,IF($C$2=24.5,'S3'!C70,IF($C$2=25.5,'S3'!C70,IF($C$2=26.5,'S3'!E70,IF($C$2=27.5,'S3'!F70,IF($C$2=28.5,'S3'!G70,IF($C$2=29.5,'S3'!H70,IF($C$2=30.5,'S3'!I70,IF($C$2=31.5,'S3'!J70,IF($C$2=32.5,'S3'!K70,IF($C$2=33.5,'S3'!L70,IF($C$2=34.5,'S3'!M70,IF($C$2=35.5,'S3'!N70))))))))))))))))</f>
        <v>142.37</v>
      </c>
      <c r="D70" s="398">
        <f t="shared" si="3"/>
        <v>199.32</v>
      </c>
      <c r="E70" s="376">
        <f>IF($E$2=20.5,'S3'!U70,IF($E$2=21.5,'S3'!AE70,IF($E$2=22.5,'S3'!AF70,IF($E$2=23.5,'S3'!AG70,IF($E$2=24.5,'S3'!AH70,IF($E$2=25.5,'S3'!AI70,IF($E$2=26.5,'S3'!AC70,IF($E$2=27.5,'S3'!AK70,IF($E$2=28.5,'S3'!AL70,IF($E$2=29.5,'S3'!AM70,IF($E$2=30.5,'S3'!AN70,IF($E$2=31.5,'S3'!AO70,IF($E$2=32.5,'S3'!AP70,IF($E$2=33.5,'S3'!AQ70,IF($E$2=34.5,'S3'!AR70,IF($E$2=35.5,'S3'!AS70))))))))))))))))</f>
        <v>103.27</v>
      </c>
      <c r="F70" s="398">
        <f t="shared" ref="F70:F133" si="6">ROUND(E70*1.4,2)</f>
        <v>144.58000000000001</v>
      </c>
    </row>
    <row r="71" spans="2:6">
      <c r="B71" s="411">
        <v>67</v>
      </c>
      <c r="C71" s="376">
        <f>IF($C$2=20.5,'S3'!T71,IF($C$2=21.5,'S3'!V71,IF($C$2=22.5,'S3'!A71,IF($C$2=23.5,'S3'!B71,IF($C$2=24.5,'S3'!C71,IF($C$2=25.5,'S3'!C71,IF($C$2=26.5,'S3'!E71,IF($C$2=27.5,'S3'!F71,IF($C$2=28.5,'S3'!G71,IF($C$2=29.5,'S3'!H71,IF($C$2=30.5,'S3'!I71,IF($C$2=31.5,'S3'!J71,IF($C$2=32.5,'S3'!K71,IF($C$2=33.5,'S3'!L71,IF($C$2=34.5,'S3'!M71,IF($C$2=35.5,'S3'!N71))))))))))))))))</f>
        <v>144.53</v>
      </c>
      <c r="D71" s="398">
        <f t="shared" ref="D71:D134" si="7">ROUND(C71*1.4,2)</f>
        <v>202.34</v>
      </c>
      <c r="E71" s="376">
        <f>IF($E$2=20.5,'S3'!U71,IF($E$2=21.5,'S3'!AE71,IF($E$2=22.5,'S3'!AF71,IF($E$2=23.5,'S3'!AG71,IF($E$2=24.5,'S3'!AH71,IF($E$2=25.5,'S3'!AI71,IF($E$2=26.5,'S3'!AC71,IF($E$2=27.5,'S3'!AK71,IF($E$2=28.5,'S3'!AL71,IF($E$2=29.5,'S3'!AM71,IF($E$2=30.5,'S3'!AN71,IF($E$2=31.5,'S3'!AO71,IF($E$2=32.5,'S3'!AP71,IF($E$2=33.5,'S3'!AQ71,IF($E$2=34.5,'S3'!AR71,IF($E$2=35.5,'S3'!AS71))))))))))))))))</f>
        <v>104.82</v>
      </c>
      <c r="F71" s="398">
        <f t="shared" si="6"/>
        <v>146.75</v>
      </c>
    </row>
    <row r="72" spans="2:6">
      <c r="B72" s="411">
        <v>68</v>
      </c>
      <c r="C72" s="376">
        <f>IF($C$2=20.5,'S3'!T72,IF($C$2=21.5,'S3'!V72,IF($C$2=22.5,'S3'!A72,IF($C$2=23.5,'S3'!B72,IF($C$2=24.5,'S3'!C72,IF($C$2=25.5,'S3'!C72,IF($C$2=26.5,'S3'!E72,IF($C$2=27.5,'S3'!F72,IF($C$2=28.5,'S3'!G72,IF($C$2=29.5,'S3'!H72,IF($C$2=30.5,'S3'!I72,IF($C$2=31.5,'S3'!J72,IF($C$2=32.5,'S3'!K72,IF($C$2=33.5,'S3'!L72,IF($C$2=34.5,'S3'!M72,IF($C$2=35.5,'S3'!N72))))))))))))))))</f>
        <v>146.63999999999999</v>
      </c>
      <c r="D72" s="398">
        <f t="shared" si="7"/>
        <v>205.3</v>
      </c>
      <c r="E72" s="376">
        <f>IF($E$2=20.5,'S3'!U72,IF($E$2=21.5,'S3'!AE72,IF($E$2=22.5,'S3'!AF72,IF($E$2=23.5,'S3'!AG72,IF($E$2=24.5,'S3'!AH72,IF($E$2=25.5,'S3'!AI72,IF($E$2=26.5,'S3'!AC72,IF($E$2=27.5,'S3'!AK72,IF($E$2=28.5,'S3'!AL72,IF($E$2=29.5,'S3'!AM72,IF($E$2=30.5,'S3'!AN72,IF($E$2=31.5,'S3'!AO72,IF($E$2=32.5,'S3'!AP72,IF($E$2=33.5,'S3'!AQ72,IF($E$2=34.5,'S3'!AR72,IF($E$2=35.5,'S3'!AS72))))))))))))))))</f>
        <v>106.37</v>
      </c>
      <c r="F72" s="398">
        <f t="shared" si="6"/>
        <v>148.91999999999999</v>
      </c>
    </row>
    <row r="73" spans="2:6">
      <c r="B73" s="411">
        <v>69</v>
      </c>
      <c r="C73" s="376">
        <f>IF($C$2=20.5,'S3'!T73,IF($C$2=21.5,'S3'!V73,IF($C$2=22.5,'S3'!A73,IF($C$2=23.5,'S3'!B73,IF($C$2=24.5,'S3'!C73,IF($C$2=25.5,'S3'!C73,IF($C$2=26.5,'S3'!E73,IF($C$2=27.5,'S3'!F73,IF($C$2=28.5,'S3'!G73,IF($C$2=29.5,'S3'!H73,IF($C$2=30.5,'S3'!I73,IF($C$2=31.5,'S3'!J73,IF($C$2=32.5,'S3'!K73,IF($C$2=33.5,'S3'!L73,IF($C$2=34.5,'S3'!M73,IF($C$2=35.5,'S3'!N73))))))))))))))))</f>
        <v>148.82</v>
      </c>
      <c r="D73" s="398">
        <f t="shared" si="7"/>
        <v>208.35</v>
      </c>
      <c r="E73" s="376">
        <f>IF($E$2=20.5,'S3'!U73,IF($E$2=21.5,'S3'!AE73,IF($E$2=22.5,'S3'!AF73,IF($E$2=23.5,'S3'!AG73,IF($E$2=24.5,'S3'!AH73,IF($E$2=25.5,'S3'!AI73,IF($E$2=26.5,'S3'!AC73,IF($E$2=27.5,'S3'!AK73,IF($E$2=28.5,'S3'!AL73,IF($E$2=29.5,'S3'!AM73,IF($E$2=30.5,'S3'!AN73,IF($E$2=31.5,'S3'!AO73,IF($E$2=32.5,'S3'!AP73,IF($E$2=33.5,'S3'!AQ73,IF($E$2=34.5,'S3'!AR73,IF($E$2=35.5,'S3'!AS73))))))))))))))))</f>
        <v>107.92</v>
      </c>
      <c r="F73" s="398">
        <f t="shared" si="6"/>
        <v>151.09</v>
      </c>
    </row>
    <row r="74" spans="2:6">
      <c r="B74" s="411">
        <v>70</v>
      </c>
      <c r="C74" s="376">
        <f>IF($C$2=20.5,'S3'!T74,IF($C$2=21.5,'S3'!V74,IF($C$2=22.5,'S3'!A74,IF($C$2=23.5,'S3'!B74,IF($C$2=24.5,'S3'!C74,IF($C$2=25.5,'S3'!C74,IF($C$2=26.5,'S3'!E74,IF($C$2=27.5,'S3'!F74,IF($C$2=28.5,'S3'!G74,IF($C$2=29.5,'S3'!H74,IF($C$2=30.5,'S3'!I74,IF($C$2=31.5,'S3'!J74,IF($C$2=32.5,'S3'!K74,IF($C$2=33.5,'S3'!L74,IF($C$2=34.5,'S3'!M74,IF($C$2=35.5,'S3'!N74))))))))))))))))</f>
        <v>150.94</v>
      </c>
      <c r="D74" s="398">
        <f t="shared" si="7"/>
        <v>211.32</v>
      </c>
      <c r="E74" s="376">
        <f>IF($E$2=20.5,'S3'!U74,IF($E$2=21.5,'S3'!AE74,IF($E$2=22.5,'S3'!AF74,IF($E$2=23.5,'S3'!AG74,IF($E$2=24.5,'S3'!AH74,IF($E$2=25.5,'S3'!AI74,IF($E$2=26.5,'S3'!AC74,IF($E$2=27.5,'S3'!AK74,IF($E$2=28.5,'S3'!AL74,IF($E$2=29.5,'S3'!AM74,IF($E$2=30.5,'S3'!AN74,IF($E$2=31.5,'S3'!AO74,IF($E$2=32.5,'S3'!AP74,IF($E$2=33.5,'S3'!AQ74,IF($E$2=34.5,'S3'!AR74,IF($E$2=35.5,'S3'!AS74))))))))))))))))</f>
        <v>109.48</v>
      </c>
      <c r="F74" s="398">
        <f t="shared" si="6"/>
        <v>153.27000000000001</v>
      </c>
    </row>
    <row r="75" spans="2:6">
      <c r="B75" s="411">
        <v>71</v>
      </c>
      <c r="C75" s="376">
        <f>IF($C$2=20.5,'S3'!T75,IF($C$2=21.5,'S3'!V75,IF($C$2=22.5,'S3'!A75,IF($C$2=23.5,'S3'!B75,IF($C$2=24.5,'S3'!C75,IF($C$2=25.5,'S3'!C75,IF($C$2=26.5,'S3'!E75,IF($C$2=27.5,'S3'!F75,IF($C$2=28.5,'S3'!G75,IF($C$2=29.5,'S3'!H75,IF($C$2=30.5,'S3'!I75,IF($C$2=31.5,'S3'!J75,IF($C$2=32.5,'S3'!K75,IF($C$2=33.5,'S3'!L75,IF($C$2=34.5,'S3'!M75,IF($C$2=35.5,'S3'!N75))))))))))))))))</f>
        <v>153.08000000000001</v>
      </c>
      <c r="D75" s="398">
        <f t="shared" si="7"/>
        <v>214.31</v>
      </c>
      <c r="E75" s="376">
        <f>IF($E$2=20.5,'S3'!U75,IF($E$2=21.5,'S3'!AE75,IF($E$2=22.5,'S3'!AF75,IF($E$2=23.5,'S3'!AG75,IF($E$2=24.5,'S3'!AH75,IF($E$2=25.5,'S3'!AI75,IF($E$2=26.5,'S3'!AC75,IF($E$2=27.5,'S3'!AK75,IF($E$2=28.5,'S3'!AL75,IF($E$2=29.5,'S3'!AM75,IF($E$2=30.5,'S3'!AN75,IF($E$2=31.5,'S3'!AO75,IF($E$2=32.5,'S3'!AP75,IF($E$2=33.5,'S3'!AQ75,IF($E$2=34.5,'S3'!AR75,IF($E$2=35.5,'S3'!AS75))))))))))))))))</f>
        <v>111.04</v>
      </c>
      <c r="F75" s="398">
        <f t="shared" si="6"/>
        <v>155.46</v>
      </c>
    </row>
    <row r="76" spans="2:6">
      <c r="B76" s="411">
        <v>72</v>
      </c>
      <c r="C76" s="376">
        <f>IF($C$2=20.5,'S3'!T76,IF($C$2=21.5,'S3'!V76,IF($C$2=22.5,'S3'!A76,IF($C$2=23.5,'S3'!B76,IF($C$2=24.5,'S3'!C76,IF($C$2=25.5,'S3'!C76,IF($C$2=26.5,'S3'!E76,IF($C$2=27.5,'S3'!F76,IF($C$2=28.5,'S3'!G76,IF($C$2=29.5,'S3'!H76,IF($C$2=30.5,'S3'!I76,IF($C$2=31.5,'S3'!J76,IF($C$2=32.5,'S3'!K76,IF($C$2=33.5,'S3'!L76,IF($C$2=34.5,'S3'!M76,IF($C$2=35.5,'S3'!N76))))))))))))))))</f>
        <v>155.22</v>
      </c>
      <c r="D76" s="398">
        <f t="shared" si="7"/>
        <v>217.31</v>
      </c>
      <c r="E76" s="376">
        <f>IF($E$2=20.5,'S3'!U76,IF($E$2=21.5,'S3'!AE76,IF($E$2=22.5,'S3'!AF76,IF($E$2=23.5,'S3'!AG76,IF($E$2=24.5,'S3'!AH76,IF($E$2=25.5,'S3'!AI76,IF($E$2=26.5,'S3'!AC76,IF($E$2=27.5,'S3'!AK76,IF($E$2=28.5,'S3'!AL76,IF($E$2=29.5,'S3'!AM76,IF($E$2=30.5,'S3'!AN76,IF($E$2=31.5,'S3'!AO76,IF($E$2=32.5,'S3'!AP76,IF($E$2=33.5,'S3'!AQ76,IF($E$2=34.5,'S3'!AR76,IF($E$2=35.5,'S3'!AS76))))))))))))))))</f>
        <v>112.61</v>
      </c>
      <c r="F76" s="398">
        <f t="shared" si="6"/>
        <v>157.65</v>
      </c>
    </row>
    <row r="77" spans="2:6">
      <c r="B77" s="411">
        <v>73</v>
      </c>
      <c r="C77" s="376">
        <f>IF($C$2=20.5,'S3'!T77,IF($C$2=21.5,'S3'!V77,IF($C$2=22.5,'S3'!A77,IF($C$2=23.5,'S3'!B77,IF($C$2=24.5,'S3'!C77,IF($C$2=25.5,'S3'!C77,IF($C$2=26.5,'S3'!E77,IF($C$2=27.5,'S3'!F77,IF($C$2=28.5,'S3'!G77,IF($C$2=29.5,'S3'!H77,IF($C$2=30.5,'S3'!I77,IF($C$2=31.5,'S3'!J77,IF($C$2=32.5,'S3'!K77,IF($C$2=33.5,'S3'!L77,IF($C$2=34.5,'S3'!M77,IF($C$2=35.5,'S3'!N77))))))))))))))))</f>
        <v>157.38</v>
      </c>
      <c r="D77" s="398">
        <f t="shared" si="7"/>
        <v>220.33</v>
      </c>
      <c r="E77" s="376">
        <f>IF($E$2=20.5,'S3'!U77,IF($E$2=21.5,'S3'!AE77,IF($E$2=22.5,'S3'!AF77,IF($E$2=23.5,'S3'!AG77,IF($E$2=24.5,'S3'!AH77,IF($E$2=25.5,'S3'!AI77,IF($E$2=26.5,'S3'!AC77,IF($E$2=27.5,'S3'!AK77,IF($E$2=28.5,'S3'!AL77,IF($E$2=29.5,'S3'!AM77,IF($E$2=30.5,'S3'!AN77,IF($E$2=31.5,'S3'!AO77,IF($E$2=32.5,'S3'!AP77,IF($E$2=33.5,'S3'!AQ77,IF($E$2=34.5,'S3'!AR77,IF($E$2=35.5,'S3'!AS77))))))))))))))))</f>
        <v>114.15</v>
      </c>
      <c r="F77" s="398">
        <f t="shared" si="6"/>
        <v>159.81</v>
      </c>
    </row>
    <row r="78" spans="2:6">
      <c r="B78" s="411">
        <v>74</v>
      </c>
      <c r="C78" s="376">
        <f>IF($C$2=20.5,'S3'!T78,IF($C$2=21.5,'S3'!V78,IF($C$2=22.5,'S3'!A78,IF($C$2=23.5,'S3'!B78,IF($C$2=24.5,'S3'!C78,IF($C$2=25.5,'S3'!C78,IF($C$2=26.5,'S3'!E78,IF($C$2=27.5,'S3'!F78,IF($C$2=28.5,'S3'!G78,IF($C$2=29.5,'S3'!H78,IF($C$2=30.5,'S3'!I78,IF($C$2=31.5,'S3'!J78,IF($C$2=32.5,'S3'!K78,IF($C$2=33.5,'S3'!L78,IF($C$2=34.5,'S3'!M78,IF($C$2=35.5,'S3'!N78))))))))))))))))</f>
        <v>159.54</v>
      </c>
      <c r="D78" s="398">
        <f t="shared" si="7"/>
        <v>223.36</v>
      </c>
      <c r="E78" s="376">
        <f>IF($E$2=20.5,'S3'!U78,IF($E$2=21.5,'S3'!AE78,IF($E$2=22.5,'S3'!AF78,IF($E$2=23.5,'S3'!AG78,IF($E$2=24.5,'S3'!AH78,IF($E$2=25.5,'S3'!AI78,IF($E$2=26.5,'S3'!AC78,IF($E$2=27.5,'S3'!AK78,IF($E$2=28.5,'S3'!AL78,IF($E$2=29.5,'S3'!AM78,IF($E$2=30.5,'S3'!AN78,IF($E$2=31.5,'S3'!AO78,IF($E$2=32.5,'S3'!AP78,IF($E$2=33.5,'S3'!AQ78,IF($E$2=34.5,'S3'!AR78,IF($E$2=35.5,'S3'!AS78))))))))))))))))</f>
        <v>115.72</v>
      </c>
      <c r="F78" s="398">
        <f t="shared" si="6"/>
        <v>162.01</v>
      </c>
    </row>
    <row r="79" spans="2:6">
      <c r="B79" s="411">
        <v>75</v>
      </c>
      <c r="C79" s="376">
        <f>IF($C$2=20.5,'S3'!T79,IF($C$2=21.5,'S3'!V79,IF($C$2=22.5,'S3'!A79,IF($C$2=23.5,'S3'!B79,IF($C$2=24.5,'S3'!C79,IF($C$2=25.5,'S3'!C79,IF($C$2=26.5,'S3'!E79,IF($C$2=27.5,'S3'!F79,IF($C$2=28.5,'S3'!G79,IF($C$2=29.5,'S3'!H79,IF($C$2=30.5,'S3'!I79,IF($C$2=31.5,'S3'!J79,IF($C$2=32.5,'S3'!K79,IF($C$2=33.5,'S3'!L79,IF($C$2=34.5,'S3'!M79,IF($C$2=35.5,'S3'!N79))))))))))))))))</f>
        <v>161.63999999999999</v>
      </c>
      <c r="D79" s="398">
        <f t="shared" si="7"/>
        <v>226.3</v>
      </c>
      <c r="E79" s="376">
        <f>IF($E$2=20.5,'S3'!U79,IF($E$2=21.5,'S3'!AE79,IF($E$2=22.5,'S3'!AF79,IF($E$2=23.5,'S3'!AG79,IF($E$2=24.5,'S3'!AH79,IF($E$2=25.5,'S3'!AI79,IF($E$2=26.5,'S3'!AC79,IF($E$2=27.5,'S3'!AK79,IF($E$2=28.5,'S3'!AL79,IF($E$2=29.5,'S3'!AM79,IF($E$2=30.5,'S3'!AN79,IF($E$2=31.5,'S3'!AO79,IF($E$2=32.5,'S3'!AP79,IF($E$2=33.5,'S3'!AQ79,IF($E$2=34.5,'S3'!AR79,IF($E$2=35.5,'S3'!AS79))))))))))))))))</f>
        <v>117.27</v>
      </c>
      <c r="F79" s="398">
        <f t="shared" si="6"/>
        <v>164.18</v>
      </c>
    </row>
    <row r="80" spans="2:6">
      <c r="B80" s="411">
        <v>76</v>
      </c>
      <c r="C80" s="376">
        <f>IF($C$2=20.5,'S3'!T80,IF($C$2=21.5,'S3'!V80,IF($C$2=22.5,'S3'!A80,IF($C$2=23.5,'S3'!B80,IF($C$2=24.5,'S3'!C80,IF($C$2=25.5,'S3'!C80,IF($C$2=26.5,'S3'!E80,IF($C$2=27.5,'S3'!F80,IF($C$2=28.5,'S3'!G80,IF($C$2=29.5,'S3'!H80,IF($C$2=30.5,'S3'!I80,IF($C$2=31.5,'S3'!J80,IF($C$2=32.5,'S3'!K80,IF($C$2=33.5,'S3'!L80,IF($C$2=34.5,'S3'!M80,IF($C$2=35.5,'S3'!N80))))))))))))))))</f>
        <v>163.82</v>
      </c>
      <c r="D80" s="398">
        <f t="shared" si="7"/>
        <v>229.35</v>
      </c>
      <c r="E80" s="376">
        <f>IF($E$2=20.5,'S3'!U80,IF($E$2=21.5,'S3'!AE80,IF($E$2=22.5,'S3'!AF80,IF($E$2=23.5,'S3'!AG80,IF($E$2=24.5,'S3'!AH80,IF($E$2=25.5,'S3'!AI80,IF($E$2=26.5,'S3'!AC80,IF($E$2=27.5,'S3'!AK80,IF($E$2=28.5,'S3'!AL80,IF($E$2=29.5,'S3'!AM80,IF($E$2=30.5,'S3'!AN80,IF($E$2=31.5,'S3'!AO80,IF($E$2=32.5,'S3'!AP80,IF($E$2=33.5,'S3'!AQ80,IF($E$2=34.5,'S3'!AR80,IF($E$2=35.5,'S3'!AS80))))))))))))))))</f>
        <v>118.82</v>
      </c>
      <c r="F80" s="398">
        <f t="shared" si="6"/>
        <v>166.35</v>
      </c>
    </row>
    <row r="81" spans="2:6">
      <c r="B81" s="411">
        <v>77</v>
      </c>
      <c r="C81" s="376">
        <f>IF($C$2=20.5,'S3'!T81,IF($C$2=21.5,'S3'!V81,IF($C$2=22.5,'S3'!A81,IF($C$2=23.5,'S3'!B81,IF($C$2=24.5,'S3'!C81,IF($C$2=25.5,'S3'!C81,IF($C$2=26.5,'S3'!E81,IF($C$2=27.5,'S3'!F81,IF($C$2=28.5,'S3'!G81,IF($C$2=29.5,'S3'!H81,IF($C$2=30.5,'S3'!I81,IF($C$2=31.5,'S3'!J81,IF($C$2=32.5,'S3'!K81,IF($C$2=33.5,'S3'!L81,IF($C$2=34.5,'S3'!M81,IF($C$2=35.5,'S3'!N81))))))))))))))))</f>
        <v>165.94</v>
      </c>
      <c r="D81" s="398">
        <f t="shared" si="7"/>
        <v>232.32</v>
      </c>
      <c r="E81" s="376">
        <f>IF($E$2=20.5,'S3'!U81,IF($E$2=21.5,'S3'!AE81,IF($E$2=22.5,'S3'!AF81,IF($E$2=23.5,'S3'!AG81,IF($E$2=24.5,'S3'!AH81,IF($E$2=25.5,'S3'!AI81,IF($E$2=26.5,'S3'!AC81,IF($E$2=27.5,'S3'!AK81,IF($E$2=28.5,'S3'!AL81,IF($E$2=29.5,'S3'!AM81,IF($E$2=30.5,'S3'!AN81,IF($E$2=31.5,'S3'!AO81,IF($E$2=32.5,'S3'!AP81,IF($E$2=33.5,'S3'!AQ81,IF($E$2=34.5,'S3'!AR81,IF($E$2=35.5,'S3'!AS81))))))))))))))))</f>
        <v>120.37</v>
      </c>
      <c r="F81" s="398">
        <f t="shared" si="6"/>
        <v>168.52</v>
      </c>
    </row>
    <row r="82" spans="2:6">
      <c r="B82" s="411">
        <v>78</v>
      </c>
      <c r="C82" s="376">
        <f>IF($C$2=20.5,'S3'!T82,IF($C$2=21.5,'S3'!V82,IF($C$2=22.5,'S3'!A82,IF($C$2=23.5,'S3'!B82,IF($C$2=24.5,'S3'!C82,IF($C$2=25.5,'S3'!C82,IF($C$2=26.5,'S3'!E82,IF($C$2=27.5,'S3'!F82,IF($C$2=28.5,'S3'!G82,IF($C$2=29.5,'S3'!H82,IF($C$2=30.5,'S3'!I82,IF($C$2=31.5,'S3'!J82,IF($C$2=32.5,'S3'!K82,IF($C$2=33.5,'S3'!L82,IF($C$2=34.5,'S3'!M82,IF($C$2=35.5,'S3'!N82))))))))))))))))</f>
        <v>168.06</v>
      </c>
      <c r="D82" s="398">
        <f t="shared" si="7"/>
        <v>235.28</v>
      </c>
      <c r="E82" s="376">
        <f>IF($E$2=20.5,'S3'!U82,IF($E$2=21.5,'S3'!AE82,IF($E$2=22.5,'S3'!AF82,IF($E$2=23.5,'S3'!AG82,IF($E$2=24.5,'S3'!AH82,IF($E$2=25.5,'S3'!AI82,IF($E$2=26.5,'S3'!AC82,IF($E$2=27.5,'S3'!AK82,IF($E$2=28.5,'S3'!AL82,IF($E$2=29.5,'S3'!AM82,IF($E$2=30.5,'S3'!AN82,IF($E$2=31.5,'S3'!AO82,IF($E$2=32.5,'S3'!AP82,IF($E$2=33.5,'S3'!AQ82,IF($E$2=34.5,'S3'!AR82,IF($E$2=35.5,'S3'!AS82))))))))))))))))</f>
        <v>121.93</v>
      </c>
      <c r="F82" s="398">
        <f t="shared" si="6"/>
        <v>170.7</v>
      </c>
    </row>
    <row r="83" spans="2:6">
      <c r="B83" s="411">
        <v>79</v>
      </c>
      <c r="C83" s="376">
        <f>IF($C$2=20.5,'S3'!T83,IF($C$2=21.5,'S3'!V83,IF($C$2=22.5,'S3'!A83,IF($C$2=23.5,'S3'!B83,IF($C$2=24.5,'S3'!C83,IF($C$2=25.5,'S3'!C83,IF($C$2=26.5,'S3'!E83,IF($C$2=27.5,'S3'!F83,IF($C$2=28.5,'S3'!G83,IF($C$2=29.5,'S3'!H83,IF($C$2=30.5,'S3'!I83,IF($C$2=31.5,'S3'!J83,IF($C$2=32.5,'S3'!K83,IF($C$2=33.5,'S3'!L83,IF($C$2=34.5,'S3'!M83,IF($C$2=35.5,'S3'!N83))))))))))))))))</f>
        <v>170.27</v>
      </c>
      <c r="D83" s="398">
        <f t="shared" si="7"/>
        <v>238.38</v>
      </c>
      <c r="E83" s="376">
        <f>IF($E$2=20.5,'S3'!U83,IF($E$2=21.5,'S3'!AE83,IF($E$2=22.5,'S3'!AF83,IF($E$2=23.5,'S3'!AG83,IF($E$2=24.5,'S3'!AH83,IF($E$2=25.5,'S3'!AI83,IF($E$2=26.5,'S3'!AC83,IF($E$2=27.5,'S3'!AK83,IF($E$2=28.5,'S3'!AL83,IF($E$2=29.5,'S3'!AM83,IF($E$2=30.5,'S3'!AN83,IF($E$2=31.5,'S3'!AO83,IF($E$2=32.5,'S3'!AP83,IF($E$2=33.5,'S3'!AQ83,IF($E$2=34.5,'S3'!AR83,IF($E$2=35.5,'S3'!AS83))))))))))))))))</f>
        <v>123.48</v>
      </c>
      <c r="F83" s="398">
        <f t="shared" si="6"/>
        <v>172.87</v>
      </c>
    </row>
    <row r="84" spans="2:6">
      <c r="B84" s="411">
        <v>80</v>
      </c>
      <c r="C84" s="376">
        <f>IF($C$2=20.5,'S3'!T84,IF($C$2=21.5,'S3'!V84,IF($C$2=22.5,'S3'!A84,IF($C$2=23.5,'S3'!B84,IF($C$2=24.5,'S3'!C84,IF($C$2=25.5,'S3'!C84,IF($C$2=26.5,'S3'!E84,IF($C$2=27.5,'S3'!F84,IF($C$2=28.5,'S3'!G84,IF($C$2=29.5,'S3'!H84,IF($C$2=30.5,'S3'!I84,IF($C$2=31.5,'S3'!J84,IF($C$2=32.5,'S3'!K84,IF($C$2=33.5,'S3'!L84,IF($C$2=34.5,'S3'!M84,IF($C$2=35.5,'S3'!N84))))))))))))))))</f>
        <v>172.41</v>
      </c>
      <c r="D84" s="398">
        <f t="shared" si="7"/>
        <v>241.37</v>
      </c>
      <c r="E84" s="376">
        <f>IF($E$2=20.5,'S3'!U84,IF($E$2=21.5,'S3'!AE84,IF($E$2=22.5,'S3'!AF84,IF($E$2=23.5,'S3'!AG84,IF($E$2=24.5,'S3'!AH84,IF($E$2=25.5,'S3'!AI84,IF($E$2=26.5,'S3'!AC84,IF($E$2=27.5,'S3'!AK84,IF($E$2=28.5,'S3'!AL84,IF($E$2=29.5,'S3'!AM84,IF($E$2=30.5,'S3'!AN84,IF($E$2=31.5,'S3'!AO84,IF($E$2=32.5,'S3'!AP84,IF($E$2=33.5,'S3'!AQ84,IF($E$2=34.5,'S3'!AR84,IF($E$2=35.5,'S3'!AS84))))))))))))))))</f>
        <v>125.05</v>
      </c>
      <c r="F84" s="398">
        <f t="shared" si="6"/>
        <v>175.07</v>
      </c>
    </row>
    <row r="85" spans="2:6">
      <c r="B85" s="411">
        <v>81</v>
      </c>
      <c r="C85" s="376">
        <f>IF($C$2=20.5,'S3'!T85,IF($C$2=21.5,'S3'!V85,IF($C$2=22.5,'S3'!A85,IF($C$2=23.5,'S3'!B85,IF($C$2=24.5,'S3'!C85,IF($C$2=25.5,'S3'!C85,IF($C$2=26.5,'S3'!E85,IF($C$2=27.5,'S3'!F85,IF($C$2=28.5,'S3'!G85,IF($C$2=29.5,'S3'!H85,IF($C$2=30.5,'S3'!I85,IF($C$2=31.5,'S3'!J85,IF($C$2=32.5,'S3'!K85,IF($C$2=33.5,'S3'!L85,IF($C$2=34.5,'S3'!M85,IF($C$2=35.5,'S3'!N85))))))))))))))))</f>
        <v>174.56</v>
      </c>
      <c r="D85" s="398">
        <f t="shared" si="7"/>
        <v>244.38</v>
      </c>
      <c r="E85" s="376">
        <f>IF($E$2=20.5,'S3'!U85,IF($E$2=21.5,'S3'!AE85,IF($E$2=22.5,'S3'!AF85,IF($E$2=23.5,'S3'!AG85,IF($E$2=24.5,'S3'!AH85,IF($E$2=25.5,'S3'!AI85,IF($E$2=26.5,'S3'!AC85,IF($E$2=27.5,'S3'!AK85,IF($E$2=28.5,'S3'!AL85,IF($E$2=29.5,'S3'!AM85,IF($E$2=30.5,'S3'!AN85,IF($E$2=31.5,'S3'!AO85,IF($E$2=32.5,'S3'!AP85,IF($E$2=33.5,'S3'!AQ85,IF($E$2=34.5,'S3'!AR85,IF($E$2=35.5,'S3'!AS85))))))))))))))))</f>
        <v>126.61</v>
      </c>
      <c r="F85" s="398">
        <f t="shared" si="6"/>
        <v>177.25</v>
      </c>
    </row>
    <row r="86" spans="2:6">
      <c r="B86" s="411">
        <v>82</v>
      </c>
      <c r="C86" s="376">
        <f>IF($C$2=20.5,'S3'!T86,IF($C$2=21.5,'S3'!V86,IF($C$2=22.5,'S3'!A86,IF($C$2=23.5,'S3'!B86,IF($C$2=24.5,'S3'!C86,IF($C$2=25.5,'S3'!C86,IF($C$2=26.5,'S3'!E86,IF($C$2=27.5,'S3'!F86,IF($C$2=28.5,'S3'!G86,IF($C$2=29.5,'S3'!H86,IF($C$2=30.5,'S3'!I86,IF($C$2=31.5,'S3'!J86,IF($C$2=32.5,'S3'!K86,IF($C$2=33.5,'S3'!L86,IF($C$2=34.5,'S3'!M86,IF($C$2=35.5,'S3'!N86))))))))))))))))</f>
        <v>176.63</v>
      </c>
      <c r="D86" s="398">
        <f t="shared" si="7"/>
        <v>247.28</v>
      </c>
      <c r="E86" s="376">
        <f>IF($E$2=20.5,'S3'!U86,IF($E$2=21.5,'S3'!AE86,IF($E$2=22.5,'S3'!AF86,IF($E$2=23.5,'S3'!AG86,IF($E$2=24.5,'S3'!AH86,IF($E$2=25.5,'S3'!AI86,IF($E$2=26.5,'S3'!AC86,IF($E$2=27.5,'S3'!AK86,IF($E$2=28.5,'S3'!AL86,IF($E$2=29.5,'S3'!AM86,IF($E$2=30.5,'S3'!AN86,IF($E$2=31.5,'S3'!AO86,IF($E$2=32.5,'S3'!AP86,IF($E$2=33.5,'S3'!AQ86,IF($E$2=34.5,'S3'!AR86,IF($E$2=35.5,'S3'!AS86))))))))))))))))</f>
        <v>128.15</v>
      </c>
      <c r="F86" s="398">
        <f t="shared" si="6"/>
        <v>179.41</v>
      </c>
    </row>
    <row r="87" spans="2:6">
      <c r="B87" s="411">
        <v>83</v>
      </c>
      <c r="C87" s="376">
        <f>IF($C$2=20.5,'S3'!T87,IF($C$2=21.5,'S3'!V87,IF($C$2=22.5,'S3'!A87,IF($C$2=23.5,'S3'!B87,IF($C$2=24.5,'S3'!C87,IF($C$2=25.5,'S3'!C87,IF($C$2=26.5,'S3'!E87,IF($C$2=27.5,'S3'!F87,IF($C$2=28.5,'S3'!G87,IF($C$2=29.5,'S3'!H87,IF($C$2=30.5,'S3'!I87,IF($C$2=31.5,'S3'!J87,IF($C$2=32.5,'S3'!K87,IF($C$2=33.5,'S3'!L87,IF($C$2=34.5,'S3'!M87,IF($C$2=35.5,'S3'!N87))))))))))))))))</f>
        <v>178.79</v>
      </c>
      <c r="D87" s="398">
        <f t="shared" si="7"/>
        <v>250.31</v>
      </c>
      <c r="E87" s="376">
        <f>IF($E$2=20.5,'S3'!U87,IF($E$2=21.5,'S3'!AE87,IF($E$2=22.5,'S3'!AF87,IF($E$2=23.5,'S3'!AG87,IF($E$2=24.5,'S3'!AH87,IF($E$2=25.5,'S3'!AI87,IF($E$2=26.5,'S3'!AC87,IF($E$2=27.5,'S3'!AK87,IF($E$2=28.5,'S3'!AL87,IF($E$2=29.5,'S3'!AM87,IF($E$2=30.5,'S3'!AN87,IF($E$2=31.5,'S3'!AO87,IF($E$2=32.5,'S3'!AP87,IF($E$2=33.5,'S3'!AQ87,IF($E$2=34.5,'S3'!AR87,IF($E$2=35.5,'S3'!AS87))))))))))))))))</f>
        <v>129.72</v>
      </c>
      <c r="F87" s="398">
        <f t="shared" si="6"/>
        <v>181.61</v>
      </c>
    </row>
    <row r="88" spans="2:6">
      <c r="B88" s="411">
        <v>84</v>
      </c>
      <c r="C88" s="376">
        <f>IF($C$2=20.5,'S3'!T88,IF($C$2=21.5,'S3'!V88,IF($C$2=22.5,'S3'!A88,IF($C$2=23.5,'S3'!B88,IF($C$2=24.5,'S3'!C88,IF($C$2=25.5,'S3'!C88,IF($C$2=26.5,'S3'!E88,IF($C$2=27.5,'S3'!F88,IF($C$2=28.5,'S3'!G88,IF($C$2=29.5,'S3'!H88,IF($C$2=30.5,'S3'!I88,IF($C$2=31.5,'S3'!J88,IF($C$2=32.5,'S3'!K88,IF($C$2=33.5,'S3'!L88,IF($C$2=34.5,'S3'!M88,IF($C$2=35.5,'S3'!N88))))))))))))))))</f>
        <v>180.96</v>
      </c>
      <c r="D88" s="398">
        <f t="shared" si="7"/>
        <v>253.34</v>
      </c>
      <c r="E88" s="376">
        <f>IF($E$2=20.5,'S3'!U88,IF($E$2=21.5,'S3'!AE88,IF($E$2=22.5,'S3'!AF88,IF($E$2=23.5,'S3'!AG88,IF($E$2=24.5,'S3'!AH88,IF($E$2=25.5,'S3'!AI88,IF($E$2=26.5,'S3'!AC88,IF($E$2=27.5,'S3'!AK88,IF($E$2=28.5,'S3'!AL88,IF($E$2=29.5,'S3'!AM88,IF($E$2=30.5,'S3'!AN88,IF($E$2=31.5,'S3'!AO88,IF($E$2=32.5,'S3'!AP88,IF($E$2=33.5,'S3'!AQ88,IF($E$2=34.5,'S3'!AR88,IF($E$2=35.5,'S3'!AS88))))))))))))))))</f>
        <v>131.26</v>
      </c>
      <c r="F88" s="398">
        <f t="shared" si="6"/>
        <v>183.76</v>
      </c>
    </row>
    <row r="89" spans="2:6">
      <c r="B89" s="411">
        <v>85</v>
      </c>
      <c r="C89" s="376">
        <f>IF($C$2=20.5,'S3'!T89,IF($C$2=21.5,'S3'!V89,IF($C$2=22.5,'S3'!A89,IF($C$2=23.5,'S3'!B89,IF($C$2=24.5,'S3'!C89,IF($C$2=25.5,'S3'!C89,IF($C$2=26.5,'S3'!E89,IF($C$2=27.5,'S3'!F89,IF($C$2=28.5,'S3'!G89,IF($C$2=29.5,'S3'!H89,IF($C$2=30.5,'S3'!I89,IF($C$2=31.5,'S3'!J89,IF($C$2=32.5,'S3'!K89,IF($C$2=33.5,'S3'!L89,IF($C$2=34.5,'S3'!M89,IF($C$2=35.5,'S3'!N89))))))))))))))))</f>
        <v>183.14</v>
      </c>
      <c r="D89" s="398">
        <f t="shared" si="7"/>
        <v>256.39999999999998</v>
      </c>
      <c r="E89" s="376">
        <f>IF($E$2=20.5,'S3'!U89,IF($E$2=21.5,'S3'!AE89,IF($E$2=22.5,'S3'!AF89,IF($E$2=23.5,'S3'!AG89,IF($E$2=24.5,'S3'!AH89,IF($E$2=25.5,'S3'!AI89,IF($E$2=26.5,'S3'!AC89,IF($E$2=27.5,'S3'!AK89,IF($E$2=28.5,'S3'!AL89,IF($E$2=29.5,'S3'!AM89,IF($E$2=30.5,'S3'!AN89,IF($E$2=31.5,'S3'!AO89,IF($E$2=32.5,'S3'!AP89,IF($E$2=33.5,'S3'!AQ89,IF($E$2=34.5,'S3'!AR89,IF($E$2=35.5,'S3'!AS89))))))))))))))))</f>
        <v>132.83000000000001</v>
      </c>
      <c r="F89" s="398">
        <f t="shared" si="6"/>
        <v>185.96</v>
      </c>
    </row>
    <row r="90" spans="2:6">
      <c r="B90" s="411">
        <v>86</v>
      </c>
      <c r="C90" s="376">
        <f>IF($C$2=20.5,'S3'!T90,IF($C$2=21.5,'S3'!V90,IF($C$2=22.5,'S3'!A90,IF($C$2=23.5,'S3'!B90,IF($C$2=24.5,'S3'!C90,IF($C$2=25.5,'S3'!C90,IF($C$2=26.5,'S3'!E90,IF($C$2=27.5,'S3'!F90,IF($C$2=28.5,'S3'!G90,IF($C$2=29.5,'S3'!H90,IF($C$2=30.5,'S3'!I90,IF($C$2=31.5,'S3'!J90,IF($C$2=32.5,'S3'!K90,IF($C$2=33.5,'S3'!L90,IF($C$2=34.5,'S3'!M90,IF($C$2=35.5,'S3'!N90))))))))))))))))</f>
        <v>185.24</v>
      </c>
      <c r="D90" s="398">
        <f t="shared" si="7"/>
        <v>259.33999999999997</v>
      </c>
      <c r="E90" s="376">
        <f>IF($E$2=20.5,'S3'!U90,IF($E$2=21.5,'S3'!AE90,IF($E$2=22.5,'S3'!AF90,IF($E$2=23.5,'S3'!AG90,IF($E$2=24.5,'S3'!AH90,IF($E$2=25.5,'S3'!AI90,IF($E$2=26.5,'S3'!AC90,IF($E$2=27.5,'S3'!AK90,IF($E$2=28.5,'S3'!AL90,IF($E$2=29.5,'S3'!AM90,IF($E$2=30.5,'S3'!AN90,IF($E$2=31.5,'S3'!AO90,IF($E$2=32.5,'S3'!AP90,IF($E$2=33.5,'S3'!AQ90,IF($E$2=34.5,'S3'!AR90,IF($E$2=35.5,'S3'!AS90))))))))))))))))</f>
        <v>134.38</v>
      </c>
      <c r="F90" s="398">
        <f t="shared" si="6"/>
        <v>188.13</v>
      </c>
    </row>
    <row r="91" spans="2:6">
      <c r="B91" s="411">
        <v>87</v>
      </c>
      <c r="C91" s="376">
        <f>IF($C$2=20.5,'S3'!T91,IF($C$2=21.5,'S3'!V91,IF($C$2=22.5,'S3'!A91,IF($C$2=23.5,'S3'!B91,IF($C$2=24.5,'S3'!C91,IF($C$2=25.5,'S3'!C91,IF($C$2=26.5,'S3'!E91,IF($C$2=27.5,'S3'!F91,IF($C$2=28.5,'S3'!G91,IF($C$2=29.5,'S3'!H91,IF($C$2=30.5,'S3'!I91,IF($C$2=31.5,'S3'!J91,IF($C$2=32.5,'S3'!K91,IF($C$2=33.5,'S3'!L91,IF($C$2=34.5,'S3'!M91,IF($C$2=35.5,'S3'!N91))))))))))))))))</f>
        <v>187.34</v>
      </c>
      <c r="D91" s="398">
        <f t="shared" si="7"/>
        <v>262.27999999999997</v>
      </c>
      <c r="E91" s="376">
        <f>IF($E$2=20.5,'S3'!U91,IF($E$2=21.5,'S3'!AE91,IF($E$2=22.5,'S3'!AF91,IF($E$2=23.5,'S3'!AG91,IF($E$2=24.5,'S3'!AH91,IF($E$2=25.5,'S3'!AI91,IF($E$2=26.5,'S3'!AC91,IF($E$2=27.5,'S3'!AK91,IF($E$2=28.5,'S3'!AL91,IF($E$2=29.5,'S3'!AM91,IF($E$2=30.5,'S3'!AN91,IF($E$2=31.5,'S3'!AO91,IF($E$2=32.5,'S3'!AP91,IF($E$2=33.5,'S3'!AQ91,IF($E$2=34.5,'S3'!AR91,IF($E$2=35.5,'S3'!AS91))))))))))))))))</f>
        <v>135.91999999999999</v>
      </c>
      <c r="F91" s="398">
        <f t="shared" si="6"/>
        <v>190.29</v>
      </c>
    </row>
    <row r="92" spans="2:6">
      <c r="B92" s="411">
        <v>88</v>
      </c>
      <c r="C92" s="376">
        <f>IF($C$2=20.5,'S3'!T92,IF($C$2=21.5,'S3'!V92,IF($C$2=22.5,'S3'!A92,IF($C$2=23.5,'S3'!B92,IF($C$2=24.5,'S3'!C92,IF($C$2=25.5,'S3'!C92,IF($C$2=26.5,'S3'!E92,IF($C$2=27.5,'S3'!F92,IF($C$2=28.5,'S3'!G92,IF($C$2=29.5,'S3'!H92,IF($C$2=30.5,'S3'!I92,IF($C$2=31.5,'S3'!J92,IF($C$2=32.5,'S3'!K92,IF($C$2=33.5,'S3'!L92,IF($C$2=34.5,'S3'!M92,IF($C$2=35.5,'S3'!N92))))))))))))))))</f>
        <v>189.54</v>
      </c>
      <c r="D92" s="398">
        <f t="shared" si="7"/>
        <v>265.36</v>
      </c>
      <c r="E92" s="376">
        <f>IF($E$2=20.5,'S3'!U92,IF($E$2=21.5,'S3'!AE92,IF($E$2=22.5,'S3'!AF92,IF($E$2=23.5,'S3'!AG92,IF($E$2=24.5,'S3'!AH92,IF($E$2=25.5,'S3'!AI92,IF($E$2=26.5,'S3'!AC92,IF($E$2=27.5,'S3'!AK92,IF($E$2=28.5,'S3'!AL92,IF($E$2=29.5,'S3'!AM92,IF($E$2=30.5,'S3'!AN92,IF($E$2=31.5,'S3'!AO92,IF($E$2=32.5,'S3'!AP92,IF($E$2=33.5,'S3'!AQ92,IF($E$2=34.5,'S3'!AR92,IF($E$2=35.5,'S3'!AS92))))))))))))))))</f>
        <v>137.47</v>
      </c>
      <c r="F92" s="398">
        <f t="shared" si="6"/>
        <v>192.46</v>
      </c>
    </row>
    <row r="93" spans="2:6">
      <c r="B93" s="411">
        <v>89</v>
      </c>
      <c r="C93" s="376">
        <f>IF($C$2=20.5,'S3'!T93,IF($C$2=21.5,'S3'!V93,IF($C$2=22.5,'S3'!A93,IF($C$2=23.5,'S3'!B93,IF($C$2=24.5,'S3'!C93,IF($C$2=25.5,'S3'!C93,IF($C$2=26.5,'S3'!E93,IF($C$2=27.5,'S3'!F93,IF($C$2=28.5,'S3'!G93,IF($C$2=29.5,'S3'!H93,IF($C$2=30.5,'S3'!I93,IF($C$2=31.5,'S3'!J93,IF($C$2=32.5,'S3'!K93,IF($C$2=33.5,'S3'!L93,IF($C$2=34.5,'S3'!M93,IF($C$2=35.5,'S3'!N93))))))))))))))))</f>
        <v>191.66</v>
      </c>
      <c r="D93" s="398">
        <f t="shared" si="7"/>
        <v>268.32</v>
      </c>
      <c r="E93" s="376">
        <f>IF($E$2=20.5,'S3'!U93,IF($E$2=21.5,'S3'!AE93,IF($E$2=22.5,'S3'!AF93,IF($E$2=23.5,'S3'!AG93,IF($E$2=24.5,'S3'!AH93,IF($E$2=25.5,'S3'!AI93,IF($E$2=26.5,'S3'!AC93,IF($E$2=27.5,'S3'!AK93,IF($E$2=28.5,'S3'!AL93,IF($E$2=29.5,'S3'!AM93,IF($E$2=30.5,'S3'!AN93,IF($E$2=31.5,'S3'!AO93,IF($E$2=32.5,'S3'!AP93,IF($E$2=33.5,'S3'!AQ93,IF($E$2=34.5,'S3'!AR93,IF($E$2=35.5,'S3'!AS93))))))))))))))))</f>
        <v>139.02000000000001</v>
      </c>
      <c r="F93" s="398">
        <f t="shared" si="6"/>
        <v>194.63</v>
      </c>
    </row>
    <row r="94" spans="2:6">
      <c r="B94" s="411">
        <v>90</v>
      </c>
      <c r="C94" s="376">
        <f>IF($C$2=20.5,'S3'!T94,IF($C$2=21.5,'S3'!V94,IF($C$2=22.5,'S3'!A94,IF($C$2=23.5,'S3'!B94,IF($C$2=24.5,'S3'!C94,IF($C$2=25.5,'S3'!C94,IF($C$2=26.5,'S3'!E94,IF($C$2=27.5,'S3'!F94,IF($C$2=28.5,'S3'!G94,IF($C$2=29.5,'S3'!H94,IF($C$2=30.5,'S3'!I94,IF($C$2=31.5,'S3'!J94,IF($C$2=32.5,'S3'!K94,IF($C$2=33.5,'S3'!L94,IF($C$2=34.5,'S3'!M94,IF($C$2=35.5,'S3'!N94))))))))))))))))</f>
        <v>193.78</v>
      </c>
      <c r="D94" s="398">
        <f t="shared" si="7"/>
        <v>271.29000000000002</v>
      </c>
      <c r="E94" s="376">
        <f>IF($E$2=20.5,'S3'!U94,IF($E$2=21.5,'S3'!AE94,IF($E$2=22.5,'S3'!AF94,IF($E$2=23.5,'S3'!AG94,IF($E$2=24.5,'S3'!AH94,IF($E$2=25.5,'S3'!AI94,IF($E$2=26.5,'S3'!AC94,IF($E$2=27.5,'S3'!AK94,IF($E$2=28.5,'S3'!AL94,IF($E$2=29.5,'S3'!AM94,IF($E$2=30.5,'S3'!AN94,IF($E$2=31.5,'S3'!AO94,IF($E$2=32.5,'S3'!AP94,IF($E$2=33.5,'S3'!AQ94,IF($E$2=34.5,'S3'!AR94,IF($E$2=35.5,'S3'!AS94))))))))))))))))</f>
        <v>140.61000000000001</v>
      </c>
      <c r="F94" s="398">
        <f t="shared" si="6"/>
        <v>196.85</v>
      </c>
    </row>
    <row r="95" spans="2:6">
      <c r="B95" s="411">
        <v>91</v>
      </c>
      <c r="C95" s="376">
        <f>IF($C$2=20.5,'S3'!T95,IF($C$2=21.5,'S3'!V95,IF($C$2=22.5,'S3'!A95,IF($C$2=23.5,'S3'!B95,IF($C$2=24.5,'S3'!C95,IF($C$2=25.5,'S3'!C95,IF($C$2=26.5,'S3'!E95,IF($C$2=27.5,'S3'!F95,IF($C$2=28.5,'S3'!G95,IF($C$2=29.5,'S3'!H95,IF($C$2=30.5,'S3'!I95,IF($C$2=31.5,'S3'!J95,IF($C$2=32.5,'S3'!K95,IF($C$2=33.5,'S3'!L95,IF($C$2=34.5,'S3'!M95,IF($C$2=35.5,'S3'!N95))))))))))))))))</f>
        <v>196.01</v>
      </c>
      <c r="D95" s="398">
        <f t="shared" si="7"/>
        <v>274.41000000000003</v>
      </c>
      <c r="E95" s="376">
        <f>IF($E$2=20.5,'S3'!U95,IF($E$2=21.5,'S3'!AE95,IF($E$2=22.5,'S3'!AF95,IF($E$2=23.5,'S3'!AG95,IF($E$2=24.5,'S3'!AH95,IF($E$2=25.5,'S3'!AI95,IF($E$2=26.5,'S3'!AC95,IF($E$2=27.5,'S3'!AK95,IF($E$2=28.5,'S3'!AL95,IF($E$2=29.5,'S3'!AM95,IF($E$2=30.5,'S3'!AN95,IF($E$2=31.5,'S3'!AO95,IF($E$2=32.5,'S3'!AP95,IF($E$2=33.5,'S3'!AQ95,IF($E$2=34.5,'S3'!AR95,IF($E$2=35.5,'S3'!AS95))))))))))))))))</f>
        <v>142.16999999999999</v>
      </c>
      <c r="F95" s="398">
        <f t="shared" si="6"/>
        <v>199.04</v>
      </c>
    </row>
    <row r="96" spans="2:6">
      <c r="B96" s="411">
        <v>92</v>
      </c>
      <c r="C96" s="376">
        <f>IF($C$2=20.5,'S3'!T96,IF($C$2=21.5,'S3'!V96,IF($C$2=22.5,'S3'!A96,IF($C$2=23.5,'S3'!B96,IF($C$2=24.5,'S3'!C96,IF($C$2=25.5,'S3'!C96,IF($C$2=26.5,'S3'!E96,IF($C$2=27.5,'S3'!F96,IF($C$2=28.5,'S3'!G96,IF($C$2=29.5,'S3'!H96,IF($C$2=30.5,'S3'!I96,IF($C$2=31.5,'S3'!J96,IF($C$2=32.5,'S3'!K96,IF($C$2=33.5,'S3'!L96,IF($C$2=34.5,'S3'!M96,IF($C$2=35.5,'S3'!N96))))))))))))))))</f>
        <v>198.15</v>
      </c>
      <c r="D96" s="398">
        <f t="shared" si="7"/>
        <v>277.41000000000003</v>
      </c>
      <c r="E96" s="376">
        <f>IF($E$2=20.5,'S3'!U96,IF($E$2=21.5,'S3'!AE96,IF($E$2=22.5,'S3'!AF96,IF($E$2=23.5,'S3'!AG96,IF($E$2=24.5,'S3'!AH96,IF($E$2=25.5,'S3'!AI96,IF($E$2=26.5,'S3'!AC96,IF($E$2=27.5,'S3'!AK96,IF($E$2=28.5,'S3'!AL96,IF($E$2=29.5,'S3'!AM96,IF($E$2=30.5,'S3'!AN96,IF($E$2=31.5,'S3'!AO96,IF($E$2=32.5,'S3'!AP96,IF($E$2=33.5,'S3'!AQ96,IF($E$2=34.5,'S3'!AR96,IF($E$2=35.5,'S3'!AS96))))))))))))))))</f>
        <v>143.69</v>
      </c>
      <c r="F96" s="398">
        <f t="shared" si="6"/>
        <v>201.17</v>
      </c>
    </row>
    <row r="97" spans="2:6">
      <c r="B97" s="411">
        <v>93</v>
      </c>
      <c r="C97" s="376">
        <f>IF($C$2=20.5,'S3'!T97,IF($C$2=21.5,'S3'!V97,IF($C$2=22.5,'S3'!A97,IF($C$2=23.5,'S3'!B97,IF($C$2=24.5,'S3'!C97,IF($C$2=25.5,'S3'!C97,IF($C$2=26.5,'S3'!E97,IF($C$2=27.5,'S3'!F97,IF($C$2=28.5,'S3'!G97,IF($C$2=29.5,'S3'!H97,IF($C$2=30.5,'S3'!I97,IF($C$2=31.5,'S3'!J97,IF($C$2=32.5,'S3'!K97,IF($C$2=33.5,'S3'!L97,IF($C$2=34.5,'S3'!M97,IF($C$2=35.5,'S3'!N97))))))))))))))))</f>
        <v>200.29</v>
      </c>
      <c r="D97" s="398">
        <f t="shared" si="7"/>
        <v>280.41000000000003</v>
      </c>
      <c r="E97" s="376">
        <f>IF($E$2=20.5,'S3'!U97,IF($E$2=21.5,'S3'!AE97,IF($E$2=22.5,'S3'!AF97,IF($E$2=23.5,'S3'!AG97,IF($E$2=24.5,'S3'!AH97,IF($E$2=25.5,'S3'!AI97,IF($E$2=26.5,'S3'!AC97,IF($E$2=27.5,'S3'!AK97,IF($E$2=28.5,'S3'!AL97,IF($E$2=29.5,'S3'!AM97,IF($E$2=30.5,'S3'!AN97,IF($E$2=31.5,'S3'!AO97,IF($E$2=32.5,'S3'!AP97,IF($E$2=33.5,'S3'!AQ97,IF($E$2=34.5,'S3'!AR97,IF($E$2=35.5,'S3'!AS97))))))))))))))))</f>
        <v>145.25</v>
      </c>
      <c r="F97" s="398">
        <f t="shared" si="6"/>
        <v>203.35</v>
      </c>
    </row>
    <row r="98" spans="2:6">
      <c r="B98" s="411">
        <v>94</v>
      </c>
      <c r="C98" s="376">
        <f>IF($C$2=20.5,'S3'!T98,IF($C$2=21.5,'S3'!V98,IF($C$2=22.5,'S3'!A98,IF($C$2=23.5,'S3'!B98,IF($C$2=24.5,'S3'!C98,IF($C$2=25.5,'S3'!C98,IF($C$2=26.5,'S3'!E98,IF($C$2=27.5,'S3'!F98,IF($C$2=28.5,'S3'!G98,IF($C$2=29.5,'S3'!H98,IF($C$2=30.5,'S3'!I98,IF($C$2=31.5,'S3'!J98,IF($C$2=32.5,'S3'!K98,IF($C$2=33.5,'S3'!L98,IF($C$2=34.5,'S3'!M98,IF($C$2=35.5,'S3'!N98))))))))))))))))</f>
        <v>202.44</v>
      </c>
      <c r="D98" s="398">
        <f t="shared" si="7"/>
        <v>283.42</v>
      </c>
      <c r="E98" s="376">
        <f>IF($E$2=20.5,'S3'!U98,IF($E$2=21.5,'S3'!AE98,IF($E$2=22.5,'S3'!AF98,IF($E$2=23.5,'S3'!AG98,IF($E$2=24.5,'S3'!AH98,IF($E$2=25.5,'S3'!AI98,IF($E$2=26.5,'S3'!AC98,IF($E$2=27.5,'S3'!AK98,IF($E$2=28.5,'S3'!AL98,IF($E$2=29.5,'S3'!AM98,IF($E$2=30.5,'S3'!AN98,IF($E$2=31.5,'S3'!AO98,IF($E$2=32.5,'S3'!AP98,IF($E$2=33.5,'S3'!AQ98,IF($E$2=34.5,'S3'!AR98,IF($E$2=35.5,'S3'!AS98))))))))))))))))</f>
        <v>146.81</v>
      </c>
      <c r="F98" s="398">
        <f t="shared" si="6"/>
        <v>205.53</v>
      </c>
    </row>
    <row r="99" spans="2:6">
      <c r="B99" s="411">
        <v>95</v>
      </c>
      <c r="C99" s="376">
        <f>IF($C$2=20.5,'S3'!T99,IF($C$2=21.5,'S3'!V99,IF($C$2=22.5,'S3'!A99,IF($C$2=23.5,'S3'!B99,IF($C$2=24.5,'S3'!C99,IF($C$2=25.5,'S3'!C99,IF($C$2=26.5,'S3'!E99,IF($C$2=27.5,'S3'!F99,IF($C$2=28.5,'S3'!G99,IF($C$2=29.5,'S3'!H99,IF($C$2=30.5,'S3'!I99,IF($C$2=31.5,'S3'!J99,IF($C$2=32.5,'S3'!K99,IF($C$2=33.5,'S3'!L99,IF($C$2=34.5,'S3'!M99,IF($C$2=35.5,'S3'!N99))))))))))))))))</f>
        <v>204.48</v>
      </c>
      <c r="D99" s="398">
        <f t="shared" si="7"/>
        <v>286.27</v>
      </c>
      <c r="E99" s="376">
        <f>IF($E$2=20.5,'S3'!U99,IF($E$2=21.5,'S3'!AE99,IF($E$2=22.5,'S3'!AF99,IF($E$2=23.5,'S3'!AG99,IF($E$2=24.5,'S3'!AH99,IF($E$2=25.5,'S3'!AI99,IF($E$2=26.5,'S3'!AC99,IF($E$2=27.5,'S3'!AK99,IF($E$2=28.5,'S3'!AL99,IF($E$2=29.5,'S3'!AM99,IF($E$2=30.5,'S3'!AN99,IF($E$2=31.5,'S3'!AO99,IF($E$2=32.5,'S3'!AP99,IF($E$2=33.5,'S3'!AQ99,IF($E$2=34.5,'S3'!AR99,IF($E$2=35.5,'S3'!AS99))))))))))))))))</f>
        <v>148.38</v>
      </c>
      <c r="F99" s="398">
        <f t="shared" si="6"/>
        <v>207.73</v>
      </c>
    </row>
    <row r="100" spans="2:6">
      <c r="B100" s="411">
        <v>96</v>
      </c>
      <c r="C100" s="376">
        <f>IF($C$2=20.5,'S3'!T100,IF($C$2=21.5,'S3'!V100,IF($C$2=22.5,'S3'!A100,IF($C$2=23.5,'S3'!B100,IF($C$2=24.5,'S3'!C100,IF($C$2=25.5,'S3'!C100,IF($C$2=26.5,'S3'!E100,IF($C$2=27.5,'S3'!F100,IF($C$2=28.5,'S3'!G100,IF($C$2=29.5,'S3'!H100,IF($C$2=30.5,'S3'!I100,IF($C$2=31.5,'S3'!J100,IF($C$2=32.5,'S3'!K100,IF($C$2=33.5,'S3'!L100,IF($C$2=34.5,'S3'!M100,IF($C$2=35.5,'S3'!N100))))))))))))))))</f>
        <v>206.64</v>
      </c>
      <c r="D100" s="398">
        <f t="shared" si="7"/>
        <v>289.3</v>
      </c>
      <c r="E100" s="376">
        <f>IF($E$2=20.5,'S3'!U100,IF($E$2=21.5,'S3'!AE100,IF($E$2=22.5,'S3'!AF100,IF($E$2=23.5,'S3'!AG100,IF($E$2=24.5,'S3'!AH100,IF($E$2=25.5,'S3'!AI100,IF($E$2=26.5,'S3'!AC100,IF($E$2=27.5,'S3'!AK100,IF($E$2=28.5,'S3'!AL100,IF($E$2=29.5,'S3'!AM100,IF($E$2=30.5,'S3'!AN100,IF($E$2=31.5,'S3'!AO100,IF($E$2=32.5,'S3'!AP100,IF($E$2=33.5,'S3'!AQ100,IF($E$2=34.5,'S3'!AR100,IF($E$2=35.5,'S3'!AS100))))))))))))))))</f>
        <v>149.94999999999999</v>
      </c>
      <c r="F100" s="398">
        <f t="shared" si="6"/>
        <v>209.93</v>
      </c>
    </row>
    <row r="101" spans="2:6">
      <c r="B101" s="411">
        <v>97</v>
      </c>
      <c r="C101" s="376">
        <f>IF($C$2=20.5,'S3'!T101,IF($C$2=21.5,'S3'!V101,IF($C$2=22.5,'S3'!A101,IF($C$2=23.5,'S3'!B101,IF($C$2=24.5,'S3'!C101,IF($C$2=25.5,'S3'!C101,IF($C$2=26.5,'S3'!E101,IF($C$2=27.5,'S3'!F101,IF($C$2=28.5,'S3'!G101,IF($C$2=29.5,'S3'!H101,IF($C$2=30.5,'S3'!I101,IF($C$2=31.5,'S3'!J101,IF($C$2=32.5,'S3'!K101,IF($C$2=33.5,'S3'!L101,IF($C$2=34.5,'S3'!M101,IF($C$2=35.5,'S3'!N101))))))))))))))))</f>
        <v>208.81</v>
      </c>
      <c r="D101" s="398">
        <f t="shared" si="7"/>
        <v>292.33</v>
      </c>
      <c r="E101" s="376">
        <f>IF($E$2=20.5,'S3'!U101,IF($E$2=21.5,'S3'!AE101,IF($E$2=22.5,'S3'!AF101,IF($E$2=23.5,'S3'!AG101,IF($E$2=24.5,'S3'!AH101,IF($E$2=25.5,'S3'!AI101,IF($E$2=26.5,'S3'!AC101,IF($E$2=27.5,'S3'!AK101,IF($E$2=28.5,'S3'!AL101,IF($E$2=29.5,'S3'!AM101,IF($E$2=30.5,'S3'!AN101,IF($E$2=31.5,'S3'!AO101,IF($E$2=32.5,'S3'!AP101,IF($E$2=33.5,'S3'!AQ101,IF($E$2=34.5,'S3'!AR101,IF($E$2=35.5,'S3'!AS101))))))))))))))))</f>
        <v>151.47</v>
      </c>
      <c r="F101" s="398">
        <f t="shared" si="6"/>
        <v>212.06</v>
      </c>
    </row>
    <row r="102" spans="2:6">
      <c r="B102" s="411">
        <v>98</v>
      </c>
      <c r="C102" s="376">
        <f>IF($C$2=20.5,'S3'!T102,IF($C$2=21.5,'S3'!V102,IF($C$2=22.5,'S3'!A102,IF($C$2=23.5,'S3'!B102,IF($C$2=24.5,'S3'!C102,IF($C$2=25.5,'S3'!C102,IF($C$2=26.5,'S3'!E102,IF($C$2=27.5,'S3'!F102,IF($C$2=28.5,'S3'!G102,IF($C$2=29.5,'S3'!H102,IF($C$2=30.5,'S3'!I102,IF($C$2=31.5,'S3'!J102,IF($C$2=32.5,'S3'!K102,IF($C$2=33.5,'S3'!L102,IF($C$2=34.5,'S3'!M102,IF($C$2=35.5,'S3'!N102))))))))))))))))</f>
        <v>210.98</v>
      </c>
      <c r="D102" s="398">
        <f t="shared" si="7"/>
        <v>295.37</v>
      </c>
      <c r="E102" s="376">
        <f>IF($E$2=20.5,'S3'!U102,IF($E$2=21.5,'S3'!AE102,IF($E$2=22.5,'S3'!AF102,IF($E$2=23.5,'S3'!AG102,IF($E$2=24.5,'S3'!AH102,IF($E$2=25.5,'S3'!AI102,IF($E$2=26.5,'S3'!AC102,IF($E$2=27.5,'S3'!AK102,IF($E$2=28.5,'S3'!AL102,IF($E$2=29.5,'S3'!AM102,IF($E$2=30.5,'S3'!AN102,IF($E$2=31.5,'S3'!AO102,IF($E$2=32.5,'S3'!AP102,IF($E$2=33.5,'S3'!AQ102,IF($E$2=34.5,'S3'!AR102,IF($E$2=35.5,'S3'!AS102))))))))))))))))</f>
        <v>153.05000000000001</v>
      </c>
      <c r="F102" s="398">
        <f t="shared" si="6"/>
        <v>214.27</v>
      </c>
    </row>
    <row r="103" spans="2:6">
      <c r="B103" s="411">
        <v>99</v>
      </c>
      <c r="C103" s="376">
        <f>IF($C$2=20.5,'S3'!T103,IF($C$2=21.5,'S3'!V103,IF($C$2=22.5,'S3'!A103,IF($C$2=23.5,'S3'!B103,IF($C$2=24.5,'S3'!C103,IF($C$2=25.5,'S3'!C103,IF($C$2=26.5,'S3'!E103,IF($C$2=27.5,'S3'!F103,IF($C$2=28.5,'S3'!G103,IF($C$2=29.5,'S3'!H103,IF($C$2=30.5,'S3'!I103,IF($C$2=31.5,'S3'!J103,IF($C$2=32.5,'S3'!K103,IF($C$2=33.5,'S3'!L103,IF($C$2=34.5,'S3'!M103,IF($C$2=35.5,'S3'!N103))))))))))))))))</f>
        <v>213.17</v>
      </c>
      <c r="D103" s="398">
        <f t="shared" si="7"/>
        <v>298.44</v>
      </c>
      <c r="E103" s="376">
        <f>IF($E$2=20.5,'S3'!U103,IF($E$2=21.5,'S3'!AE103,IF($E$2=22.5,'S3'!AF103,IF($E$2=23.5,'S3'!AG103,IF($E$2=24.5,'S3'!AH103,IF($E$2=25.5,'S3'!AI103,IF($E$2=26.5,'S3'!AC103,IF($E$2=27.5,'S3'!AK103,IF($E$2=28.5,'S3'!AL103,IF($E$2=29.5,'S3'!AM103,IF($E$2=30.5,'S3'!AN103,IF($E$2=31.5,'S3'!AO103,IF($E$2=32.5,'S3'!AP103,IF($E$2=33.5,'S3'!AQ103,IF($E$2=34.5,'S3'!AR103,IF($E$2=35.5,'S3'!AS103))))))))))))))))</f>
        <v>154.58000000000001</v>
      </c>
      <c r="F103" s="398">
        <f t="shared" si="6"/>
        <v>216.41</v>
      </c>
    </row>
    <row r="104" spans="2:6">
      <c r="B104" s="411">
        <v>100</v>
      </c>
      <c r="C104" s="376">
        <f>IF($C$2=20.5,'S3'!T104,IF($C$2=21.5,'S3'!V104,IF($C$2=22.5,'S3'!A104,IF($C$2=23.5,'S3'!B104,IF($C$2=24.5,'S3'!C104,IF($C$2=25.5,'S3'!C104,IF($C$2=26.5,'S3'!E104,IF($C$2=27.5,'S3'!F104,IF($C$2=28.5,'S3'!G104,IF($C$2=29.5,'S3'!H104,IF($C$2=30.5,'S3'!I104,IF($C$2=31.5,'S3'!J104,IF($C$2=32.5,'S3'!K104,IF($C$2=33.5,'S3'!L104,IF($C$2=34.5,'S3'!M104,IF($C$2=35.5,'S3'!N104))))))))))))))))</f>
        <v>215.23</v>
      </c>
      <c r="D104" s="398">
        <f t="shared" si="7"/>
        <v>301.32</v>
      </c>
      <c r="E104" s="376">
        <f>IF($E$2=20.5,'S3'!U104,IF($E$2=21.5,'S3'!AE104,IF($E$2=22.5,'S3'!AF104,IF($E$2=23.5,'S3'!AG104,IF($E$2=24.5,'S3'!AH104,IF($E$2=25.5,'S3'!AI104,IF($E$2=26.5,'S3'!AC104,IF($E$2=27.5,'S3'!AK104,IF($E$2=28.5,'S3'!AL104,IF($E$2=29.5,'S3'!AM104,IF($E$2=30.5,'S3'!AN104,IF($E$2=31.5,'S3'!AO104,IF($E$2=32.5,'S3'!AP104,IF($E$2=33.5,'S3'!AQ104,IF($E$2=34.5,'S3'!AR104,IF($E$2=35.5,'S3'!AS104))))))))))))))))</f>
        <v>156.16</v>
      </c>
      <c r="F104" s="398">
        <f t="shared" si="6"/>
        <v>218.62</v>
      </c>
    </row>
    <row r="105" spans="2:6">
      <c r="B105" s="411">
        <v>101</v>
      </c>
      <c r="C105" s="376">
        <f>IF($C$2=20.5,'S3'!T105,IF($C$2=21.5,'S3'!V105,IF($C$2=22.5,'S3'!A105,IF($C$2=23.5,'S3'!B105,IF($C$2=24.5,'S3'!C105,IF($C$2=25.5,'S3'!C105,IF($C$2=26.5,'S3'!E105,IF($C$2=27.5,'S3'!F105,IF($C$2=28.5,'S3'!G105,IF($C$2=29.5,'S3'!H105,IF($C$2=30.5,'S3'!I105,IF($C$2=31.5,'S3'!J105,IF($C$2=32.5,'S3'!K105,IF($C$2=33.5,'S3'!L105,IF($C$2=34.5,'S3'!M105,IF($C$2=35.5,'S3'!N105))))))))))))))))</f>
        <v>217.43</v>
      </c>
      <c r="D105" s="398">
        <f t="shared" si="7"/>
        <v>304.39999999999998</v>
      </c>
      <c r="E105" s="376">
        <f>IF($E$2=20.5,'S3'!U105,IF($E$2=21.5,'S3'!AE105,IF($E$2=22.5,'S3'!AF105,IF($E$2=23.5,'S3'!AG105,IF($E$2=24.5,'S3'!AH105,IF($E$2=25.5,'S3'!AI105,IF($E$2=26.5,'S3'!AC105,IF($E$2=27.5,'S3'!AK105,IF($E$2=28.5,'S3'!AL105,IF($E$2=29.5,'S3'!AM105,IF($E$2=30.5,'S3'!AN105,IF($E$2=31.5,'S3'!AO105,IF($E$2=32.5,'S3'!AP105,IF($E$2=33.5,'S3'!AQ105,IF($E$2=34.5,'S3'!AR105,IF($E$2=35.5,'S3'!AS105))))))))))))))))</f>
        <v>157.69</v>
      </c>
      <c r="F105" s="398">
        <f t="shared" si="6"/>
        <v>220.77</v>
      </c>
    </row>
    <row r="106" spans="2:6">
      <c r="B106" s="411">
        <v>102</v>
      </c>
      <c r="C106" s="376">
        <f>IF($C$2=20.5,'S3'!T106,IF($C$2=21.5,'S3'!V106,IF($C$2=22.5,'S3'!A106,IF($C$2=23.5,'S3'!B106,IF($C$2=24.5,'S3'!C106,IF($C$2=25.5,'S3'!C106,IF($C$2=26.5,'S3'!E106,IF($C$2=27.5,'S3'!F106,IF($C$2=28.5,'S3'!G106,IF($C$2=29.5,'S3'!H106,IF($C$2=30.5,'S3'!I106,IF($C$2=31.5,'S3'!J106,IF($C$2=32.5,'S3'!K106,IF($C$2=33.5,'S3'!L106,IF($C$2=34.5,'S3'!M106,IF($C$2=35.5,'S3'!N106))))))))))))))))</f>
        <v>219.51</v>
      </c>
      <c r="D106" s="398">
        <f t="shared" si="7"/>
        <v>307.31</v>
      </c>
      <c r="E106" s="376">
        <f>IF($E$2=20.5,'S3'!U106,IF($E$2=21.5,'S3'!AE106,IF($E$2=22.5,'S3'!AF106,IF($E$2=23.5,'S3'!AG106,IF($E$2=24.5,'S3'!AH106,IF($E$2=25.5,'S3'!AI106,IF($E$2=26.5,'S3'!AC106,IF($E$2=27.5,'S3'!AK106,IF($E$2=28.5,'S3'!AL106,IF($E$2=29.5,'S3'!AM106,IF($E$2=30.5,'S3'!AN106,IF($E$2=31.5,'S3'!AO106,IF($E$2=32.5,'S3'!AP106,IF($E$2=33.5,'S3'!AQ106,IF($E$2=34.5,'S3'!AR106,IF($E$2=35.5,'S3'!AS106))))))))))))))))</f>
        <v>159.28</v>
      </c>
      <c r="F106" s="398">
        <f t="shared" si="6"/>
        <v>222.99</v>
      </c>
    </row>
    <row r="107" spans="2:6">
      <c r="B107" s="411">
        <v>103</v>
      </c>
      <c r="C107" s="376">
        <f>IF($C$2=20.5,'S3'!T107,IF($C$2=21.5,'S3'!V107,IF($C$2=22.5,'S3'!A107,IF($C$2=23.5,'S3'!B107,IF($C$2=24.5,'S3'!C107,IF($C$2=25.5,'S3'!C107,IF($C$2=26.5,'S3'!E107,IF($C$2=27.5,'S3'!F107,IF($C$2=28.5,'S3'!G107,IF($C$2=29.5,'S3'!H107,IF($C$2=30.5,'S3'!I107,IF($C$2=31.5,'S3'!J107,IF($C$2=32.5,'S3'!K107,IF($C$2=33.5,'S3'!L107,IF($C$2=34.5,'S3'!M107,IF($C$2=35.5,'S3'!N107))))))))))))))))</f>
        <v>221.72</v>
      </c>
      <c r="D107" s="398">
        <f t="shared" si="7"/>
        <v>310.41000000000003</v>
      </c>
      <c r="E107" s="376">
        <f>IF($E$2=20.5,'S3'!U107,IF($E$2=21.5,'S3'!AE107,IF($E$2=22.5,'S3'!AF107,IF($E$2=23.5,'S3'!AG107,IF($E$2=24.5,'S3'!AH107,IF($E$2=25.5,'S3'!AI107,IF($E$2=26.5,'S3'!AC107,IF($E$2=27.5,'S3'!AK107,IF($E$2=28.5,'S3'!AL107,IF($E$2=29.5,'S3'!AM107,IF($E$2=30.5,'S3'!AN107,IF($E$2=31.5,'S3'!AO107,IF($E$2=32.5,'S3'!AP107,IF($E$2=33.5,'S3'!AQ107,IF($E$2=34.5,'S3'!AR107,IF($E$2=35.5,'S3'!AS107))))))))))))))))</f>
        <v>160.81</v>
      </c>
      <c r="F107" s="398">
        <f t="shared" si="6"/>
        <v>225.13</v>
      </c>
    </row>
    <row r="108" spans="2:6">
      <c r="B108" s="411">
        <v>104</v>
      </c>
      <c r="C108" s="376">
        <f>IF($C$2=20.5,'S3'!T108,IF($C$2=21.5,'S3'!V108,IF($C$2=22.5,'S3'!A108,IF($C$2=23.5,'S3'!B108,IF($C$2=24.5,'S3'!C108,IF($C$2=25.5,'S3'!C108,IF($C$2=26.5,'S3'!E108,IF($C$2=27.5,'S3'!F108,IF($C$2=28.5,'S3'!G108,IF($C$2=29.5,'S3'!H108,IF($C$2=30.5,'S3'!I108,IF($C$2=31.5,'S3'!J108,IF($C$2=32.5,'S3'!K108,IF($C$2=33.5,'S3'!L108,IF($C$2=34.5,'S3'!M108,IF($C$2=35.5,'S3'!N108))))))))))))))))</f>
        <v>223.81</v>
      </c>
      <c r="D108" s="398">
        <f t="shared" si="7"/>
        <v>313.33</v>
      </c>
      <c r="E108" s="376">
        <f>IF($E$2=20.5,'S3'!U108,IF($E$2=21.5,'S3'!AE108,IF($E$2=22.5,'S3'!AF108,IF($E$2=23.5,'S3'!AG108,IF($E$2=24.5,'S3'!AH108,IF($E$2=25.5,'S3'!AI108,IF($E$2=26.5,'S3'!AC108,IF($E$2=27.5,'S3'!AK108,IF($E$2=28.5,'S3'!AL108,IF($E$2=29.5,'S3'!AM108,IF($E$2=30.5,'S3'!AN108,IF($E$2=31.5,'S3'!AO108,IF($E$2=32.5,'S3'!AP108,IF($E$2=33.5,'S3'!AQ108,IF($E$2=34.5,'S3'!AR108,IF($E$2=35.5,'S3'!AS108))))))))))))))))</f>
        <v>162.35</v>
      </c>
      <c r="F108" s="398">
        <f t="shared" si="6"/>
        <v>227.29</v>
      </c>
    </row>
    <row r="109" spans="2:6">
      <c r="B109" s="411">
        <v>105</v>
      </c>
      <c r="C109" s="376">
        <f>IF($C$2=20.5,'S3'!T109,IF($C$2=21.5,'S3'!V109,IF($C$2=22.5,'S3'!A109,IF($C$2=23.5,'S3'!B109,IF($C$2=24.5,'S3'!C109,IF($C$2=25.5,'S3'!C109,IF($C$2=26.5,'S3'!E109,IF($C$2=27.5,'S3'!F109,IF($C$2=28.5,'S3'!G109,IF($C$2=29.5,'S3'!H109,IF($C$2=30.5,'S3'!I109,IF($C$2=31.5,'S3'!J109,IF($C$2=32.5,'S3'!K109,IF($C$2=33.5,'S3'!L109,IF($C$2=34.5,'S3'!M109,IF($C$2=35.5,'S3'!N109))))))))))))))))</f>
        <v>226.04</v>
      </c>
      <c r="D109" s="398">
        <f t="shared" si="7"/>
        <v>316.45999999999998</v>
      </c>
      <c r="E109" s="376">
        <f>IF($E$2=20.5,'S3'!U109,IF($E$2=21.5,'S3'!AE109,IF($E$2=22.5,'S3'!AF109,IF($E$2=23.5,'S3'!AG109,IF($E$2=24.5,'S3'!AH109,IF($E$2=25.5,'S3'!AI109,IF($E$2=26.5,'S3'!AC109,IF($E$2=27.5,'S3'!AK109,IF($E$2=28.5,'S3'!AL109,IF($E$2=29.5,'S3'!AM109,IF($E$2=30.5,'S3'!AN109,IF($E$2=31.5,'S3'!AO109,IF($E$2=32.5,'S3'!AP109,IF($E$2=33.5,'S3'!AQ109,IF($E$2=34.5,'S3'!AR109,IF($E$2=35.5,'S3'!AS109))))))))))))))))</f>
        <v>163.95</v>
      </c>
      <c r="F109" s="398">
        <f t="shared" si="6"/>
        <v>229.53</v>
      </c>
    </row>
    <row r="110" spans="2:6">
      <c r="B110" s="411">
        <v>106</v>
      </c>
      <c r="C110" s="376">
        <f>IF($C$2=20.5,'S3'!T110,IF($C$2=21.5,'S3'!V110,IF($C$2=22.5,'S3'!A110,IF($C$2=23.5,'S3'!B110,IF($C$2=24.5,'S3'!C110,IF($C$2=25.5,'S3'!C110,IF($C$2=26.5,'S3'!E110,IF($C$2=27.5,'S3'!F110,IF($C$2=28.5,'S3'!G110,IF($C$2=29.5,'S3'!H110,IF($C$2=30.5,'S3'!I110,IF($C$2=31.5,'S3'!J110,IF($C$2=32.5,'S3'!K110,IF($C$2=33.5,'S3'!L110,IF($C$2=34.5,'S3'!M110,IF($C$2=35.5,'S3'!N110))))))))))))))))</f>
        <v>228.13</v>
      </c>
      <c r="D110" s="398">
        <f t="shared" si="7"/>
        <v>319.38</v>
      </c>
      <c r="E110" s="376">
        <f>IF($E$2=20.5,'S3'!U110,IF($E$2=21.5,'S3'!AE110,IF($E$2=22.5,'S3'!AF110,IF($E$2=23.5,'S3'!AG110,IF($E$2=24.5,'S3'!AH110,IF($E$2=25.5,'S3'!AI110,IF($E$2=26.5,'S3'!AC110,IF($E$2=27.5,'S3'!AK110,IF($E$2=28.5,'S3'!AL110,IF($E$2=29.5,'S3'!AM110,IF($E$2=30.5,'S3'!AN110,IF($E$2=31.5,'S3'!AO110,IF($E$2=32.5,'S3'!AP110,IF($E$2=33.5,'S3'!AQ110,IF($E$2=34.5,'S3'!AR110,IF($E$2=35.5,'S3'!AS110))))))))))))))))</f>
        <v>165.49</v>
      </c>
      <c r="F110" s="398">
        <f t="shared" si="6"/>
        <v>231.69</v>
      </c>
    </row>
    <row r="111" spans="2:6">
      <c r="B111" s="411">
        <v>107</v>
      </c>
      <c r="C111" s="376">
        <f>IF($C$2=20.5,'S3'!T111,IF($C$2=21.5,'S3'!V111,IF($C$2=22.5,'S3'!A111,IF($C$2=23.5,'S3'!B111,IF($C$2=24.5,'S3'!C111,IF($C$2=25.5,'S3'!C111,IF($C$2=26.5,'S3'!E111,IF($C$2=27.5,'S3'!F111,IF($C$2=28.5,'S3'!G111,IF($C$2=29.5,'S3'!H111,IF($C$2=30.5,'S3'!I111,IF($C$2=31.5,'S3'!J111,IF($C$2=32.5,'S3'!K111,IF($C$2=33.5,'S3'!L111,IF($C$2=34.5,'S3'!M111,IF($C$2=35.5,'S3'!N111))))))))))))))))</f>
        <v>230.23</v>
      </c>
      <c r="D111" s="398">
        <f t="shared" si="7"/>
        <v>322.32</v>
      </c>
      <c r="E111" s="376">
        <f>IF($E$2=20.5,'S3'!U111,IF($E$2=21.5,'S3'!AE111,IF($E$2=22.5,'S3'!AF111,IF($E$2=23.5,'S3'!AG111,IF($E$2=24.5,'S3'!AH111,IF($E$2=25.5,'S3'!AI111,IF($E$2=26.5,'S3'!AC111,IF($E$2=27.5,'S3'!AK111,IF($E$2=28.5,'S3'!AL111,IF($E$2=29.5,'S3'!AM111,IF($E$2=30.5,'S3'!AN111,IF($E$2=31.5,'S3'!AO111,IF($E$2=32.5,'S3'!AP111,IF($E$2=33.5,'S3'!AQ111,IF($E$2=34.5,'S3'!AR111,IF($E$2=35.5,'S3'!AS111))))))))))))))))</f>
        <v>167.04</v>
      </c>
      <c r="F111" s="398">
        <f t="shared" si="6"/>
        <v>233.86</v>
      </c>
    </row>
    <row r="112" spans="2:6">
      <c r="B112" s="411">
        <v>108</v>
      </c>
      <c r="C112" s="376">
        <f>IF($C$2=20.5,'S3'!T112,IF($C$2=21.5,'S3'!V112,IF($C$2=22.5,'S3'!A112,IF($C$2=23.5,'S3'!B112,IF($C$2=24.5,'S3'!C112,IF($C$2=25.5,'S3'!C112,IF($C$2=26.5,'S3'!E112,IF($C$2=27.5,'S3'!F112,IF($C$2=28.5,'S3'!G112,IF($C$2=29.5,'S3'!H112,IF($C$2=30.5,'S3'!I112,IF($C$2=31.5,'S3'!J112,IF($C$2=32.5,'S3'!K112,IF($C$2=33.5,'S3'!L112,IF($C$2=34.5,'S3'!M112,IF($C$2=35.5,'S3'!N112))))))))))))))))</f>
        <v>232.34</v>
      </c>
      <c r="D112" s="398">
        <f t="shared" si="7"/>
        <v>325.27999999999997</v>
      </c>
      <c r="E112" s="376">
        <f>IF($E$2=20.5,'S3'!U112,IF($E$2=21.5,'S3'!AE112,IF($E$2=22.5,'S3'!AF112,IF($E$2=23.5,'S3'!AG112,IF($E$2=24.5,'S3'!AH112,IF($E$2=25.5,'S3'!AI112,IF($E$2=26.5,'S3'!AC112,IF($E$2=27.5,'S3'!AK112,IF($E$2=28.5,'S3'!AL112,IF($E$2=29.5,'S3'!AM112,IF($E$2=30.5,'S3'!AN112,IF($E$2=31.5,'S3'!AO112,IF($E$2=32.5,'S3'!AP112,IF($E$2=33.5,'S3'!AQ112,IF($E$2=34.5,'S3'!AR112,IF($E$2=35.5,'S3'!AS112))))))))))))))))</f>
        <v>168.58</v>
      </c>
      <c r="F112" s="398">
        <f t="shared" si="6"/>
        <v>236.01</v>
      </c>
    </row>
    <row r="113" spans="2:6">
      <c r="B113" s="411">
        <v>109</v>
      </c>
      <c r="C113" s="376">
        <f>IF($C$2=20.5,'S3'!T113,IF($C$2=21.5,'S3'!V113,IF($C$2=22.5,'S3'!A113,IF($C$2=23.5,'S3'!B113,IF($C$2=24.5,'S3'!C113,IF($C$2=25.5,'S3'!C113,IF($C$2=26.5,'S3'!E113,IF($C$2=27.5,'S3'!F113,IF($C$2=28.5,'S3'!G113,IF($C$2=29.5,'S3'!H113,IF($C$2=30.5,'S3'!I113,IF($C$2=31.5,'S3'!J113,IF($C$2=32.5,'S3'!K113,IF($C$2=33.5,'S3'!L113,IF($C$2=34.5,'S3'!M113,IF($C$2=35.5,'S3'!N113))))))))))))))))</f>
        <v>234.6</v>
      </c>
      <c r="D113" s="398">
        <f t="shared" si="7"/>
        <v>328.44</v>
      </c>
      <c r="E113" s="376">
        <f>IF($E$2=20.5,'S3'!U113,IF($E$2=21.5,'S3'!AE113,IF($E$2=22.5,'S3'!AF113,IF($E$2=23.5,'S3'!AG113,IF($E$2=24.5,'S3'!AH113,IF($E$2=25.5,'S3'!AI113,IF($E$2=26.5,'S3'!AC113,IF($E$2=27.5,'S3'!AK113,IF($E$2=28.5,'S3'!AL113,IF($E$2=29.5,'S3'!AM113,IF($E$2=30.5,'S3'!AN113,IF($E$2=31.5,'S3'!AO113,IF($E$2=32.5,'S3'!AP113,IF($E$2=33.5,'S3'!AQ113,IF($E$2=34.5,'S3'!AR113,IF($E$2=35.5,'S3'!AS113))))))))))))))))</f>
        <v>170.13</v>
      </c>
      <c r="F113" s="398">
        <f t="shared" si="6"/>
        <v>238.18</v>
      </c>
    </row>
    <row r="114" spans="2:6">
      <c r="B114" s="411">
        <v>110</v>
      </c>
      <c r="C114" s="376">
        <f>IF($C$2=20.5,'S3'!T114,IF($C$2=21.5,'S3'!V114,IF($C$2=22.5,'S3'!A114,IF($C$2=23.5,'S3'!B114,IF($C$2=24.5,'S3'!C114,IF($C$2=25.5,'S3'!C114,IF($C$2=26.5,'S3'!E114,IF($C$2=27.5,'S3'!F114,IF($C$2=28.5,'S3'!G114,IF($C$2=29.5,'S3'!H114,IF($C$2=30.5,'S3'!I114,IF($C$2=31.5,'S3'!J114,IF($C$2=32.5,'S3'!K114,IF($C$2=33.5,'S3'!L114,IF($C$2=34.5,'S3'!M114,IF($C$2=35.5,'S3'!N114))))))))))))))))</f>
        <v>236.71</v>
      </c>
      <c r="D114" s="398">
        <f t="shared" si="7"/>
        <v>331.39</v>
      </c>
      <c r="E114" s="376">
        <f>IF($E$2=20.5,'S3'!U114,IF($E$2=21.5,'S3'!AE114,IF($E$2=22.5,'S3'!AF114,IF($E$2=23.5,'S3'!AG114,IF($E$2=24.5,'S3'!AH114,IF($E$2=25.5,'S3'!AI114,IF($E$2=26.5,'S3'!AC114,IF($E$2=27.5,'S3'!AK114,IF($E$2=28.5,'S3'!AL114,IF($E$2=29.5,'S3'!AM114,IF($E$2=30.5,'S3'!AN114,IF($E$2=31.5,'S3'!AO114,IF($E$2=32.5,'S3'!AP114,IF($E$2=33.5,'S3'!AQ114,IF($E$2=34.5,'S3'!AR114,IF($E$2=35.5,'S3'!AS114))))))))))))))))</f>
        <v>171.68</v>
      </c>
      <c r="F114" s="398">
        <f t="shared" si="6"/>
        <v>240.35</v>
      </c>
    </row>
    <row r="115" spans="2:6">
      <c r="B115" s="411">
        <v>111</v>
      </c>
      <c r="C115" s="376">
        <f>IF($C$2=20.5,'S3'!T115,IF($C$2=21.5,'S3'!V115,IF($C$2=22.5,'S3'!A115,IF($C$2=23.5,'S3'!B115,IF($C$2=24.5,'S3'!C115,IF($C$2=25.5,'S3'!C115,IF($C$2=26.5,'S3'!E115,IF($C$2=27.5,'S3'!F115,IF($C$2=28.5,'S3'!G115,IF($C$2=29.5,'S3'!H115,IF($C$2=30.5,'S3'!I115,IF($C$2=31.5,'S3'!J115,IF($C$2=32.5,'S3'!K115,IF($C$2=33.5,'S3'!L115,IF($C$2=34.5,'S3'!M115,IF($C$2=35.5,'S3'!N115))))))))))))))))</f>
        <v>238.84</v>
      </c>
      <c r="D115" s="398">
        <f t="shared" si="7"/>
        <v>334.38</v>
      </c>
      <c r="E115" s="376">
        <f>IF($E$2=20.5,'S3'!U115,IF($E$2=21.5,'S3'!AE115,IF($E$2=22.5,'S3'!AF115,IF($E$2=23.5,'S3'!AG115,IF($E$2=24.5,'S3'!AH115,IF($E$2=25.5,'S3'!AI115,IF($E$2=26.5,'S3'!AC115,IF($E$2=27.5,'S3'!AK115,IF($E$2=28.5,'S3'!AL115,IF($E$2=29.5,'S3'!AM115,IF($E$2=30.5,'S3'!AN115,IF($E$2=31.5,'S3'!AO115,IF($E$2=32.5,'S3'!AP115,IF($E$2=33.5,'S3'!AQ115,IF($E$2=34.5,'S3'!AR115,IF($E$2=35.5,'S3'!AS115))))))))))))))))</f>
        <v>173.24</v>
      </c>
      <c r="F115" s="398">
        <f t="shared" si="6"/>
        <v>242.54</v>
      </c>
    </row>
    <row r="116" spans="2:6">
      <c r="B116" s="411">
        <v>112</v>
      </c>
      <c r="C116" s="376">
        <f>IF($C$2=20.5,'S3'!T116,IF($C$2=21.5,'S3'!V116,IF($C$2=22.5,'S3'!A116,IF($C$2=23.5,'S3'!B116,IF($C$2=24.5,'S3'!C116,IF($C$2=25.5,'S3'!C116,IF($C$2=26.5,'S3'!E116,IF($C$2=27.5,'S3'!F116,IF($C$2=28.5,'S3'!G116,IF($C$2=29.5,'S3'!H116,IF($C$2=30.5,'S3'!I116,IF($C$2=31.5,'S3'!J116,IF($C$2=32.5,'S3'!K116,IF($C$2=33.5,'S3'!L116,IF($C$2=34.5,'S3'!M116,IF($C$2=35.5,'S3'!N116))))))))))))))))</f>
        <v>240.96</v>
      </c>
      <c r="D116" s="398">
        <f t="shared" si="7"/>
        <v>337.34</v>
      </c>
      <c r="E116" s="376">
        <f>IF($E$2=20.5,'S3'!U116,IF($E$2=21.5,'S3'!AE116,IF($E$2=22.5,'S3'!AF116,IF($E$2=23.5,'S3'!AG116,IF($E$2=24.5,'S3'!AH116,IF($E$2=25.5,'S3'!AI116,IF($E$2=26.5,'S3'!AC116,IF($E$2=27.5,'S3'!AK116,IF($E$2=28.5,'S3'!AL116,IF($E$2=29.5,'S3'!AM116,IF($E$2=30.5,'S3'!AN116,IF($E$2=31.5,'S3'!AO116,IF($E$2=32.5,'S3'!AP116,IF($E$2=33.5,'S3'!AQ116,IF($E$2=34.5,'S3'!AR116,IF($E$2=35.5,'S3'!AS116))))))))))))))))</f>
        <v>174.79</v>
      </c>
      <c r="F116" s="398">
        <f t="shared" si="6"/>
        <v>244.71</v>
      </c>
    </row>
    <row r="117" spans="2:6">
      <c r="B117" s="411">
        <v>113</v>
      </c>
      <c r="C117" s="376">
        <f>IF($C$2=20.5,'S3'!T117,IF($C$2=21.5,'S3'!V117,IF($C$2=22.5,'S3'!A117,IF($C$2=23.5,'S3'!B117,IF($C$2=24.5,'S3'!C117,IF($C$2=25.5,'S3'!C117,IF($C$2=26.5,'S3'!E117,IF($C$2=27.5,'S3'!F117,IF($C$2=28.5,'S3'!G117,IF($C$2=29.5,'S3'!H117,IF($C$2=30.5,'S3'!I117,IF($C$2=31.5,'S3'!J117,IF($C$2=32.5,'S3'!K117,IF($C$2=33.5,'S3'!L117,IF($C$2=34.5,'S3'!M117,IF($C$2=35.5,'S3'!N117))))))))))))))))</f>
        <v>243.1</v>
      </c>
      <c r="D117" s="398">
        <f t="shared" si="7"/>
        <v>340.34</v>
      </c>
      <c r="E117" s="376">
        <f>IF($E$2=20.5,'S3'!U117,IF($E$2=21.5,'S3'!AE117,IF($E$2=22.5,'S3'!AF117,IF($E$2=23.5,'S3'!AG117,IF($E$2=24.5,'S3'!AH117,IF($E$2=25.5,'S3'!AI117,IF($E$2=26.5,'S3'!AC117,IF($E$2=27.5,'S3'!AK117,IF($E$2=28.5,'S3'!AL117,IF($E$2=29.5,'S3'!AM117,IF($E$2=30.5,'S3'!AN117,IF($E$2=31.5,'S3'!AO117,IF($E$2=32.5,'S3'!AP117,IF($E$2=33.5,'S3'!AQ117,IF($E$2=34.5,'S3'!AR117,IF($E$2=35.5,'S3'!AS117))))))))))))))))</f>
        <v>176.35</v>
      </c>
      <c r="F117" s="398">
        <f t="shared" si="6"/>
        <v>246.89</v>
      </c>
    </row>
    <row r="118" spans="2:6">
      <c r="B118" s="411">
        <v>114</v>
      </c>
      <c r="C118" s="376">
        <f>IF($C$2=20.5,'S3'!T118,IF($C$2=21.5,'S3'!V118,IF($C$2=22.5,'S3'!A118,IF($C$2=23.5,'S3'!B118,IF($C$2=24.5,'S3'!C118,IF($C$2=25.5,'S3'!C118,IF($C$2=26.5,'S3'!E118,IF($C$2=27.5,'S3'!F118,IF($C$2=28.5,'S3'!G118,IF($C$2=29.5,'S3'!H118,IF($C$2=30.5,'S3'!I118,IF($C$2=31.5,'S3'!J118,IF($C$2=32.5,'S3'!K118,IF($C$2=33.5,'S3'!L118,IF($C$2=34.5,'S3'!M118,IF($C$2=35.5,'S3'!N118))))))))))))))))</f>
        <v>245.24</v>
      </c>
      <c r="D118" s="398">
        <f t="shared" si="7"/>
        <v>343.34</v>
      </c>
      <c r="E118" s="376">
        <f>IF($E$2=20.5,'S3'!U118,IF($E$2=21.5,'S3'!AE118,IF($E$2=22.5,'S3'!AF118,IF($E$2=23.5,'S3'!AG118,IF($E$2=24.5,'S3'!AH118,IF($E$2=25.5,'S3'!AI118,IF($E$2=26.5,'S3'!AC118,IF($E$2=27.5,'S3'!AK118,IF($E$2=28.5,'S3'!AL118,IF($E$2=29.5,'S3'!AM118,IF($E$2=30.5,'S3'!AN118,IF($E$2=31.5,'S3'!AO118,IF($E$2=32.5,'S3'!AP118,IF($E$2=33.5,'S3'!AQ118,IF($E$2=34.5,'S3'!AR118,IF($E$2=35.5,'S3'!AS118))))))))))))))))</f>
        <v>177.91</v>
      </c>
      <c r="F118" s="398">
        <f t="shared" si="6"/>
        <v>249.07</v>
      </c>
    </row>
    <row r="119" spans="2:6">
      <c r="B119" s="411">
        <v>115</v>
      </c>
      <c r="C119" s="376">
        <f>IF($C$2=20.5,'S3'!T119,IF($C$2=21.5,'S3'!V119,IF($C$2=22.5,'S3'!A119,IF($C$2=23.5,'S3'!B119,IF($C$2=24.5,'S3'!C119,IF($C$2=25.5,'S3'!C119,IF($C$2=26.5,'S3'!E119,IF($C$2=27.5,'S3'!F119,IF($C$2=28.5,'S3'!G119,IF($C$2=29.5,'S3'!H119,IF($C$2=30.5,'S3'!I119,IF($C$2=31.5,'S3'!J119,IF($C$2=32.5,'S3'!K119,IF($C$2=33.5,'S3'!L119,IF($C$2=34.5,'S3'!M119,IF($C$2=35.5,'S3'!N119))))))))))))))))</f>
        <v>247.38</v>
      </c>
      <c r="D119" s="398">
        <f t="shared" si="7"/>
        <v>346.33</v>
      </c>
      <c r="E119" s="376">
        <f>IF($E$2=20.5,'S3'!U119,IF($E$2=21.5,'S3'!AE119,IF($E$2=22.5,'S3'!AF119,IF($E$2=23.5,'S3'!AG119,IF($E$2=24.5,'S3'!AH119,IF($E$2=25.5,'S3'!AI119,IF($E$2=26.5,'S3'!AC119,IF($E$2=27.5,'S3'!AK119,IF($E$2=28.5,'S3'!AL119,IF($E$2=29.5,'S3'!AM119,IF($E$2=30.5,'S3'!AN119,IF($E$2=31.5,'S3'!AO119,IF($E$2=32.5,'S3'!AP119,IF($E$2=33.5,'S3'!AQ119,IF($E$2=34.5,'S3'!AR119,IF($E$2=35.5,'S3'!AS119))))))))))))))))</f>
        <v>179.47</v>
      </c>
      <c r="F119" s="398">
        <f t="shared" si="6"/>
        <v>251.26</v>
      </c>
    </row>
    <row r="120" spans="2:6">
      <c r="B120" s="411">
        <v>116</v>
      </c>
      <c r="C120" s="376">
        <f>IF($C$2=20.5,'S3'!T120,IF($C$2=21.5,'S3'!V120,IF($C$2=22.5,'S3'!A120,IF($C$2=23.5,'S3'!B120,IF($C$2=24.5,'S3'!C120,IF($C$2=25.5,'S3'!C120,IF($C$2=26.5,'S3'!E120,IF($C$2=27.5,'S3'!F120,IF($C$2=28.5,'S3'!G120,IF($C$2=29.5,'S3'!H120,IF($C$2=30.5,'S3'!I120,IF($C$2=31.5,'S3'!J120,IF($C$2=32.5,'S3'!K120,IF($C$2=33.5,'S3'!L120,IF($C$2=34.5,'S3'!M120,IF($C$2=35.5,'S3'!N120))))))))))))))))</f>
        <v>249.53</v>
      </c>
      <c r="D120" s="398">
        <f t="shared" si="7"/>
        <v>349.34</v>
      </c>
      <c r="E120" s="376">
        <f>IF($E$2=20.5,'S3'!U120,IF($E$2=21.5,'S3'!AE120,IF($E$2=22.5,'S3'!AF120,IF($E$2=23.5,'S3'!AG120,IF($E$2=24.5,'S3'!AH120,IF($E$2=25.5,'S3'!AI120,IF($E$2=26.5,'S3'!AC120,IF($E$2=27.5,'S3'!AK120,IF($E$2=28.5,'S3'!AL120,IF($E$2=29.5,'S3'!AM120,IF($E$2=30.5,'S3'!AN120,IF($E$2=31.5,'S3'!AO120,IF($E$2=32.5,'S3'!AP120,IF($E$2=33.5,'S3'!AQ120,IF($E$2=34.5,'S3'!AR120,IF($E$2=35.5,'S3'!AS120))))))))))))))))</f>
        <v>181.03</v>
      </c>
      <c r="F120" s="398">
        <f t="shared" si="6"/>
        <v>253.44</v>
      </c>
    </row>
    <row r="121" spans="2:6">
      <c r="B121" s="411">
        <v>117</v>
      </c>
      <c r="C121" s="376">
        <f>IF($C$2=20.5,'S3'!T121,IF($C$2=21.5,'S3'!V121,IF($C$2=22.5,'S3'!A121,IF($C$2=23.5,'S3'!B121,IF($C$2=24.5,'S3'!C121,IF($C$2=25.5,'S3'!C121,IF($C$2=26.5,'S3'!E121,IF($C$2=27.5,'S3'!F121,IF($C$2=28.5,'S3'!G121,IF($C$2=29.5,'S3'!H121,IF($C$2=30.5,'S3'!I121,IF($C$2=31.5,'S3'!J121,IF($C$2=32.5,'S3'!K121,IF($C$2=33.5,'S3'!L121,IF($C$2=34.5,'S3'!M121,IF($C$2=35.5,'S3'!N121))))))))))))))))</f>
        <v>251.68</v>
      </c>
      <c r="D121" s="398">
        <f t="shared" si="7"/>
        <v>352.35</v>
      </c>
      <c r="E121" s="376">
        <f>IF($E$2=20.5,'S3'!U121,IF($E$2=21.5,'S3'!AE121,IF($E$2=22.5,'S3'!AF121,IF($E$2=23.5,'S3'!AG121,IF($E$2=24.5,'S3'!AH121,IF($E$2=25.5,'S3'!AI121,IF($E$2=26.5,'S3'!AC121,IF($E$2=27.5,'S3'!AK121,IF($E$2=28.5,'S3'!AL121,IF($E$2=29.5,'S3'!AM121,IF($E$2=30.5,'S3'!AN121,IF($E$2=31.5,'S3'!AO121,IF($E$2=32.5,'S3'!AP121,IF($E$2=33.5,'S3'!AQ121,IF($E$2=34.5,'S3'!AR121,IF($E$2=35.5,'S3'!AS121))))))))))))))))</f>
        <v>182.59</v>
      </c>
      <c r="F121" s="398">
        <f t="shared" si="6"/>
        <v>255.63</v>
      </c>
    </row>
    <row r="122" spans="2:6">
      <c r="B122" s="411">
        <v>118</v>
      </c>
      <c r="C122" s="376">
        <f>IF($C$2=20.5,'S3'!T122,IF($C$2=21.5,'S3'!V122,IF($C$2=22.5,'S3'!A122,IF($C$2=23.5,'S3'!B122,IF($C$2=24.5,'S3'!C122,IF($C$2=25.5,'S3'!C122,IF($C$2=26.5,'S3'!E122,IF($C$2=27.5,'S3'!F122,IF($C$2=28.5,'S3'!G122,IF($C$2=29.5,'S3'!H122,IF($C$2=30.5,'S3'!I122,IF($C$2=31.5,'S3'!J122,IF($C$2=32.5,'S3'!K122,IF($C$2=33.5,'S3'!L122,IF($C$2=34.5,'S3'!M122,IF($C$2=35.5,'S3'!N122))))))))))))))))</f>
        <v>253.85</v>
      </c>
      <c r="D122" s="398">
        <f t="shared" si="7"/>
        <v>355.39</v>
      </c>
      <c r="E122" s="376">
        <f>IF($E$2=20.5,'S3'!U122,IF($E$2=21.5,'S3'!AE122,IF($E$2=22.5,'S3'!AF122,IF($E$2=23.5,'S3'!AG122,IF($E$2=24.5,'S3'!AH122,IF($E$2=25.5,'S3'!AI122,IF($E$2=26.5,'S3'!AC122,IF($E$2=27.5,'S3'!AK122,IF($E$2=28.5,'S3'!AL122,IF($E$2=29.5,'S3'!AM122,IF($E$2=30.5,'S3'!AN122,IF($E$2=31.5,'S3'!AO122,IF($E$2=32.5,'S3'!AP122,IF($E$2=33.5,'S3'!AQ122,IF($E$2=34.5,'S3'!AR122,IF($E$2=35.5,'S3'!AS122))))))))))))))))</f>
        <v>184.16</v>
      </c>
      <c r="F122" s="398">
        <f t="shared" si="6"/>
        <v>257.82</v>
      </c>
    </row>
    <row r="123" spans="2:6">
      <c r="B123" s="411">
        <v>119</v>
      </c>
      <c r="C123" s="376">
        <f>IF($C$2=20.5,'S3'!T123,IF($C$2=21.5,'S3'!V123,IF($C$2=22.5,'S3'!A123,IF($C$2=23.5,'S3'!B123,IF($C$2=24.5,'S3'!C123,IF($C$2=25.5,'S3'!C123,IF($C$2=26.5,'S3'!E123,IF($C$2=27.5,'S3'!F123,IF($C$2=28.5,'S3'!G123,IF($C$2=29.5,'S3'!H123,IF($C$2=30.5,'S3'!I123,IF($C$2=31.5,'S3'!J123,IF($C$2=32.5,'S3'!K123,IF($C$2=33.5,'S3'!L123,IF($C$2=34.5,'S3'!M123,IF($C$2=35.5,'S3'!N123))))))))))))))))</f>
        <v>256.01</v>
      </c>
      <c r="D123" s="398">
        <f t="shared" si="7"/>
        <v>358.41</v>
      </c>
      <c r="E123" s="376">
        <f>IF($E$2=20.5,'S3'!U123,IF($E$2=21.5,'S3'!AE123,IF($E$2=22.5,'S3'!AF123,IF($E$2=23.5,'S3'!AG123,IF($E$2=24.5,'S3'!AH123,IF($E$2=25.5,'S3'!AI123,IF($E$2=26.5,'S3'!AC123,IF($E$2=27.5,'S3'!AK123,IF($E$2=28.5,'S3'!AL123,IF($E$2=29.5,'S3'!AM123,IF($E$2=30.5,'S3'!AN123,IF($E$2=31.5,'S3'!AO123,IF($E$2=32.5,'S3'!AP123,IF($E$2=33.5,'S3'!AQ123,IF($E$2=34.5,'S3'!AR123,IF($E$2=35.5,'S3'!AS123))))))))))))))))</f>
        <v>185.23</v>
      </c>
      <c r="F123" s="398">
        <f t="shared" si="6"/>
        <v>259.32</v>
      </c>
    </row>
    <row r="124" spans="2:6">
      <c r="B124" s="411">
        <v>120</v>
      </c>
      <c r="C124" s="376">
        <f>IF($C$2=20.5,'S3'!T124,IF($C$2=21.5,'S3'!V124,IF($C$2=22.5,'S3'!A124,IF($C$2=23.5,'S3'!B124,IF($C$2=24.5,'S3'!C124,IF($C$2=25.5,'S3'!C124,IF($C$2=26.5,'S3'!E124,IF($C$2=27.5,'S3'!F124,IF($C$2=28.5,'S3'!G124,IF($C$2=29.5,'S3'!H124,IF($C$2=30.5,'S3'!I124,IF($C$2=31.5,'S3'!J124,IF($C$2=32.5,'S3'!K124,IF($C$2=33.5,'S3'!L124,IF($C$2=34.5,'S3'!M124,IF($C$2=35.5,'S3'!N124))))))))))))))))</f>
        <v>258.19</v>
      </c>
      <c r="D124" s="398">
        <f t="shared" si="7"/>
        <v>361.47</v>
      </c>
      <c r="E124" s="376">
        <f>IF($E$2=20.5,'S3'!U124,IF($E$2=21.5,'S3'!AE124,IF($E$2=22.5,'S3'!AF124,IF($E$2=23.5,'S3'!AG124,IF($E$2=24.5,'S3'!AH124,IF($E$2=25.5,'S3'!AI124,IF($E$2=26.5,'S3'!AC124,IF($E$2=27.5,'S3'!AK124,IF($E$2=28.5,'S3'!AL124,IF($E$2=29.5,'S3'!AM124,IF($E$2=30.5,'S3'!AN124,IF($E$2=31.5,'S3'!AO124,IF($E$2=32.5,'S3'!AP124,IF($E$2=33.5,'S3'!AQ124,IF($E$2=34.5,'S3'!AR124,IF($E$2=35.5,'S3'!AS124))))))))))))))))</f>
        <v>187.24</v>
      </c>
      <c r="F124" s="398">
        <f t="shared" si="6"/>
        <v>262.14</v>
      </c>
    </row>
    <row r="125" spans="2:6">
      <c r="B125" s="411">
        <v>121</v>
      </c>
      <c r="C125" s="376">
        <f>IF($C$2=20.5,'S3'!T125,IF($C$2=21.5,'S3'!V125,IF($C$2=22.5,'S3'!A125,IF($C$2=23.5,'S3'!B125,IF($C$2=24.5,'S3'!C125,IF($C$2=25.5,'S3'!C125,IF($C$2=26.5,'S3'!E125,IF($C$2=27.5,'S3'!F125,IF($C$2=28.5,'S3'!G125,IF($C$2=29.5,'S3'!H125,IF($C$2=30.5,'S3'!I125,IF($C$2=31.5,'S3'!J125,IF($C$2=32.5,'S3'!K125,IF($C$2=33.5,'S3'!L125,IF($C$2=34.5,'S3'!M125,IF($C$2=35.5,'S3'!N125))))))))))))))))</f>
        <v>260.18</v>
      </c>
      <c r="D125" s="398">
        <f t="shared" si="7"/>
        <v>364.25</v>
      </c>
      <c r="E125" s="376">
        <f>IF($E$2=20.5,'S3'!U125,IF($E$2=21.5,'S3'!AE125,IF($E$2=22.5,'S3'!AF125,IF($E$2=23.5,'S3'!AG125,IF($E$2=24.5,'S3'!AH125,IF($E$2=25.5,'S3'!AI125,IF($E$2=26.5,'S3'!AC125,IF($E$2=27.5,'S3'!AK125,IF($E$2=28.5,'S3'!AL125,IF($E$2=29.5,'S3'!AM125,IF($E$2=30.5,'S3'!AN125,IF($E$2=31.5,'S3'!AO125,IF($E$2=32.5,'S3'!AP125,IF($E$2=33.5,'S3'!AQ125,IF($E$2=34.5,'S3'!AR125,IF($E$2=35.5,'S3'!AS125))))))))))))))))</f>
        <v>188.81</v>
      </c>
      <c r="F125" s="398">
        <f t="shared" si="6"/>
        <v>264.33</v>
      </c>
    </row>
    <row r="126" spans="2:6">
      <c r="B126" s="411">
        <v>122</v>
      </c>
      <c r="C126" s="376">
        <f>IF($C$2=20.5,'S3'!T126,IF($C$2=21.5,'S3'!V126,IF($C$2=22.5,'S3'!A126,IF($C$2=23.5,'S3'!B126,IF($C$2=24.5,'S3'!C126,IF($C$2=25.5,'S3'!C126,IF($C$2=26.5,'S3'!E126,IF($C$2=27.5,'S3'!F126,IF($C$2=28.5,'S3'!G126,IF($C$2=29.5,'S3'!H126,IF($C$2=30.5,'S3'!I126,IF($C$2=31.5,'S3'!J126,IF($C$2=32.5,'S3'!K126,IF($C$2=33.5,'S3'!L126,IF($C$2=34.5,'S3'!M126,IF($C$2=35.5,'S3'!N126))))))))))))))))</f>
        <v>262.37</v>
      </c>
      <c r="D126" s="398">
        <f t="shared" si="7"/>
        <v>367.32</v>
      </c>
      <c r="E126" s="376">
        <f>IF($E$2=20.5,'S3'!U126,IF($E$2=21.5,'S3'!AE126,IF($E$2=22.5,'S3'!AF126,IF($E$2=23.5,'S3'!AG126,IF($E$2=24.5,'S3'!AH126,IF($E$2=25.5,'S3'!AI126,IF($E$2=26.5,'S3'!AC126,IF($E$2=27.5,'S3'!AK126,IF($E$2=28.5,'S3'!AL126,IF($E$2=29.5,'S3'!AM126,IF($E$2=30.5,'S3'!AN126,IF($E$2=31.5,'S3'!AO126,IF($E$2=32.5,'S3'!AP126,IF($E$2=33.5,'S3'!AQ126,IF($E$2=34.5,'S3'!AR126,IF($E$2=35.5,'S3'!AS126))))))))))))))))</f>
        <v>190.38</v>
      </c>
      <c r="F126" s="398">
        <f t="shared" si="6"/>
        <v>266.52999999999997</v>
      </c>
    </row>
    <row r="127" spans="2:6">
      <c r="B127" s="411">
        <v>123</v>
      </c>
      <c r="C127" s="376">
        <f>IF($C$2=20.5,'S3'!T127,IF($C$2=21.5,'S3'!V127,IF($C$2=22.5,'S3'!A127,IF($C$2=23.5,'S3'!B127,IF($C$2=24.5,'S3'!C127,IF($C$2=25.5,'S3'!C127,IF($C$2=26.5,'S3'!E127,IF($C$2=27.5,'S3'!F127,IF($C$2=28.5,'S3'!G127,IF($C$2=29.5,'S3'!H127,IF($C$2=30.5,'S3'!I127,IF($C$2=31.5,'S3'!J127,IF($C$2=32.5,'S3'!K127,IF($C$2=33.5,'S3'!L127,IF($C$2=34.5,'S3'!M127,IF($C$2=35.5,'S3'!N127))))))))))))))))</f>
        <v>264.56</v>
      </c>
      <c r="D127" s="398">
        <f t="shared" si="7"/>
        <v>370.38</v>
      </c>
      <c r="E127" s="376">
        <f>IF($E$2=20.5,'S3'!U127,IF($E$2=21.5,'S3'!AE127,IF($E$2=22.5,'S3'!AF127,IF($E$2=23.5,'S3'!AG127,IF($E$2=24.5,'S3'!AH127,IF($E$2=25.5,'S3'!AI127,IF($E$2=26.5,'S3'!AC127,IF($E$2=27.5,'S3'!AK127,IF($E$2=28.5,'S3'!AL127,IF($E$2=29.5,'S3'!AM127,IF($E$2=30.5,'S3'!AN127,IF($E$2=31.5,'S3'!AO127,IF($E$2=32.5,'S3'!AP127,IF($E$2=33.5,'S3'!AQ127,IF($E$2=34.5,'S3'!AR127,IF($E$2=35.5,'S3'!AS127))))))))))))))))</f>
        <v>191.89</v>
      </c>
      <c r="F127" s="398">
        <f t="shared" si="6"/>
        <v>268.64999999999998</v>
      </c>
    </row>
    <row r="128" spans="2:6">
      <c r="B128" s="411">
        <v>124</v>
      </c>
      <c r="C128" s="376">
        <f>IF($C$2=20.5,'S3'!T128,IF($C$2=21.5,'S3'!V128,IF($C$2=22.5,'S3'!A128,IF($C$2=23.5,'S3'!B128,IF($C$2=24.5,'S3'!C128,IF($C$2=25.5,'S3'!C128,IF($C$2=26.5,'S3'!E128,IF($C$2=27.5,'S3'!F128,IF($C$2=28.5,'S3'!G128,IF($C$2=29.5,'S3'!H128,IF($C$2=30.5,'S3'!I128,IF($C$2=31.5,'S3'!J128,IF($C$2=32.5,'S3'!K128,IF($C$2=33.5,'S3'!L128,IF($C$2=34.5,'S3'!M128,IF($C$2=35.5,'S3'!N128))))))))))))))))</f>
        <v>266.76</v>
      </c>
      <c r="D128" s="398">
        <f t="shared" si="7"/>
        <v>373.46</v>
      </c>
      <c r="E128" s="376">
        <f>IF($E$2=20.5,'S3'!U128,IF($E$2=21.5,'S3'!AE128,IF($E$2=22.5,'S3'!AF128,IF($E$2=23.5,'S3'!AG128,IF($E$2=24.5,'S3'!AH128,IF($E$2=25.5,'S3'!AI128,IF($E$2=26.5,'S3'!AC128,IF($E$2=27.5,'S3'!AK128,IF($E$2=28.5,'S3'!AL128,IF($E$2=29.5,'S3'!AM128,IF($E$2=30.5,'S3'!AN128,IF($E$2=31.5,'S3'!AO128,IF($E$2=32.5,'S3'!AP128,IF($E$2=33.5,'S3'!AQ128,IF($E$2=34.5,'S3'!AR128,IF($E$2=35.5,'S3'!AS128))))))))))))))))</f>
        <v>193.47</v>
      </c>
      <c r="F128" s="398">
        <f t="shared" si="6"/>
        <v>270.86</v>
      </c>
    </row>
    <row r="129" spans="2:6">
      <c r="B129" s="411">
        <v>125</v>
      </c>
      <c r="C129" s="376">
        <f>IF($C$2=20.5,'S3'!T129,IF($C$2=21.5,'S3'!V129,IF($C$2=22.5,'S3'!A129,IF($C$2=23.5,'S3'!B129,IF($C$2=24.5,'S3'!C129,IF($C$2=25.5,'S3'!C129,IF($C$2=26.5,'S3'!E129,IF($C$2=27.5,'S3'!F129,IF($C$2=28.5,'S3'!G129,IF($C$2=29.5,'S3'!H129,IF($C$2=30.5,'S3'!I129,IF($C$2=31.5,'S3'!J129,IF($C$2=32.5,'S3'!K129,IF($C$2=33.5,'S3'!L129,IF($C$2=34.5,'S3'!M129,IF($C$2=35.5,'S3'!N129))))))))))))))))</f>
        <v>268.76</v>
      </c>
      <c r="D129" s="398">
        <f t="shared" si="7"/>
        <v>376.26</v>
      </c>
      <c r="E129" s="376">
        <f>IF($E$2=20.5,'S3'!U129,IF($E$2=21.5,'S3'!AE129,IF($E$2=22.5,'S3'!AF129,IF($E$2=23.5,'S3'!AG129,IF($E$2=24.5,'S3'!AH129,IF($E$2=25.5,'S3'!AI129,IF($E$2=26.5,'S3'!AC129,IF($E$2=27.5,'S3'!AK129,IF($E$2=28.5,'S3'!AL129,IF($E$2=29.5,'S3'!AM129,IF($E$2=30.5,'S3'!AN129,IF($E$2=31.5,'S3'!AO129,IF($E$2=32.5,'S3'!AP129,IF($E$2=33.5,'S3'!AQ129,IF($E$2=34.5,'S3'!AR129,IF($E$2=35.5,'S3'!AS129))))))))))))))))</f>
        <v>195.05</v>
      </c>
      <c r="F129" s="398">
        <f t="shared" si="6"/>
        <v>273.07</v>
      </c>
    </row>
    <row r="130" spans="2:6">
      <c r="B130" s="411">
        <v>126</v>
      </c>
      <c r="C130" s="376">
        <f>IF($C$2=20.5,'S3'!T130,IF($C$2=21.5,'S3'!V130,IF($C$2=22.5,'S3'!A130,IF($C$2=23.5,'S3'!B130,IF($C$2=24.5,'S3'!C130,IF($C$2=25.5,'S3'!C130,IF($C$2=26.5,'S3'!E130,IF($C$2=27.5,'S3'!F130,IF($C$2=28.5,'S3'!G130,IF($C$2=29.5,'S3'!H130,IF($C$2=30.5,'S3'!I130,IF($C$2=31.5,'S3'!J130,IF($C$2=32.5,'S3'!K130,IF($C$2=33.5,'S3'!L130,IF($C$2=34.5,'S3'!M130,IF($C$2=35.5,'S3'!N130))))))))))))))))</f>
        <v>270.97000000000003</v>
      </c>
      <c r="D130" s="398">
        <f t="shared" si="7"/>
        <v>379.36</v>
      </c>
      <c r="E130" s="376">
        <f>IF($E$2=20.5,'S3'!U130,IF($E$2=21.5,'S3'!AE130,IF($E$2=22.5,'S3'!AF130,IF($E$2=23.5,'S3'!AG130,IF($E$2=24.5,'S3'!AH130,IF($E$2=25.5,'S3'!AI130,IF($E$2=26.5,'S3'!AC130,IF($E$2=27.5,'S3'!AK130,IF($E$2=28.5,'S3'!AL130,IF($E$2=29.5,'S3'!AM130,IF($E$2=30.5,'S3'!AN130,IF($E$2=31.5,'S3'!AO130,IF($E$2=32.5,'S3'!AP130,IF($E$2=33.5,'S3'!AQ130,IF($E$2=34.5,'S3'!AR130,IF($E$2=35.5,'S3'!AS130))))))))))))))))</f>
        <v>196.57</v>
      </c>
      <c r="F130" s="398">
        <f t="shared" si="6"/>
        <v>275.2</v>
      </c>
    </row>
    <row r="131" spans="2:6">
      <c r="B131" s="411">
        <v>127</v>
      </c>
      <c r="C131" s="376">
        <f>IF($C$2=20.5,'S3'!T131,IF($C$2=21.5,'S3'!V131,IF($C$2=22.5,'S3'!A131,IF($C$2=23.5,'S3'!B131,IF($C$2=24.5,'S3'!C131,IF($C$2=25.5,'S3'!C131,IF($C$2=26.5,'S3'!E131,IF($C$2=27.5,'S3'!F131,IF($C$2=28.5,'S3'!G131,IF($C$2=29.5,'S3'!H131,IF($C$2=30.5,'S3'!I131,IF($C$2=31.5,'S3'!J131,IF($C$2=32.5,'S3'!K131,IF($C$2=33.5,'S3'!L131,IF($C$2=34.5,'S3'!M131,IF($C$2=35.5,'S3'!N131))))))))))))))))</f>
        <v>273.19</v>
      </c>
      <c r="D131" s="398">
        <f t="shared" si="7"/>
        <v>382.47</v>
      </c>
      <c r="E131" s="376">
        <f>IF($E$2=20.5,'S3'!U131,IF($E$2=21.5,'S3'!AE131,IF($E$2=22.5,'S3'!AF131,IF($E$2=23.5,'S3'!AG131,IF($E$2=24.5,'S3'!AH131,IF($E$2=25.5,'S3'!AI131,IF($E$2=26.5,'S3'!AC131,IF($E$2=27.5,'S3'!AK131,IF($E$2=28.5,'S3'!AL131,IF($E$2=29.5,'S3'!AM131,IF($E$2=30.5,'S3'!AN131,IF($E$2=31.5,'S3'!AO131,IF($E$2=32.5,'S3'!AP131,IF($E$2=33.5,'S3'!AQ131,IF($E$2=34.5,'S3'!AR131,IF($E$2=35.5,'S3'!AS131))))))))))))))))</f>
        <v>198.15</v>
      </c>
      <c r="F131" s="398">
        <f t="shared" si="6"/>
        <v>277.41000000000003</v>
      </c>
    </row>
    <row r="132" spans="2:6">
      <c r="B132" s="411">
        <v>128</v>
      </c>
      <c r="C132" s="376">
        <f>IF($C$2=20.5,'S3'!T132,IF($C$2=21.5,'S3'!V132,IF($C$2=22.5,'S3'!A132,IF($C$2=23.5,'S3'!B132,IF($C$2=24.5,'S3'!C132,IF($C$2=25.5,'S3'!C132,IF($C$2=26.5,'S3'!E132,IF($C$2=27.5,'S3'!F132,IF($C$2=28.5,'S3'!G132,IF($C$2=29.5,'S3'!H132,IF($C$2=30.5,'S3'!I132,IF($C$2=31.5,'S3'!J132,IF($C$2=32.5,'S3'!K132,IF($C$2=33.5,'S3'!L132,IF($C$2=34.5,'S3'!M132,IF($C$2=35.5,'S3'!N132))))))))))))))))</f>
        <v>275.20999999999998</v>
      </c>
      <c r="D132" s="398">
        <f t="shared" si="7"/>
        <v>385.29</v>
      </c>
      <c r="E132" s="376">
        <f>IF($E$2=20.5,'S3'!U132,IF($E$2=21.5,'S3'!AE132,IF($E$2=22.5,'S3'!AF132,IF($E$2=23.5,'S3'!AG132,IF($E$2=24.5,'S3'!AH132,IF($E$2=25.5,'S3'!AI132,IF($E$2=26.5,'S3'!AC132,IF($E$2=27.5,'S3'!AK132,IF($E$2=28.5,'S3'!AL132,IF($E$2=29.5,'S3'!AM132,IF($E$2=30.5,'S3'!AN132,IF($E$2=31.5,'S3'!AO132,IF($E$2=32.5,'S3'!AP132,IF($E$2=33.5,'S3'!AQ132,IF($E$2=34.5,'S3'!AR132,IF($E$2=35.5,'S3'!AS132))))))))))))))))</f>
        <v>199.74</v>
      </c>
      <c r="F132" s="398">
        <f t="shared" si="6"/>
        <v>279.64</v>
      </c>
    </row>
    <row r="133" spans="2:6">
      <c r="B133" s="411">
        <v>129</v>
      </c>
      <c r="C133" s="376">
        <f>IF($C$2=20.5,'S3'!T133,IF($C$2=21.5,'S3'!V133,IF($C$2=22.5,'S3'!A133,IF($C$2=23.5,'S3'!B133,IF($C$2=24.5,'S3'!C133,IF($C$2=25.5,'S3'!C133,IF($C$2=26.5,'S3'!E133,IF($C$2=27.5,'S3'!F133,IF($C$2=28.5,'S3'!G133,IF($C$2=29.5,'S3'!H133,IF($C$2=30.5,'S3'!I133,IF($C$2=31.5,'S3'!J133,IF($C$2=32.5,'S3'!K133,IF($C$2=33.5,'S3'!L133,IF($C$2=34.5,'S3'!M133,IF($C$2=35.5,'S3'!N133))))))))))))))))</f>
        <v>277.43</v>
      </c>
      <c r="D133" s="398">
        <f t="shared" si="7"/>
        <v>388.4</v>
      </c>
      <c r="E133" s="376">
        <f>IF($E$2=20.5,'S3'!U133,IF($E$2=21.5,'S3'!AE133,IF($E$2=22.5,'S3'!AF133,IF($E$2=23.5,'S3'!AG133,IF($E$2=24.5,'S3'!AH133,IF($E$2=25.5,'S3'!AI133,IF($E$2=26.5,'S3'!AC133,IF($E$2=27.5,'S3'!AK133,IF($E$2=28.5,'S3'!AL133,IF($E$2=29.5,'S3'!AM133,IF($E$2=30.5,'S3'!AN133,IF($E$2=31.5,'S3'!AO133,IF($E$2=32.5,'S3'!AP133,IF($E$2=33.5,'S3'!AQ133,IF($E$2=34.5,'S3'!AR133,IF($E$2=35.5,'S3'!AS133))))))))))))))))</f>
        <v>201.26</v>
      </c>
      <c r="F133" s="398">
        <f t="shared" si="6"/>
        <v>281.76</v>
      </c>
    </row>
    <row r="134" spans="2:6">
      <c r="B134" s="411">
        <v>130</v>
      </c>
      <c r="C134" s="376">
        <f>IF($C$2=20.5,'S3'!T134,IF($C$2=21.5,'S3'!V134,IF($C$2=22.5,'S3'!A134,IF($C$2=23.5,'S3'!B134,IF($C$2=24.5,'S3'!C134,IF($C$2=25.5,'S3'!C134,IF($C$2=26.5,'S3'!E134,IF($C$2=27.5,'S3'!F134,IF($C$2=28.5,'S3'!G134,IF($C$2=29.5,'S3'!H134,IF($C$2=30.5,'S3'!I134,IF($C$2=31.5,'S3'!J134,IF($C$2=32.5,'S3'!K134,IF($C$2=33.5,'S3'!L134,IF($C$2=34.5,'S3'!M134,IF($C$2=35.5,'S3'!N134))))))))))))))))</f>
        <v>279.67</v>
      </c>
      <c r="D134" s="398">
        <f t="shared" si="7"/>
        <v>391.54</v>
      </c>
      <c r="E134" s="376">
        <f>IF($E$2=20.5,'S3'!U134,IF($E$2=21.5,'S3'!AE134,IF($E$2=22.5,'S3'!AF134,IF($E$2=23.5,'S3'!AG134,IF($E$2=24.5,'S3'!AH134,IF($E$2=25.5,'S3'!AI134,IF($E$2=26.5,'S3'!AC134,IF($E$2=27.5,'S3'!AK134,IF($E$2=28.5,'S3'!AL134,IF($E$2=29.5,'S3'!AM134,IF($E$2=30.5,'S3'!AN134,IF($E$2=31.5,'S3'!AO134,IF($E$2=32.5,'S3'!AP134,IF($E$2=33.5,'S3'!AQ134,IF($E$2=34.5,'S3'!AR134,IF($E$2=35.5,'S3'!AS134))))))))))))))))</f>
        <v>202.85</v>
      </c>
      <c r="F134" s="398">
        <f t="shared" ref="F134:F197" si="8">ROUND(E134*1.4,2)</f>
        <v>283.99</v>
      </c>
    </row>
    <row r="135" spans="2:6">
      <c r="B135" s="411">
        <v>131</v>
      </c>
      <c r="C135" s="376">
        <f>IF($C$2=20.5,'S3'!T135,IF($C$2=21.5,'S3'!V135,IF($C$2=22.5,'S3'!A135,IF($C$2=23.5,'S3'!B135,IF($C$2=24.5,'S3'!C135,IF($C$2=25.5,'S3'!C135,IF($C$2=26.5,'S3'!E135,IF($C$2=27.5,'S3'!F135,IF($C$2=28.5,'S3'!G135,IF($C$2=29.5,'S3'!H135,IF($C$2=30.5,'S3'!I135,IF($C$2=31.5,'S3'!J135,IF($C$2=32.5,'S3'!K135,IF($C$2=33.5,'S3'!L135,IF($C$2=34.5,'S3'!M135,IF($C$2=35.5,'S3'!N135))))))))))))))))</f>
        <v>281.7</v>
      </c>
      <c r="D135" s="398">
        <f t="shared" ref="D135:D198" si="9">ROUND(C135*1.4,2)</f>
        <v>394.38</v>
      </c>
      <c r="E135" s="376">
        <f>IF($E$2=20.5,'S3'!U135,IF($E$2=21.5,'S3'!AE135,IF($E$2=22.5,'S3'!AF135,IF($E$2=23.5,'S3'!AG135,IF($E$2=24.5,'S3'!AH135,IF($E$2=25.5,'S3'!AI135,IF($E$2=26.5,'S3'!AC135,IF($E$2=27.5,'S3'!AK135,IF($E$2=28.5,'S3'!AL135,IF($E$2=29.5,'S3'!AM135,IF($E$2=30.5,'S3'!AN135,IF($E$2=31.5,'S3'!AO135,IF($E$2=32.5,'S3'!AP135,IF($E$2=33.5,'S3'!AQ135,IF($E$2=34.5,'S3'!AR135,IF($E$2=35.5,'S3'!AS135))))))))))))))))</f>
        <v>204.37</v>
      </c>
      <c r="F135" s="398">
        <f t="shared" si="8"/>
        <v>286.12</v>
      </c>
    </row>
    <row r="136" spans="2:6">
      <c r="B136" s="411">
        <v>132</v>
      </c>
      <c r="C136" s="376">
        <f>IF($C$2=20.5,'S3'!T136,IF($C$2=21.5,'S3'!V136,IF($C$2=22.5,'S3'!A136,IF($C$2=23.5,'S3'!B136,IF($C$2=24.5,'S3'!C136,IF($C$2=25.5,'S3'!C136,IF($C$2=26.5,'S3'!E136,IF($C$2=27.5,'S3'!F136,IF($C$2=28.5,'S3'!G136,IF($C$2=29.5,'S3'!H136,IF($C$2=30.5,'S3'!I136,IF($C$2=31.5,'S3'!J136,IF($C$2=32.5,'S3'!K136,IF($C$2=33.5,'S3'!L136,IF($C$2=34.5,'S3'!M136,IF($C$2=35.5,'S3'!N136))))))))))))))))</f>
        <v>283.95</v>
      </c>
      <c r="D136" s="398">
        <f t="shared" si="9"/>
        <v>397.53</v>
      </c>
      <c r="E136" s="376">
        <f>IF($E$2=20.5,'S3'!U136,IF($E$2=21.5,'S3'!AE136,IF($E$2=22.5,'S3'!AF136,IF($E$2=23.5,'S3'!AG136,IF($E$2=24.5,'S3'!AH136,IF($E$2=25.5,'S3'!AI136,IF($E$2=26.5,'S3'!AC136,IF($E$2=27.5,'S3'!AK136,IF($E$2=28.5,'S3'!AL136,IF($E$2=29.5,'S3'!AM136,IF($E$2=30.5,'S3'!AN136,IF($E$2=31.5,'S3'!AO136,IF($E$2=32.5,'S3'!AP136,IF($E$2=33.5,'S3'!AQ136,IF($E$2=34.5,'S3'!AR136,IF($E$2=35.5,'S3'!AS136))))))))))))))))</f>
        <v>205.89</v>
      </c>
      <c r="F136" s="398">
        <f t="shared" si="8"/>
        <v>288.25</v>
      </c>
    </row>
    <row r="137" spans="2:6">
      <c r="B137" s="411">
        <v>133</v>
      </c>
      <c r="C137" s="376">
        <f>IF($C$2=20.5,'S3'!T137,IF($C$2=21.5,'S3'!V137,IF($C$2=22.5,'S3'!A137,IF($C$2=23.5,'S3'!B137,IF($C$2=24.5,'S3'!C137,IF($C$2=25.5,'S3'!C137,IF($C$2=26.5,'S3'!E137,IF($C$2=27.5,'S3'!F137,IF($C$2=28.5,'S3'!G137,IF($C$2=29.5,'S3'!H137,IF($C$2=30.5,'S3'!I137,IF($C$2=31.5,'S3'!J137,IF($C$2=32.5,'S3'!K137,IF($C$2=33.5,'S3'!L137,IF($C$2=34.5,'S3'!M137,IF($C$2=35.5,'S3'!N137))))))))))))))))</f>
        <v>285.98</v>
      </c>
      <c r="D137" s="398">
        <f t="shared" si="9"/>
        <v>400.37</v>
      </c>
      <c r="E137" s="376">
        <f>IF($E$2=20.5,'S3'!U137,IF($E$2=21.5,'S3'!AE137,IF($E$2=22.5,'S3'!AF137,IF($E$2=23.5,'S3'!AG137,IF($E$2=24.5,'S3'!AH137,IF($E$2=25.5,'S3'!AI137,IF($E$2=26.5,'S3'!AC137,IF($E$2=27.5,'S3'!AK137,IF($E$2=28.5,'S3'!AL137,IF($E$2=29.5,'S3'!AM137,IF($E$2=30.5,'S3'!AN137,IF($E$2=31.5,'S3'!AO137,IF($E$2=32.5,'S3'!AP137,IF($E$2=33.5,'S3'!AQ137,IF($E$2=34.5,'S3'!AR137,IF($E$2=35.5,'S3'!AS137))))))))))))))))</f>
        <v>207.49</v>
      </c>
      <c r="F137" s="398">
        <f t="shared" si="8"/>
        <v>290.49</v>
      </c>
    </row>
    <row r="138" spans="2:6">
      <c r="B138" s="411">
        <v>134</v>
      </c>
      <c r="C138" s="376">
        <f>IF($C$2=20.5,'S3'!T138,IF($C$2=21.5,'S3'!V138,IF($C$2=22.5,'S3'!A138,IF($C$2=23.5,'S3'!B138,IF($C$2=24.5,'S3'!C138,IF($C$2=25.5,'S3'!C138,IF($C$2=26.5,'S3'!E138,IF($C$2=27.5,'S3'!F138,IF($C$2=28.5,'S3'!G138,IF($C$2=29.5,'S3'!H138,IF($C$2=30.5,'S3'!I138,IF($C$2=31.5,'S3'!J138,IF($C$2=32.5,'S3'!K138,IF($C$2=33.5,'S3'!L138,IF($C$2=34.5,'S3'!M138,IF($C$2=35.5,'S3'!N138))))))))))))))))</f>
        <v>288.24</v>
      </c>
      <c r="D138" s="398">
        <f t="shared" si="9"/>
        <v>403.54</v>
      </c>
      <c r="E138" s="376">
        <f>IF($E$2=20.5,'S3'!U138,IF($E$2=21.5,'S3'!AE138,IF($E$2=22.5,'S3'!AF138,IF($E$2=23.5,'S3'!AG138,IF($E$2=24.5,'S3'!AH138,IF($E$2=25.5,'S3'!AI138,IF($E$2=26.5,'S3'!AC138,IF($E$2=27.5,'S3'!AK138,IF($E$2=28.5,'S3'!AL138,IF($E$2=29.5,'S3'!AM138,IF($E$2=30.5,'S3'!AN138,IF($E$2=31.5,'S3'!AO138,IF($E$2=32.5,'S3'!AP138,IF($E$2=33.5,'S3'!AQ138,IF($E$2=34.5,'S3'!AR138,IF($E$2=35.5,'S3'!AS138))))))))))))))))</f>
        <v>209.01</v>
      </c>
      <c r="F138" s="398">
        <f t="shared" si="8"/>
        <v>292.61</v>
      </c>
    </row>
    <row r="139" spans="2:6">
      <c r="B139" s="411">
        <v>135</v>
      </c>
      <c r="C139" s="376">
        <f>IF($C$2=20.5,'S3'!T139,IF($C$2=21.5,'S3'!V139,IF($C$2=22.5,'S3'!A139,IF($C$2=23.5,'S3'!B139,IF($C$2=24.5,'S3'!C139,IF($C$2=25.5,'S3'!C139,IF($C$2=26.5,'S3'!E139,IF($C$2=27.5,'S3'!F139,IF($C$2=28.5,'S3'!G139,IF($C$2=29.5,'S3'!H139,IF($C$2=30.5,'S3'!I139,IF($C$2=31.5,'S3'!J139,IF($C$2=32.5,'S3'!K139,IF($C$2=33.5,'S3'!L139,IF($C$2=34.5,'S3'!M139,IF($C$2=35.5,'S3'!N139))))))))))))))))</f>
        <v>290.27999999999997</v>
      </c>
      <c r="D139" s="398">
        <f t="shared" si="9"/>
        <v>406.39</v>
      </c>
      <c r="E139" s="376">
        <f>IF($E$2=20.5,'S3'!U139,IF($E$2=21.5,'S3'!AE139,IF($E$2=22.5,'S3'!AF139,IF($E$2=23.5,'S3'!AG139,IF($E$2=24.5,'S3'!AH139,IF($E$2=25.5,'S3'!AI139,IF($E$2=26.5,'S3'!AC139,IF($E$2=27.5,'S3'!AK139,IF($E$2=28.5,'S3'!AL139,IF($E$2=29.5,'S3'!AM139,IF($E$2=30.5,'S3'!AN139,IF($E$2=31.5,'S3'!AO139,IF($E$2=32.5,'S3'!AP139,IF($E$2=33.5,'S3'!AQ139,IF($E$2=34.5,'S3'!AR139,IF($E$2=35.5,'S3'!AS139))))))))))))))))</f>
        <v>210.61</v>
      </c>
      <c r="F139" s="398">
        <f t="shared" si="8"/>
        <v>294.85000000000002</v>
      </c>
    </row>
    <row r="140" spans="2:6">
      <c r="B140" s="411">
        <v>136</v>
      </c>
      <c r="C140" s="376">
        <f>IF($C$2=20.5,'S3'!T140,IF($C$2=21.5,'S3'!V140,IF($C$2=22.5,'S3'!A140,IF($C$2=23.5,'S3'!B140,IF($C$2=24.5,'S3'!C140,IF($C$2=25.5,'S3'!C140,IF($C$2=26.5,'S3'!E140,IF($C$2=27.5,'S3'!F140,IF($C$2=28.5,'S3'!G140,IF($C$2=29.5,'S3'!H140,IF($C$2=30.5,'S3'!I140,IF($C$2=31.5,'S3'!J140,IF($C$2=32.5,'S3'!K140,IF($C$2=33.5,'S3'!L140,IF($C$2=34.5,'S3'!M140,IF($C$2=35.5,'S3'!N140))))))))))))))))</f>
        <v>292.33</v>
      </c>
      <c r="D140" s="398">
        <f t="shared" si="9"/>
        <v>409.26</v>
      </c>
      <c r="E140" s="376">
        <f>IF($E$2=20.5,'S3'!U140,IF($E$2=21.5,'S3'!AE140,IF($E$2=22.5,'S3'!AF140,IF($E$2=23.5,'S3'!AG140,IF($E$2=24.5,'S3'!AH140,IF($E$2=25.5,'S3'!AI140,IF($E$2=26.5,'S3'!AC140,IF($E$2=27.5,'S3'!AK140,IF($E$2=28.5,'S3'!AL140,IF($E$2=29.5,'S3'!AM140,IF($E$2=30.5,'S3'!AN140,IF($E$2=31.5,'S3'!AO140,IF($E$2=32.5,'S3'!AP140,IF($E$2=33.5,'S3'!AQ140,IF($E$2=34.5,'S3'!AR140,IF($E$2=35.5,'S3'!AS140))))))))))))))))</f>
        <v>212.14</v>
      </c>
      <c r="F140" s="398">
        <f t="shared" si="8"/>
        <v>297</v>
      </c>
    </row>
    <row r="141" spans="2:6">
      <c r="B141" s="411">
        <v>137</v>
      </c>
      <c r="C141" s="376">
        <f>IF($C$2=20.5,'S3'!T141,IF($C$2=21.5,'S3'!V141,IF($C$2=22.5,'S3'!A141,IF($C$2=23.5,'S3'!B141,IF($C$2=24.5,'S3'!C141,IF($C$2=25.5,'S3'!C141,IF($C$2=26.5,'S3'!E141,IF($C$2=27.5,'S3'!F141,IF($C$2=28.5,'S3'!G141,IF($C$2=29.5,'S3'!H141,IF($C$2=30.5,'S3'!I141,IF($C$2=31.5,'S3'!J141,IF($C$2=32.5,'S3'!K141,IF($C$2=33.5,'S3'!L141,IF($C$2=34.5,'S3'!M141,IF($C$2=35.5,'S3'!N141))))))))))))))))</f>
        <v>294.61</v>
      </c>
      <c r="D141" s="398">
        <f t="shared" si="9"/>
        <v>412.45</v>
      </c>
      <c r="E141" s="376">
        <f>IF($E$2=20.5,'S3'!U141,IF($E$2=21.5,'S3'!AE141,IF($E$2=22.5,'S3'!AF141,IF($E$2=23.5,'S3'!AG141,IF($E$2=24.5,'S3'!AH141,IF($E$2=25.5,'S3'!AI141,IF($E$2=26.5,'S3'!AC141,IF($E$2=27.5,'S3'!AK141,IF($E$2=28.5,'S3'!AL141,IF($E$2=29.5,'S3'!AM141,IF($E$2=30.5,'S3'!AN141,IF($E$2=31.5,'S3'!AO141,IF($E$2=32.5,'S3'!AP141,IF($E$2=33.5,'S3'!AQ141,IF($E$2=34.5,'S3'!AR141,IF($E$2=35.5,'S3'!AS141))))))))))))))))</f>
        <v>213.75</v>
      </c>
      <c r="F141" s="398">
        <f t="shared" si="8"/>
        <v>299.25</v>
      </c>
    </row>
    <row r="142" spans="2:6">
      <c r="B142" s="411">
        <v>138</v>
      </c>
      <c r="C142" s="376">
        <f>IF($C$2=20.5,'S3'!T142,IF($C$2=21.5,'S3'!V142,IF($C$2=22.5,'S3'!A142,IF($C$2=23.5,'S3'!B142,IF($C$2=24.5,'S3'!C142,IF($C$2=25.5,'S3'!C142,IF($C$2=26.5,'S3'!E142,IF($C$2=27.5,'S3'!F142,IF($C$2=28.5,'S3'!G142,IF($C$2=29.5,'S3'!H142,IF($C$2=30.5,'S3'!I142,IF($C$2=31.5,'S3'!J142,IF($C$2=32.5,'S3'!K142,IF($C$2=33.5,'S3'!L142,IF($C$2=34.5,'S3'!M142,IF($C$2=35.5,'S3'!N142))))))))))))))))</f>
        <v>296.66000000000003</v>
      </c>
      <c r="D142" s="398">
        <f t="shared" si="9"/>
        <v>415.32</v>
      </c>
      <c r="E142" s="376">
        <f>IF($E$2=20.5,'S3'!U142,IF($E$2=21.5,'S3'!AE142,IF($E$2=22.5,'S3'!AF142,IF($E$2=23.5,'S3'!AG142,IF($E$2=24.5,'S3'!AH142,IF($E$2=25.5,'S3'!AI142,IF($E$2=26.5,'S3'!AC142,IF($E$2=27.5,'S3'!AK142,IF($E$2=28.5,'S3'!AL142,IF($E$2=29.5,'S3'!AM142,IF($E$2=30.5,'S3'!AN142,IF($E$2=31.5,'S3'!AO142,IF($E$2=32.5,'S3'!AP142,IF($E$2=33.5,'S3'!AQ142,IF($E$2=34.5,'S3'!AR142,IF($E$2=35.5,'S3'!AS142))))))))))))))))</f>
        <v>215.27</v>
      </c>
      <c r="F142" s="398">
        <f t="shared" si="8"/>
        <v>301.38</v>
      </c>
    </row>
    <row r="143" spans="2:6">
      <c r="B143" s="411">
        <v>139</v>
      </c>
      <c r="C143" s="376">
        <f>IF($C$2=20.5,'S3'!T143,IF($C$2=21.5,'S3'!V143,IF($C$2=22.5,'S3'!A143,IF($C$2=23.5,'S3'!B143,IF($C$2=24.5,'S3'!C143,IF($C$2=25.5,'S3'!C143,IF($C$2=26.5,'S3'!E143,IF($C$2=27.5,'S3'!F143,IF($C$2=28.5,'S3'!G143,IF($C$2=29.5,'S3'!H143,IF($C$2=30.5,'S3'!I143,IF($C$2=31.5,'S3'!J143,IF($C$2=32.5,'S3'!K143,IF($C$2=33.5,'S3'!L143,IF($C$2=34.5,'S3'!M143,IF($C$2=35.5,'S3'!N143))))))))))))))))</f>
        <v>298.95</v>
      </c>
      <c r="D143" s="398">
        <f t="shared" si="9"/>
        <v>418.53</v>
      </c>
      <c r="E143" s="376">
        <f>IF($E$2=20.5,'S3'!U143,IF($E$2=21.5,'S3'!AE143,IF($E$2=22.5,'S3'!AF143,IF($E$2=23.5,'S3'!AG143,IF($E$2=24.5,'S3'!AH143,IF($E$2=25.5,'S3'!AI143,IF($E$2=26.5,'S3'!AC143,IF($E$2=27.5,'S3'!AK143,IF($E$2=28.5,'S3'!AL143,IF($E$2=29.5,'S3'!AM143,IF($E$2=30.5,'S3'!AN143,IF($E$2=31.5,'S3'!AO143,IF($E$2=32.5,'S3'!AP143,IF($E$2=33.5,'S3'!AQ143,IF($E$2=34.5,'S3'!AR143,IF($E$2=35.5,'S3'!AS143))))))))))))))))</f>
        <v>216.8</v>
      </c>
      <c r="F143" s="398">
        <f t="shared" si="8"/>
        <v>303.52</v>
      </c>
    </row>
    <row r="144" spans="2:6">
      <c r="B144" s="411">
        <v>140</v>
      </c>
      <c r="C144" s="376">
        <f>IF($C$2=20.5,'S3'!T144,IF($C$2=21.5,'S3'!V144,IF($C$2=22.5,'S3'!A144,IF($C$2=23.5,'S3'!B144,IF($C$2=24.5,'S3'!C144,IF($C$2=25.5,'S3'!C144,IF($C$2=26.5,'S3'!E144,IF($C$2=27.5,'S3'!F144,IF($C$2=28.5,'S3'!G144,IF($C$2=29.5,'S3'!H144,IF($C$2=30.5,'S3'!I144,IF($C$2=31.5,'S3'!J144,IF($C$2=32.5,'S3'!K144,IF($C$2=33.5,'S3'!L144,IF($C$2=34.5,'S3'!M144,IF($C$2=35.5,'S3'!N144))))))))))))))))</f>
        <v>301.01</v>
      </c>
      <c r="D144" s="398">
        <f t="shared" si="9"/>
        <v>421.41</v>
      </c>
      <c r="E144" s="376">
        <f>IF($E$2=20.5,'S3'!U144,IF($E$2=21.5,'S3'!AE144,IF($E$2=22.5,'S3'!AF144,IF($E$2=23.5,'S3'!AG144,IF($E$2=24.5,'S3'!AH144,IF($E$2=25.5,'S3'!AI144,IF($E$2=26.5,'S3'!AC144,IF($E$2=27.5,'S3'!AK144,IF($E$2=28.5,'S3'!AL144,IF($E$2=29.5,'S3'!AM144,IF($E$2=30.5,'S3'!AN144,IF($E$2=31.5,'S3'!AO144,IF($E$2=32.5,'S3'!AP144,IF($E$2=33.5,'S3'!AQ144,IF($E$2=34.5,'S3'!AR144,IF($E$2=35.5,'S3'!AS144))))))))))))))))</f>
        <v>218.33</v>
      </c>
      <c r="F144" s="398">
        <f t="shared" si="8"/>
        <v>305.66000000000003</v>
      </c>
    </row>
    <row r="145" spans="2:6">
      <c r="B145" s="411">
        <v>141</v>
      </c>
      <c r="C145" s="376">
        <f>IF($C$2=20.5,'S3'!T145,IF($C$2=21.5,'S3'!V145,IF($C$2=22.5,'S3'!A145,IF($C$2=23.5,'S3'!B145,IF($C$2=24.5,'S3'!C145,IF($C$2=25.5,'S3'!C145,IF($C$2=26.5,'S3'!E145,IF($C$2=27.5,'S3'!F145,IF($C$2=28.5,'S3'!G145,IF($C$2=29.5,'S3'!H145,IF($C$2=30.5,'S3'!I145,IF($C$2=31.5,'S3'!J145,IF($C$2=32.5,'S3'!K145,IF($C$2=33.5,'S3'!L145,IF($C$2=34.5,'S3'!M145,IF($C$2=35.5,'S3'!N145))))))))))))))))</f>
        <v>303.07</v>
      </c>
      <c r="D145" s="398">
        <f t="shared" si="9"/>
        <v>424.3</v>
      </c>
      <c r="E145" s="376">
        <f>IF($E$2=20.5,'S3'!U145,IF($E$2=21.5,'S3'!AE145,IF($E$2=22.5,'S3'!AF145,IF($E$2=23.5,'S3'!AG145,IF($E$2=24.5,'S3'!AH145,IF($E$2=25.5,'S3'!AI145,IF($E$2=26.5,'S3'!AC145,IF($E$2=27.5,'S3'!AK145,IF($E$2=28.5,'S3'!AL145,IF($E$2=29.5,'S3'!AM145,IF($E$2=30.5,'S3'!AN145,IF($E$2=31.5,'S3'!AO145,IF($E$2=32.5,'S3'!AP145,IF($E$2=33.5,'S3'!AQ145,IF($E$2=34.5,'S3'!AR145,IF($E$2=35.5,'S3'!AS145))))))))))))))))</f>
        <v>219.95</v>
      </c>
      <c r="F145" s="398">
        <f t="shared" si="8"/>
        <v>307.93</v>
      </c>
    </row>
    <row r="146" spans="2:6">
      <c r="B146" s="411">
        <v>142</v>
      </c>
      <c r="C146" s="376">
        <f>IF($C$2=20.5,'S3'!T146,IF($C$2=21.5,'S3'!V146,IF($C$2=22.5,'S3'!A146,IF($C$2=23.5,'S3'!B146,IF($C$2=24.5,'S3'!C146,IF($C$2=25.5,'S3'!C146,IF($C$2=26.5,'S3'!E146,IF($C$2=27.5,'S3'!F146,IF($C$2=28.5,'S3'!G146,IF($C$2=29.5,'S3'!H146,IF($C$2=30.5,'S3'!I146,IF($C$2=31.5,'S3'!J146,IF($C$2=32.5,'S3'!K146,IF($C$2=33.5,'S3'!L146,IF($C$2=34.5,'S3'!M146,IF($C$2=35.5,'S3'!N146))))))))))))))))</f>
        <v>305.38</v>
      </c>
      <c r="D146" s="398">
        <f t="shared" si="9"/>
        <v>427.53</v>
      </c>
      <c r="E146" s="376">
        <f>IF($E$2=20.5,'S3'!U146,IF($E$2=21.5,'S3'!AE146,IF($E$2=22.5,'S3'!AF146,IF($E$2=23.5,'S3'!AG146,IF($E$2=24.5,'S3'!AH146,IF($E$2=25.5,'S3'!AI146,IF($E$2=26.5,'S3'!AC146,IF($E$2=27.5,'S3'!AK146,IF($E$2=28.5,'S3'!AL146,IF($E$2=29.5,'S3'!AM146,IF($E$2=30.5,'S3'!AN146,IF($E$2=31.5,'S3'!AO146,IF($E$2=32.5,'S3'!AP146,IF($E$2=33.5,'S3'!AQ146,IF($E$2=34.5,'S3'!AR146,IF($E$2=35.5,'S3'!AS146))))))))))))))))</f>
        <v>221.48</v>
      </c>
      <c r="F146" s="398">
        <f t="shared" si="8"/>
        <v>310.07</v>
      </c>
    </row>
    <row r="147" spans="2:6">
      <c r="B147" s="411">
        <v>143</v>
      </c>
      <c r="C147" s="376">
        <f>IF($C$2=20.5,'S3'!T147,IF($C$2=21.5,'S3'!V147,IF($C$2=22.5,'S3'!A147,IF($C$2=23.5,'S3'!B147,IF($C$2=24.5,'S3'!C147,IF($C$2=25.5,'S3'!C147,IF($C$2=26.5,'S3'!E147,IF($C$2=27.5,'S3'!F147,IF($C$2=28.5,'S3'!G147,IF($C$2=29.5,'S3'!H147,IF($C$2=30.5,'S3'!I147,IF($C$2=31.5,'S3'!J147,IF($C$2=32.5,'S3'!K147,IF($C$2=33.5,'S3'!L147,IF($C$2=34.5,'S3'!M147,IF($C$2=35.5,'S3'!N147))))))))))))))))</f>
        <v>307.45</v>
      </c>
      <c r="D147" s="398">
        <f t="shared" si="9"/>
        <v>430.43</v>
      </c>
      <c r="E147" s="376">
        <f>IF($E$2=20.5,'S3'!U147,IF($E$2=21.5,'S3'!AE147,IF($E$2=22.5,'S3'!AF147,IF($E$2=23.5,'S3'!AG147,IF($E$2=24.5,'S3'!AH147,IF($E$2=25.5,'S3'!AI147,IF($E$2=26.5,'S3'!AC147,IF($E$2=27.5,'S3'!AK147,IF($E$2=28.5,'S3'!AL147,IF($E$2=29.5,'S3'!AM147,IF($E$2=30.5,'S3'!AN147,IF($E$2=31.5,'S3'!AO147,IF($E$2=32.5,'S3'!AP147,IF($E$2=33.5,'S3'!AQ147,IF($E$2=34.5,'S3'!AR147,IF($E$2=35.5,'S3'!AS147))))))))))))))))</f>
        <v>223.01</v>
      </c>
      <c r="F147" s="398">
        <f t="shared" si="8"/>
        <v>312.20999999999998</v>
      </c>
    </row>
    <row r="148" spans="2:6">
      <c r="B148" s="411">
        <v>144</v>
      </c>
      <c r="C148" s="376">
        <f>IF($C$2=20.5,'S3'!T148,IF($C$2=21.5,'S3'!V148,IF($C$2=22.5,'S3'!A148,IF($C$2=23.5,'S3'!B148,IF($C$2=24.5,'S3'!C148,IF($C$2=25.5,'S3'!C148,IF($C$2=26.5,'S3'!E148,IF($C$2=27.5,'S3'!F148,IF($C$2=28.5,'S3'!G148,IF($C$2=29.5,'S3'!H148,IF($C$2=30.5,'S3'!I148,IF($C$2=31.5,'S3'!J148,IF($C$2=32.5,'S3'!K148,IF($C$2=33.5,'S3'!L148,IF($C$2=34.5,'S3'!M148,IF($C$2=35.5,'S3'!N148))))))))))))))))</f>
        <v>309.52</v>
      </c>
      <c r="D148" s="398">
        <f t="shared" si="9"/>
        <v>433.33</v>
      </c>
      <c r="E148" s="376">
        <f>IF($E$2=20.5,'S3'!U148,IF($E$2=21.5,'S3'!AE148,IF($E$2=22.5,'S3'!AF148,IF($E$2=23.5,'S3'!AG148,IF($E$2=24.5,'S3'!AH148,IF($E$2=25.5,'S3'!AI148,IF($E$2=26.5,'S3'!AC148,IF($E$2=27.5,'S3'!AK148,IF($E$2=28.5,'S3'!AL148,IF($E$2=29.5,'S3'!AM148,IF($E$2=30.5,'S3'!AN148,IF($E$2=31.5,'S3'!AO148,IF($E$2=32.5,'S3'!AP148,IF($E$2=33.5,'S3'!AQ148,IF($E$2=34.5,'S3'!AR148,IF($E$2=35.5,'S3'!AS148))))))))))))))))</f>
        <v>224.64</v>
      </c>
      <c r="F148" s="398">
        <f t="shared" si="8"/>
        <v>314.5</v>
      </c>
    </row>
    <row r="149" spans="2:6">
      <c r="B149" s="411">
        <v>145</v>
      </c>
      <c r="C149" s="376">
        <f>IF($C$2=20.5,'S3'!T149,IF($C$2=21.5,'S3'!V149,IF($C$2=22.5,'S3'!A149,IF($C$2=23.5,'S3'!B149,IF($C$2=24.5,'S3'!C149,IF($C$2=25.5,'S3'!C149,IF($C$2=26.5,'S3'!E149,IF($C$2=27.5,'S3'!F149,IF($C$2=28.5,'S3'!G149,IF($C$2=29.5,'S3'!H149,IF($C$2=30.5,'S3'!I149,IF($C$2=31.5,'S3'!J149,IF($C$2=32.5,'S3'!K149,IF($C$2=33.5,'S3'!L149,IF($C$2=34.5,'S3'!M149,IF($C$2=35.5,'S3'!N149))))))))))))))))</f>
        <v>311.86</v>
      </c>
      <c r="D149" s="398">
        <f t="shared" si="9"/>
        <v>436.6</v>
      </c>
      <c r="E149" s="376">
        <f>IF($E$2=20.5,'S3'!U149,IF($E$2=21.5,'S3'!AE149,IF($E$2=22.5,'S3'!AF149,IF($E$2=23.5,'S3'!AG149,IF($E$2=24.5,'S3'!AH149,IF($E$2=25.5,'S3'!AI149,IF($E$2=26.5,'S3'!AC149,IF($E$2=27.5,'S3'!AK149,IF($E$2=28.5,'S3'!AL149,IF($E$2=29.5,'S3'!AM149,IF($E$2=30.5,'S3'!AN149,IF($E$2=31.5,'S3'!AO149,IF($E$2=32.5,'S3'!AP149,IF($E$2=33.5,'S3'!AQ149,IF($E$2=34.5,'S3'!AR149,IF($E$2=35.5,'S3'!AS149))))))))))))))))</f>
        <v>226.17</v>
      </c>
      <c r="F149" s="398">
        <f t="shared" si="8"/>
        <v>316.64</v>
      </c>
    </row>
    <row r="150" spans="2:6">
      <c r="B150" s="411">
        <v>146</v>
      </c>
      <c r="C150" s="376">
        <f>IF($C$2=20.5,'S3'!T150,IF($C$2=21.5,'S3'!V150,IF($C$2=22.5,'S3'!A150,IF($C$2=23.5,'S3'!B150,IF($C$2=24.5,'S3'!C150,IF($C$2=25.5,'S3'!C150,IF($C$2=26.5,'S3'!E150,IF($C$2=27.5,'S3'!F150,IF($C$2=28.5,'S3'!G150,IF($C$2=29.5,'S3'!H150,IF($C$2=30.5,'S3'!I150,IF($C$2=31.5,'S3'!J150,IF($C$2=32.5,'S3'!K150,IF($C$2=33.5,'S3'!L150,IF($C$2=34.5,'S3'!M150,IF($C$2=35.5,'S3'!N150))))))))))))))))</f>
        <v>313.94</v>
      </c>
      <c r="D150" s="398">
        <f t="shared" si="9"/>
        <v>439.52</v>
      </c>
      <c r="E150" s="376">
        <f>IF($E$2=20.5,'S3'!U150,IF($E$2=21.5,'S3'!AE150,IF($E$2=22.5,'S3'!AF150,IF($E$2=23.5,'S3'!AG150,IF($E$2=24.5,'S3'!AH150,IF($E$2=25.5,'S3'!AI150,IF($E$2=26.5,'S3'!AC150,IF($E$2=27.5,'S3'!AK150,IF($E$2=28.5,'S3'!AL150,IF($E$2=29.5,'S3'!AM150,IF($E$2=30.5,'S3'!AN150,IF($E$2=31.5,'S3'!AO150,IF($E$2=32.5,'S3'!AP150,IF($E$2=33.5,'S3'!AQ150,IF($E$2=34.5,'S3'!AR150,IF($E$2=35.5,'S3'!AS150))))))))))))))))</f>
        <v>227.71</v>
      </c>
      <c r="F150" s="398">
        <f t="shared" si="8"/>
        <v>318.79000000000002</v>
      </c>
    </row>
    <row r="151" spans="2:6">
      <c r="B151" s="411">
        <v>147</v>
      </c>
      <c r="C151" s="376">
        <f>IF($C$2=20.5,'S3'!T151,IF($C$2=21.5,'S3'!V151,IF($C$2=22.5,'S3'!A151,IF($C$2=23.5,'S3'!B151,IF($C$2=24.5,'S3'!C151,IF($C$2=25.5,'S3'!C151,IF($C$2=26.5,'S3'!E151,IF($C$2=27.5,'S3'!F151,IF($C$2=28.5,'S3'!G151,IF($C$2=29.5,'S3'!H151,IF($C$2=30.5,'S3'!I151,IF($C$2=31.5,'S3'!J151,IF($C$2=32.5,'S3'!K151,IF($C$2=33.5,'S3'!L151,IF($C$2=34.5,'S3'!M151,IF($C$2=35.5,'S3'!N151))))))))))))))))</f>
        <v>316.02</v>
      </c>
      <c r="D151" s="398">
        <f t="shared" si="9"/>
        <v>442.43</v>
      </c>
      <c r="E151" s="376">
        <f>IF($E$2=20.5,'S3'!U151,IF($E$2=21.5,'S3'!AE151,IF($E$2=22.5,'S3'!AF151,IF($E$2=23.5,'S3'!AG151,IF($E$2=24.5,'S3'!AH151,IF($E$2=25.5,'S3'!AI151,IF($E$2=26.5,'S3'!AC151,IF($E$2=27.5,'S3'!AK151,IF($E$2=28.5,'S3'!AL151,IF($E$2=29.5,'S3'!AM151,IF($E$2=30.5,'S3'!AN151,IF($E$2=31.5,'S3'!AO151,IF($E$2=32.5,'S3'!AP151,IF($E$2=33.5,'S3'!AQ151,IF($E$2=34.5,'S3'!AR151,IF($E$2=35.5,'S3'!AS151))))))))))))))))</f>
        <v>229.25</v>
      </c>
      <c r="F151" s="398">
        <f t="shared" si="8"/>
        <v>320.95</v>
      </c>
    </row>
    <row r="152" spans="2:6">
      <c r="B152" s="411">
        <v>148</v>
      </c>
      <c r="C152" s="376">
        <f>IF($C$2=20.5,'S3'!T152,IF($C$2=21.5,'S3'!V152,IF($C$2=22.5,'S3'!A152,IF($C$2=23.5,'S3'!B152,IF($C$2=24.5,'S3'!C152,IF($C$2=25.5,'S3'!C152,IF($C$2=26.5,'S3'!E152,IF($C$2=27.5,'S3'!F152,IF($C$2=28.5,'S3'!G152,IF($C$2=29.5,'S3'!H152,IF($C$2=30.5,'S3'!I152,IF($C$2=31.5,'S3'!J152,IF($C$2=32.5,'S3'!K152,IF($C$2=33.5,'S3'!L152,IF($C$2=34.5,'S3'!M152,IF($C$2=35.5,'S3'!N152))))))))))))))))</f>
        <v>318.10000000000002</v>
      </c>
      <c r="D152" s="398">
        <f t="shared" si="9"/>
        <v>445.34</v>
      </c>
      <c r="E152" s="376">
        <f>IF($E$2=20.5,'S3'!U152,IF($E$2=21.5,'S3'!AE152,IF($E$2=22.5,'S3'!AF152,IF($E$2=23.5,'S3'!AG152,IF($E$2=24.5,'S3'!AH152,IF($E$2=25.5,'S3'!AI152,IF($E$2=26.5,'S3'!AC152,IF($E$2=27.5,'S3'!AK152,IF($E$2=28.5,'S3'!AL152,IF($E$2=29.5,'S3'!AM152,IF($E$2=30.5,'S3'!AN152,IF($E$2=31.5,'S3'!AO152,IF($E$2=32.5,'S3'!AP152,IF($E$2=33.5,'S3'!AQ152,IF($E$2=34.5,'S3'!AR152,IF($E$2=35.5,'S3'!AS152))))))))))))))))</f>
        <v>230.78</v>
      </c>
      <c r="F152" s="398">
        <f t="shared" si="8"/>
        <v>323.08999999999997</v>
      </c>
    </row>
    <row r="153" spans="2:6">
      <c r="B153" s="411">
        <v>149</v>
      </c>
      <c r="C153" s="376">
        <f>IF($C$2=20.5,'S3'!T153,IF($C$2=21.5,'S3'!V153,IF($C$2=22.5,'S3'!A153,IF($C$2=23.5,'S3'!B153,IF($C$2=24.5,'S3'!C153,IF($C$2=25.5,'S3'!C153,IF($C$2=26.5,'S3'!E153,IF($C$2=27.5,'S3'!F153,IF($C$2=28.5,'S3'!G153,IF($C$2=29.5,'S3'!H153,IF($C$2=30.5,'S3'!I153,IF($C$2=31.5,'S3'!J153,IF($C$2=32.5,'S3'!K153,IF($C$2=33.5,'S3'!L153,IF($C$2=34.5,'S3'!M153,IF($C$2=35.5,'S3'!N153))))))))))))))))</f>
        <v>320.19</v>
      </c>
      <c r="D153" s="398">
        <f t="shared" si="9"/>
        <v>448.27</v>
      </c>
      <c r="E153" s="376">
        <f>IF($E$2=20.5,'S3'!U153,IF($E$2=21.5,'S3'!AE153,IF($E$2=22.5,'S3'!AF153,IF($E$2=23.5,'S3'!AG153,IF($E$2=24.5,'S3'!AH153,IF($E$2=25.5,'S3'!AI153,IF($E$2=26.5,'S3'!AC153,IF($E$2=27.5,'S3'!AK153,IF($E$2=28.5,'S3'!AL153,IF($E$2=29.5,'S3'!AM153,IF($E$2=30.5,'S3'!AN153,IF($E$2=31.5,'S3'!AO153,IF($E$2=32.5,'S3'!AP153,IF($E$2=33.5,'S3'!AQ153,IF($E$2=34.5,'S3'!AR153,IF($E$2=35.5,'S3'!AS153))))))))))))))))</f>
        <v>232.42</v>
      </c>
      <c r="F153" s="398">
        <f t="shared" si="8"/>
        <v>325.39</v>
      </c>
    </row>
    <row r="154" spans="2:6">
      <c r="B154" s="411">
        <v>150</v>
      </c>
      <c r="C154" s="376">
        <f>IF($C$2=20.5,'S3'!T154,IF($C$2=21.5,'S3'!V154,IF($C$2=22.5,'S3'!A154,IF($C$2=23.5,'S3'!B154,IF($C$2=24.5,'S3'!C154,IF($C$2=25.5,'S3'!C154,IF($C$2=26.5,'S3'!E154,IF($C$2=27.5,'S3'!F154,IF($C$2=28.5,'S3'!G154,IF($C$2=29.5,'S3'!H154,IF($C$2=30.5,'S3'!I154,IF($C$2=31.5,'S3'!J154,IF($C$2=32.5,'S3'!K154,IF($C$2=33.5,'S3'!L154,IF($C$2=34.5,'S3'!M154,IF($C$2=35.5,'S3'!N154))))))))))))))))</f>
        <v>322.56</v>
      </c>
      <c r="D154" s="398">
        <f t="shared" si="9"/>
        <v>451.58</v>
      </c>
      <c r="E154" s="376">
        <f>IF($E$2=20.5,'S3'!U154,IF($E$2=21.5,'S3'!AE154,IF($E$2=22.5,'S3'!AF154,IF($E$2=23.5,'S3'!AG154,IF($E$2=24.5,'S3'!AH154,IF($E$2=25.5,'S3'!AI154,IF($E$2=26.5,'S3'!AC154,IF($E$2=27.5,'S3'!AK154,IF($E$2=28.5,'S3'!AL154,IF($E$2=29.5,'S3'!AM154,IF($E$2=30.5,'S3'!AN154,IF($E$2=31.5,'S3'!AO154,IF($E$2=32.5,'S3'!AP154,IF($E$2=33.5,'S3'!AQ154,IF($E$2=34.5,'S3'!AR154,IF($E$2=35.5,'S3'!AS154))))))))))))))))</f>
        <v>233.96</v>
      </c>
      <c r="F154" s="398">
        <f t="shared" si="8"/>
        <v>327.54000000000002</v>
      </c>
    </row>
    <row r="155" spans="2:6">
      <c r="B155" s="411">
        <v>151</v>
      </c>
      <c r="C155" s="376">
        <f>IF($C$2=20.5,'S3'!T155,IF($C$2=21.5,'S3'!V155,IF($C$2=22.5,'S3'!A155,IF($C$2=23.5,'S3'!B155,IF($C$2=24.5,'S3'!C155,IF($C$2=25.5,'S3'!C155,IF($C$2=26.5,'S3'!E155,IF($C$2=27.5,'S3'!F155,IF($C$2=28.5,'S3'!G155,IF($C$2=29.5,'S3'!H155,IF($C$2=30.5,'S3'!I155,IF($C$2=31.5,'S3'!J155,IF($C$2=32.5,'S3'!K155,IF($C$2=33.5,'S3'!L155,IF($C$2=34.5,'S3'!M155,IF($C$2=35.5,'S3'!N155))))))))))))))))</f>
        <v>324.66000000000003</v>
      </c>
      <c r="D155" s="398">
        <f t="shared" si="9"/>
        <v>454.52</v>
      </c>
      <c r="E155" s="376">
        <f>IF($E$2=20.5,'S3'!U155,IF($E$2=21.5,'S3'!AE155,IF($E$2=22.5,'S3'!AF155,IF($E$2=23.5,'S3'!AG155,IF($E$2=24.5,'S3'!AH155,IF($E$2=25.5,'S3'!AI155,IF($E$2=26.5,'S3'!AC155,IF($E$2=27.5,'S3'!AK155,IF($E$2=28.5,'S3'!AL155,IF($E$2=29.5,'S3'!AM155,IF($E$2=30.5,'S3'!AN155,IF($E$2=31.5,'S3'!AO155,IF($E$2=32.5,'S3'!AP155,IF($E$2=33.5,'S3'!AQ155,IF($E$2=34.5,'S3'!AR155,IF($E$2=35.5,'S3'!AS155))))))))))))))))</f>
        <v>235.51</v>
      </c>
      <c r="F155" s="398">
        <f t="shared" si="8"/>
        <v>329.71</v>
      </c>
    </row>
    <row r="156" spans="2:6">
      <c r="B156" s="411">
        <v>152</v>
      </c>
      <c r="C156" s="376">
        <f>IF($C$2=20.5,'S3'!T156,IF($C$2=21.5,'S3'!V156,IF($C$2=22.5,'S3'!A156,IF($C$2=23.5,'S3'!B156,IF($C$2=24.5,'S3'!C156,IF($C$2=25.5,'S3'!C156,IF($C$2=26.5,'S3'!E156,IF($C$2=27.5,'S3'!F156,IF($C$2=28.5,'S3'!G156,IF($C$2=29.5,'S3'!H156,IF($C$2=30.5,'S3'!I156,IF($C$2=31.5,'S3'!J156,IF($C$2=32.5,'S3'!K156,IF($C$2=33.5,'S3'!L156,IF($C$2=34.5,'S3'!M156,IF($C$2=35.5,'S3'!N156))))))))))))))))</f>
        <v>326.76</v>
      </c>
      <c r="D156" s="398">
        <f t="shared" si="9"/>
        <v>457.46</v>
      </c>
      <c r="E156" s="376">
        <f>IF($E$2=20.5,'S3'!U156,IF($E$2=21.5,'S3'!AE156,IF($E$2=22.5,'S3'!AF156,IF($E$2=23.5,'S3'!AG156,IF($E$2=24.5,'S3'!AH156,IF($E$2=25.5,'S3'!AI156,IF($E$2=26.5,'S3'!AC156,IF($E$2=27.5,'S3'!AK156,IF($E$2=28.5,'S3'!AL156,IF($E$2=29.5,'S3'!AM156,IF($E$2=30.5,'S3'!AN156,IF($E$2=31.5,'S3'!AO156,IF($E$2=32.5,'S3'!AP156,IF($E$2=33.5,'S3'!AQ156,IF($E$2=34.5,'S3'!AR156,IF($E$2=35.5,'S3'!AS156))))))))))))))))</f>
        <v>237.05</v>
      </c>
      <c r="F156" s="398">
        <f t="shared" si="8"/>
        <v>331.87</v>
      </c>
    </row>
    <row r="157" spans="2:6">
      <c r="B157" s="411">
        <v>153</v>
      </c>
      <c r="C157" s="376">
        <f>IF($C$2=20.5,'S3'!T157,IF($C$2=21.5,'S3'!V157,IF($C$2=22.5,'S3'!A157,IF($C$2=23.5,'S3'!B157,IF($C$2=24.5,'S3'!C157,IF($C$2=25.5,'S3'!C157,IF($C$2=26.5,'S3'!E157,IF($C$2=27.5,'S3'!F157,IF($C$2=28.5,'S3'!G157,IF($C$2=29.5,'S3'!H157,IF($C$2=30.5,'S3'!I157,IF($C$2=31.5,'S3'!J157,IF($C$2=32.5,'S3'!K157,IF($C$2=33.5,'S3'!L157,IF($C$2=34.5,'S3'!M157,IF($C$2=35.5,'S3'!N157))))))))))))))))</f>
        <v>328.87</v>
      </c>
      <c r="D157" s="398">
        <f t="shared" si="9"/>
        <v>460.42</v>
      </c>
      <c r="E157" s="376">
        <f>IF($E$2=20.5,'S3'!U157,IF($E$2=21.5,'S3'!AE157,IF($E$2=22.5,'S3'!AF157,IF($E$2=23.5,'S3'!AG157,IF($E$2=24.5,'S3'!AH157,IF($E$2=25.5,'S3'!AI157,IF($E$2=26.5,'S3'!AC157,IF($E$2=27.5,'S3'!AK157,IF($E$2=28.5,'S3'!AL157,IF($E$2=29.5,'S3'!AM157,IF($E$2=30.5,'S3'!AN157,IF($E$2=31.5,'S3'!AO157,IF($E$2=32.5,'S3'!AP157,IF($E$2=33.5,'S3'!AQ157,IF($E$2=34.5,'S3'!AR157,IF($E$2=35.5,'S3'!AS157))))))))))))))))</f>
        <v>238.6</v>
      </c>
      <c r="F157" s="398">
        <f t="shared" si="8"/>
        <v>334.04</v>
      </c>
    </row>
    <row r="158" spans="2:6">
      <c r="B158" s="411">
        <v>154</v>
      </c>
      <c r="C158" s="376">
        <f>IF($C$2=20.5,'S3'!T158,IF($C$2=21.5,'S3'!V158,IF($C$2=22.5,'S3'!A158,IF($C$2=23.5,'S3'!B158,IF($C$2=24.5,'S3'!C158,IF($C$2=25.5,'S3'!C158,IF($C$2=26.5,'S3'!E158,IF($C$2=27.5,'S3'!F158,IF($C$2=28.5,'S3'!G158,IF($C$2=29.5,'S3'!H158,IF($C$2=30.5,'S3'!I158,IF($C$2=31.5,'S3'!J158,IF($C$2=32.5,'S3'!K158,IF($C$2=33.5,'S3'!L158,IF($C$2=34.5,'S3'!M158,IF($C$2=35.5,'S3'!N158))))))))))))))))</f>
        <v>330.97</v>
      </c>
      <c r="D158" s="398">
        <f t="shared" si="9"/>
        <v>463.36</v>
      </c>
      <c r="E158" s="376">
        <f>IF($E$2=20.5,'S3'!U158,IF($E$2=21.5,'S3'!AE158,IF($E$2=22.5,'S3'!AF158,IF($E$2=23.5,'S3'!AG158,IF($E$2=24.5,'S3'!AH158,IF($E$2=25.5,'S3'!AI158,IF($E$2=26.5,'S3'!AC158,IF($E$2=27.5,'S3'!AK158,IF($E$2=28.5,'S3'!AL158,IF($E$2=29.5,'S3'!AM158,IF($E$2=30.5,'S3'!AN158,IF($E$2=31.5,'S3'!AO158,IF($E$2=32.5,'S3'!AP158,IF($E$2=33.5,'S3'!AQ158,IF($E$2=34.5,'S3'!AR158,IF($E$2=35.5,'S3'!AS158))))))))))))))))</f>
        <v>240.14</v>
      </c>
      <c r="F158" s="398">
        <f t="shared" si="8"/>
        <v>336.2</v>
      </c>
    </row>
    <row r="159" spans="2:6">
      <c r="B159" s="411">
        <v>155</v>
      </c>
      <c r="C159" s="376">
        <f>IF($C$2=20.5,'S3'!T159,IF($C$2=21.5,'S3'!V159,IF($C$2=22.5,'S3'!A159,IF($C$2=23.5,'S3'!B159,IF($C$2=24.5,'S3'!C159,IF($C$2=25.5,'S3'!C159,IF($C$2=26.5,'S3'!E159,IF($C$2=27.5,'S3'!F159,IF($C$2=28.5,'S3'!G159,IF($C$2=29.5,'S3'!H159,IF($C$2=30.5,'S3'!I159,IF($C$2=31.5,'S3'!J159,IF($C$2=32.5,'S3'!K159,IF($C$2=33.5,'S3'!L159,IF($C$2=34.5,'S3'!M159,IF($C$2=35.5,'S3'!N159))))))))))))))))</f>
        <v>333.08</v>
      </c>
      <c r="D159" s="398">
        <f t="shared" si="9"/>
        <v>466.31</v>
      </c>
      <c r="E159" s="376">
        <f>IF($E$2=20.5,'S3'!U159,IF($E$2=21.5,'S3'!AE159,IF($E$2=22.5,'S3'!AF159,IF($E$2=23.5,'S3'!AG159,IF($E$2=24.5,'S3'!AH159,IF($E$2=25.5,'S3'!AI159,IF($E$2=26.5,'S3'!AC159,IF($E$2=27.5,'S3'!AK159,IF($E$2=28.5,'S3'!AL159,IF($E$2=29.5,'S3'!AM159,IF($E$2=30.5,'S3'!AN159,IF($E$2=31.5,'S3'!AO159,IF($E$2=32.5,'S3'!AP159,IF($E$2=33.5,'S3'!AQ159,IF($E$2=34.5,'S3'!AR159,IF($E$2=35.5,'S3'!AS159))))))))))))))))</f>
        <v>241.69</v>
      </c>
      <c r="F159" s="398">
        <f t="shared" si="8"/>
        <v>338.37</v>
      </c>
    </row>
    <row r="160" spans="2:6">
      <c r="B160" s="411">
        <v>156</v>
      </c>
      <c r="C160" s="376">
        <f>IF($C$2=20.5,'S3'!T160,IF($C$2=21.5,'S3'!V160,IF($C$2=22.5,'S3'!A160,IF($C$2=23.5,'S3'!B160,IF($C$2=24.5,'S3'!C160,IF($C$2=25.5,'S3'!C160,IF($C$2=26.5,'S3'!E160,IF($C$2=27.5,'S3'!F160,IF($C$2=28.5,'S3'!G160,IF($C$2=29.5,'S3'!H160,IF($C$2=30.5,'S3'!I160,IF($C$2=31.5,'S3'!J160,IF($C$2=32.5,'S3'!K160,IF($C$2=33.5,'S3'!L160,IF($C$2=34.5,'S3'!M160,IF($C$2=35.5,'S3'!N160))))))))))))))))</f>
        <v>335.2</v>
      </c>
      <c r="D160" s="398">
        <f t="shared" si="9"/>
        <v>469.28</v>
      </c>
      <c r="E160" s="376">
        <f>IF($E$2=20.5,'S3'!U160,IF($E$2=21.5,'S3'!AE160,IF($E$2=22.5,'S3'!AF160,IF($E$2=23.5,'S3'!AG160,IF($E$2=24.5,'S3'!AH160,IF($E$2=25.5,'S3'!AI160,IF($E$2=26.5,'S3'!AC160,IF($E$2=27.5,'S3'!AK160,IF($E$2=28.5,'S3'!AL160,IF($E$2=29.5,'S3'!AM160,IF($E$2=30.5,'S3'!AN160,IF($E$2=31.5,'S3'!AO160,IF($E$2=32.5,'S3'!AP160,IF($E$2=33.5,'S3'!AQ160,IF($E$2=34.5,'S3'!AR160,IF($E$2=35.5,'S3'!AS160))))))))))))))))</f>
        <v>243.24</v>
      </c>
      <c r="F160" s="398">
        <f t="shared" si="8"/>
        <v>340.54</v>
      </c>
    </row>
    <row r="161" spans="2:6">
      <c r="B161" s="411">
        <v>157</v>
      </c>
      <c r="C161" s="376">
        <f>IF($C$2=20.5,'S3'!T161,IF($C$2=21.5,'S3'!V161,IF($C$2=22.5,'S3'!A161,IF($C$2=23.5,'S3'!B161,IF($C$2=24.5,'S3'!C161,IF($C$2=25.5,'S3'!C161,IF($C$2=26.5,'S3'!E161,IF($C$2=27.5,'S3'!F161,IF($C$2=28.5,'S3'!G161,IF($C$2=29.5,'S3'!H161,IF($C$2=30.5,'S3'!I161,IF($C$2=31.5,'S3'!J161,IF($C$2=32.5,'S3'!K161,IF($C$2=33.5,'S3'!L161,IF($C$2=34.5,'S3'!M161,IF($C$2=35.5,'S3'!N161))))))))))))))))</f>
        <v>337.31</v>
      </c>
      <c r="D161" s="398">
        <f t="shared" si="9"/>
        <v>472.23</v>
      </c>
      <c r="E161" s="376">
        <f>IF($E$2=20.5,'S3'!U161,IF($E$2=21.5,'S3'!AE161,IF($E$2=22.5,'S3'!AF161,IF($E$2=23.5,'S3'!AG161,IF($E$2=24.5,'S3'!AH161,IF($E$2=25.5,'S3'!AI161,IF($E$2=26.5,'S3'!AC161,IF($E$2=27.5,'S3'!AK161,IF($E$2=28.5,'S3'!AL161,IF($E$2=29.5,'S3'!AM161,IF($E$2=30.5,'S3'!AN161,IF($E$2=31.5,'S3'!AO161,IF($E$2=32.5,'S3'!AP161,IF($E$2=33.5,'S3'!AQ161,IF($E$2=34.5,'S3'!AR161,IF($E$2=35.5,'S3'!AS161))))))))))))))))</f>
        <v>244.79</v>
      </c>
      <c r="F161" s="398">
        <f t="shared" si="8"/>
        <v>342.71</v>
      </c>
    </row>
    <row r="162" spans="2:6">
      <c r="B162" s="411">
        <v>158</v>
      </c>
      <c r="C162" s="376">
        <f>IF($C$2=20.5,'S3'!T162,IF($C$2=21.5,'S3'!V162,IF($C$2=22.5,'S3'!A162,IF($C$2=23.5,'S3'!B162,IF($C$2=24.5,'S3'!C162,IF($C$2=25.5,'S3'!C162,IF($C$2=26.5,'S3'!E162,IF($C$2=27.5,'S3'!F162,IF($C$2=28.5,'S3'!G162,IF($C$2=29.5,'S3'!H162,IF($C$2=30.5,'S3'!I162,IF($C$2=31.5,'S3'!J162,IF($C$2=32.5,'S3'!K162,IF($C$2=33.5,'S3'!L162,IF($C$2=34.5,'S3'!M162,IF($C$2=35.5,'S3'!N162))))))))))))))))</f>
        <v>339.75</v>
      </c>
      <c r="D162" s="398">
        <f t="shared" si="9"/>
        <v>475.65</v>
      </c>
      <c r="E162" s="376">
        <f>IF($E$2=20.5,'S3'!U162,IF($E$2=21.5,'S3'!AE162,IF($E$2=22.5,'S3'!AF162,IF($E$2=23.5,'S3'!AG162,IF($E$2=24.5,'S3'!AH162,IF($E$2=25.5,'S3'!AI162,IF($E$2=26.5,'S3'!AC162,IF($E$2=27.5,'S3'!AK162,IF($E$2=28.5,'S3'!AL162,IF($E$2=29.5,'S3'!AM162,IF($E$2=30.5,'S3'!AN162,IF($E$2=31.5,'S3'!AO162,IF($E$2=32.5,'S3'!AP162,IF($E$2=33.5,'S3'!AQ162,IF($E$2=34.5,'S3'!AR162,IF($E$2=35.5,'S3'!AS162))))))))))))))))</f>
        <v>246.34</v>
      </c>
      <c r="F162" s="398">
        <f t="shared" si="8"/>
        <v>344.88</v>
      </c>
    </row>
    <row r="163" spans="2:6">
      <c r="B163" s="411">
        <v>159</v>
      </c>
      <c r="C163" s="376">
        <f>IF($C$2=20.5,'S3'!T163,IF($C$2=21.5,'S3'!V163,IF($C$2=22.5,'S3'!A163,IF($C$2=23.5,'S3'!B163,IF($C$2=24.5,'S3'!C163,IF($C$2=25.5,'S3'!C163,IF($C$2=26.5,'S3'!E163,IF($C$2=27.5,'S3'!F163,IF($C$2=28.5,'S3'!G163,IF($C$2=29.5,'S3'!H163,IF($C$2=30.5,'S3'!I163,IF($C$2=31.5,'S3'!J163,IF($C$2=32.5,'S3'!K163,IF($C$2=33.5,'S3'!L163,IF($C$2=34.5,'S3'!M163,IF($C$2=35.5,'S3'!N163))))))))))))))))</f>
        <v>341.88</v>
      </c>
      <c r="D163" s="398">
        <f t="shared" si="9"/>
        <v>478.63</v>
      </c>
      <c r="E163" s="376">
        <f>IF($E$2=20.5,'S3'!U163,IF($E$2=21.5,'S3'!AE163,IF($E$2=22.5,'S3'!AF163,IF($E$2=23.5,'S3'!AG163,IF($E$2=24.5,'S3'!AH163,IF($E$2=25.5,'S3'!AI163,IF($E$2=26.5,'S3'!AC163,IF($E$2=27.5,'S3'!AK163,IF($E$2=28.5,'S3'!AL163,IF($E$2=29.5,'S3'!AM163,IF($E$2=30.5,'S3'!AN163,IF($E$2=31.5,'S3'!AO163,IF($E$2=32.5,'S3'!AP163,IF($E$2=33.5,'S3'!AQ163,IF($E$2=34.5,'S3'!AR163,IF($E$2=35.5,'S3'!AS163))))))))))))))))</f>
        <v>247.89</v>
      </c>
      <c r="F163" s="398">
        <f t="shared" si="8"/>
        <v>347.05</v>
      </c>
    </row>
    <row r="164" spans="2:6">
      <c r="B164" s="411">
        <v>160</v>
      </c>
      <c r="C164" s="376">
        <f>IF($C$2=20.5,'S3'!T164,IF($C$2=21.5,'S3'!V164,IF($C$2=22.5,'S3'!A164,IF($C$2=23.5,'S3'!B164,IF($C$2=24.5,'S3'!C164,IF($C$2=25.5,'S3'!C164,IF($C$2=26.5,'S3'!E164,IF($C$2=27.5,'S3'!F164,IF($C$2=28.5,'S3'!G164,IF($C$2=29.5,'S3'!H164,IF($C$2=30.5,'S3'!I164,IF($C$2=31.5,'S3'!J164,IF($C$2=32.5,'S3'!K164,IF($C$2=33.5,'S3'!L164,IF($C$2=34.5,'S3'!M164,IF($C$2=35.5,'S3'!N164))))))))))))))))</f>
        <v>344.01</v>
      </c>
      <c r="D164" s="398">
        <f t="shared" si="9"/>
        <v>481.61</v>
      </c>
      <c r="E164" s="376">
        <f>IF($E$2=20.5,'S3'!U164,IF($E$2=21.5,'S3'!AE164,IF($E$2=22.5,'S3'!AF164,IF($E$2=23.5,'S3'!AG164,IF($E$2=24.5,'S3'!AH164,IF($E$2=25.5,'S3'!AI164,IF($E$2=26.5,'S3'!AC164,IF($E$2=27.5,'S3'!AK164,IF($E$2=28.5,'S3'!AL164,IF($E$2=29.5,'S3'!AM164,IF($E$2=30.5,'S3'!AN164,IF($E$2=31.5,'S3'!AO164,IF($E$2=32.5,'S3'!AP164,IF($E$2=33.5,'S3'!AQ164,IF($E$2=34.5,'S3'!AR164,IF($E$2=35.5,'S3'!AS164))))))))))))))))</f>
        <v>249.45</v>
      </c>
      <c r="F164" s="398">
        <f t="shared" si="8"/>
        <v>349.23</v>
      </c>
    </row>
    <row r="165" spans="2:6">
      <c r="B165" s="411">
        <v>161</v>
      </c>
      <c r="C165" s="376">
        <f>IF($C$2=20.5,'S3'!T165,IF($C$2=21.5,'S3'!V165,IF($C$2=22.5,'S3'!A165,IF($C$2=23.5,'S3'!B165,IF($C$2=24.5,'S3'!C165,IF($C$2=25.5,'S3'!C165,IF($C$2=26.5,'S3'!E165,IF($C$2=27.5,'S3'!F165,IF($C$2=28.5,'S3'!G165,IF($C$2=29.5,'S3'!H165,IF($C$2=30.5,'S3'!I165,IF($C$2=31.5,'S3'!J165,IF($C$2=32.5,'S3'!K165,IF($C$2=33.5,'S3'!L165,IF($C$2=34.5,'S3'!M165,IF($C$2=35.5,'S3'!N165))))))))))))))))</f>
        <v>346.14</v>
      </c>
      <c r="D165" s="398">
        <f t="shared" si="9"/>
        <v>484.6</v>
      </c>
      <c r="E165" s="376">
        <f>IF($E$2=20.5,'S3'!U165,IF($E$2=21.5,'S3'!AE165,IF($E$2=22.5,'S3'!AF165,IF($E$2=23.5,'S3'!AG165,IF($E$2=24.5,'S3'!AH165,IF($E$2=25.5,'S3'!AI165,IF($E$2=26.5,'S3'!AC165,IF($E$2=27.5,'S3'!AK165,IF($E$2=28.5,'S3'!AL165,IF($E$2=29.5,'S3'!AM165,IF($E$2=30.5,'S3'!AN165,IF($E$2=31.5,'S3'!AO165,IF($E$2=32.5,'S3'!AP165,IF($E$2=33.5,'S3'!AQ165,IF($E$2=34.5,'S3'!AR165,IF($E$2=35.5,'S3'!AS165))))))))))))))))</f>
        <v>251</v>
      </c>
      <c r="F165" s="398">
        <f t="shared" si="8"/>
        <v>351.4</v>
      </c>
    </row>
    <row r="166" spans="2:6">
      <c r="B166" s="411">
        <v>162</v>
      </c>
      <c r="C166" s="376">
        <f>IF($C$2=20.5,'S3'!T166,IF($C$2=21.5,'S3'!V166,IF($C$2=22.5,'S3'!A166,IF($C$2=23.5,'S3'!B166,IF($C$2=24.5,'S3'!C166,IF($C$2=25.5,'S3'!C166,IF($C$2=26.5,'S3'!E166,IF($C$2=27.5,'S3'!F166,IF($C$2=28.5,'S3'!G166,IF($C$2=29.5,'S3'!H166,IF($C$2=30.5,'S3'!I166,IF($C$2=31.5,'S3'!J166,IF($C$2=32.5,'S3'!K166,IF($C$2=33.5,'S3'!L166,IF($C$2=34.5,'S3'!M166,IF($C$2=35.5,'S3'!N166))))))))))))))))</f>
        <v>348.28</v>
      </c>
      <c r="D166" s="398">
        <f t="shared" si="9"/>
        <v>487.59</v>
      </c>
      <c r="E166" s="376">
        <f>IF($E$2=20.5,'S3'!U166,IF($E$2=21.5,'S3'!AE166,IF($E$2=22.5,'S3'!AF166,IF($E$2=23.5,'S3'!AG166,IF($E$2=24.5,'S3'!AH166,IF($E$2=25.5,'S3'!AI166,IF($E$2=26.5,'S3'!AC166,IF($E$2=27.5,'S3'!AK166,IF($E$2=28.5,'S3'!AL166,IF($E$2=29.5,'S3'!AM166,IF($E$2=30.5,'S3'!AN166,IF($E$2=31.5,'S3'!AO166,IF($E$2=32.5,'S3'!AP166,IF($E$2=33.5,'S3'!AQ166,IF($E$2=34.5,'S3'!AR166,IF($E$2=35.5,'S3'!AS166))))))))))))))))</f>
        <v>252.56</v>
      </c>
      <c r="F166" s="398">
        <f t="shared" si="8"/>
        <v>353.58</v>
      </c>
    </row>
    <row r="167" spans="2:6">
      <c r="B167" s="411">
        <v>163</v>
      </c>
      <c r="C167" s="376">
        <f>IF($C$2=20.5,'S3'!T167,IF($C$2=21.5,'S3'!V167,IF($C$2=22.5,'S3'!A167,IF($C$2=23.5,'S3'!B167,IF($C$2=24.5,'S3'!C167,IF($C$2=25.5,'S3'!C167,IF($C$2=26.5,'S3'!E167,IF($C$2=27.5,'S3'!F167,IF($C$2=28.5,'S3'!G167,IF($C$2=29.5,'S3'!H167,IF($C$2=30.5,'S3'!I167,IF($C$2=31.5,'S3'!J167,IF($C$2=32.5,'S3'!K167,IF($C$2=33.5,'S3'!L167,IF($C$2=34.5,'S3'!M167,IF($C$2=35.5,'S3'!N167))))))))))))))))</f>
        <v>350.43</v>
      </c>
      <c r="D167" s="398">
        <f t="shared" si="9"/>
        <v>490.6</v>
      </c>
      <c r="E167" s="376">
        <f>IF($E$2=20.5,'S3'!U167,IF($E$2=21.5,'S3'!AE167,IF($E$2=22.5,'S3'!AF167,IF($E$2=23.5,'S3'!AG167,IF($E$2=24.5,'S3'!AH167,IF($E$2=25.5,'S3'!AI167,IF($E$2=26.5,'S3'!AC167,IF($E$2=27.5,'S3'!AK167,IF($E$2=28.5,'S3'!AL167,IF($E$2=29.5,'S3'!AM167,IF($E$2=30.5,'S3'!AN167,IF($E$2=31.5,'S3'!AO167,IF($E$2=32.5,'S3'!AP167,IF($E$2=33.5,'S3'!AQ167,IF($E$2=34.5,'S3'!AR167,IF($E$2=35.5,'S3'!AS167))))))))))))))))</f>
        <v>254.12</v>
      </c>
      <c r="F167" s="398">
        <f t="shared" si="8"/>
        <v>355.77</v>
      </c>
    </row>
    <row r="168" spans="2:6">
      <c r="B168" s="411">
        <v>164</v>
      </c>
      <c r="C168" s="376">
        <f>IF($C$2=20.5,'S3'!T168,IF($C$2=21.5,'S3'!V168,IF($C$2=22.5,'S3'!A168,IF($C$2=23.5,'S3'!B168,IF($C$2=24.5,'S3'!C168,IF($C$2=25.5,'S3'!C168,IF($C$2=26.5,'S3'!E168,IF($C$2=27.5,'S3'!F168,IF($C$2=28.5,'S3'!G168,IF($C$2=29.5,'S3'!H168,IF($C$2=30.5,'S3'!I168,IF($C$2=31.5,'S3'!J168,IF($C$2=32.5,'S3'!K168,IF($C$2=33.5,'S3'!L168,IF($C$2=34.5,'S3'!M168,IF($C$2=35.5,'S3'!N168))))))))))))))))</f>
        <v>352.58</v>
      </c>
      <c r="D168" s="398">
        <f t="shared" si="9"/>
        <v>493.61</v>
      </c>
      <c r="E168" s="376">
        <f>IF($E$2=20.5,'S3'!U168,IF($E$2=21.5,'S3'!AE168,IF($E$2=22.5,'S3'!AF168,IF($E$2=23.5,'S3'!AG168,IF($E$2=24.5,'S3'!AH168,IF($E$2=25.5,'S3'!AI168,IF($E$2=26.5,'S3'!AC168,IF($E$2=27.5,'S3'!AK168,IF($E$2=28.5,'S3'!AL168,IF($E$2=29.5,'S3'!AM168,IF($E$2=30.5,'S3'!AN168,IF($E$2=31.5,'S3'!AO168,IF($E$2=32.5,'S3'!AP168,IF($E$2=33.5,'S3'!AQ168,IF($E$2=34.5,'S3'!AR168,IF($E$2=35.5,'S3'!AS168))))))))))))))))</f>
        <v>255.68</v>
      </c>
      <c r="F168" s="398">
        <f t="shared" si="8"/>
        <v>357.95</v>
      </c>
    </row>
    <row r="169" spans="2:6">
      <c r="B169" s="411">
        <v>165</v>
      </c>
      <c r="C169" s="376">
        <f>IF($C$2=20.5,'S3'!T169,IF($C$2=21.5,'S3'!V169,IF($C$2=22.5,'S3'!A169,IF($C$2=23.5,'S3'!B169,IF($C$2=24.5,'S3'!C169,IF($C$2=25.5,'S3'!C169,IF($C$2=26.5,'S3'!E169,IF($C$2=27.5,'S3'!F169,IF($C$2=28.5,'S3'!G169,IF($C$2=29.5,'S3'!H169,IF($C$2=30.5,'S3'!I169,IF($C$2=31.5,'S3'!J169,IF($C$2=32.5,'S3'!K169,IF($C$2=33.5,'S3'!L169,IF($C$2=34.5,'S3'!M169,IF($C$2=35.5,'S3'!N169))))))))))))))))</f>
        <v>354.73</v>
      </c>
      <c r="D169" s="398">
        <f t="shared" si="9"/>
        <v>496.62</v>
      </c>
      <c r="E169" s="376">
        <f>IF($E$2=20.5,'S3'!U169,IF($E$2=21.5,'S3'!AE169,IF($E$2=22.5,'S3'!AF169,IF($E$2=23.5,'S3'!AG169,IF($E$2=24.5,'S3'!AH169,IF($E$2=25.5,'S3'!AI169,IF($E$2=26.5,'S3'!AC169,IF($E$2=27.5,'S3'!AK169,IF($E$2=28.5,'S3'!AL169,IF($E$2=29.5,'S3'!AM169,IF($E$2=30.5,'S3'!AN169,IF($E$2=31.5,'S3'!AO169,IF($E$2=32.5,'S3'!AP169,IF($E$2=33.5,'S3'!AQ169,IF($E$2=34.5,'S3'!AR169,IF($E$2=35.5,'S3'!AS169))))))))))))))))</f>
        <v>257.24</v>
      </c>
      <c r="F169" s="398">
        <f t="shared" si="8"/>
        <v>360.14</v>
      </c>
    </row>
    <row r="170" spans="2:6">
      <c r="B170" s="411">
        <v>166</v>
      </c>
      <c r="C170" s="376">
        <f>IF($C$2=20.5,'S3'!T170,IF($C$2=21.5,'S3'!V170,IF($C$2=22.5,'S3'!A170,IF($C$2=23.5,'S3'!B170,IF($C$2=24.5,'S3'!C170,IF($C$2=25.5,'S3'!C170,IF($C$2=26.5,'S3'!E170,IF($C$2=27.5,'S3'!F170,IF($C$2=28.5,'S3'!G170,IF($C$2=29.5,'S3'!H170,IF($C$2=30.5,'S3'!I170,IF($C$2=31.5,'S3'!J170,IF($C$2=32.5,'S3'!K170,IF($C$2=33.5,'S3'!L170,IF($C$2=34.5,'S3'!M170,IF($C$2=35.5,'S3'!N170))))))))))))))))</f>
        <v>356.88</v>
      </c>
      <c r="D170" s="398">
        <f t="shared" si="9"/>
        <v>499.63</v>
      </c>
      <c r="E170" s="376">
        <f>IF($E$2=20.5,'S3'!U170,IF($E$2=21.5,'S3'!AE170,IF($E$2=22.5,'S3'!AF170,IF($E$2=23.5,'S3'!AG170,IF($E$2=24.5,'S3'!AH170,IF($E$2=25.5,'S3'!AI170,IF($E$2=26.5,'S3'!AC170,IF($E$2=27.5,'S3'!AK170,IF($E$2=28.5,'S3'!AL170,IF($E$2=29.5,'S3'!AM170,IF($E$2=30.5,'S3'!AN170,IF($E$2=31.5,'S3'!AO170,IF($E$2=32.5,'S3'!AP170,IF($E$2=33.5,'S3'!AQ170,IF($E$2=34.5,'S3'!AR170,IF($E$2=35.5,'S3'!AS170))))))))))))))))</f>
        <v>258.8</v>
      </c>
      <c r="F170" s="398">
        <f t="shared" si="8"/>
        <v>362.32</v>
      </c>
    </row>
    <row r="171" spans="2:6">
      <c r="B171" s="411">
        <v>167</v>
      </c>
      <c r="C171" s="376">
        <f>IF($C$2=20.5,'S3'!T171,IF($C$2=21.5,'S3'!V171,IF($C$2=22.5,'S3'!A171,IF($C$2=23.5,'S3'!B171,IF($C$2=24.5,'S3'!C171,IF($C$2=25.5,'S3'!C171,IF($C$2=26.5,'S3'!E171,IF($C$2=27.5,'S3'!F171,IF($C$2=28.5,'S3'!G171,IF($C$2=29.5,'S3'!H171,IF($C$2=30.5,'S3'!I171,IF($C$2=31.5,'S3'!J171,IF($C$2=32.5,'S3'!K171,IF($C$2=33.5,'S3'!L171,IF($C$2=34.5,'S3'!M171,IF($C$2=35.5,'S3'!N171))))))))))))))))</f>
        <v>359.04</v>
      </c>
      <c r="D171" s="398">
        <f t="shared" si="9"/>
        <v>502.66</v>
      </c>
      <c r="E171" s="376">
        <f>IF($E$2=20.5,'S3'!U171,IF($E$2=21.5,'S3'!AE171,IF($E$2=22.5,'S3'!AF171,IF($E$2=23.5,'S3'!AG171,IF($E$2=24.5,'S3'!AH171,IF($E$2=25.5,'S3'!AI171,IF($E$2=26.5,'S3'!AC171,IF($E$2=27.5,'S3'!AK171,IF($E$2=28.5,'S3'!AL171,IF($E$2=29.5,'S3'!AM171,IF($E$2=30.5,'S3'!AN171,IF($E$2=31.5,'S3'!AO171,IF($E$2=32.5,'S3'!AP171,IF($E$2=33.5,'S3'!AQ171,IF($E$2=34.5,'S3'!AR171,IF($E$2=35.5,'S3'!AS171))))))))))))))))</f>
        <v>260.37</v>
      </c>
      <c r="F171" s="398">
        <f t="shared" si="8"/>
        <v>364.52</v>
      </c>
    </row>
    <row r="172" spans="2:6">
      <c r="B172" s="411">
        <v>168</v>
      </c>
      <c r="C172" s="376">
        <f>IF($C$2=20.5,'S3'!T172,IF($C$2=21.5,'S3'!V172,IF($C$2=22.5,'S3'!A172,IF($C$2=23.5,'S3'!B172,IF($C$2=24.5,'S3'!C172,IF($C$2=25.5,'S3'!C172,IF($C$2=26.5,'S3'!E172,IF($C$2=27.5,'S3'!F172,IF($C$2=28.5,'S3'!G172,IF($C$2=29.5,'S3'!H172,IF($C$2=30.5,'S3'!I172,IF($C$2=31.5,'S3'!J172,IF($C$2=32.5,'S3'!K172,IF($C$2=33.5,'S3'!L172,IF($C$2=34.5,'S3'!M172,IF($C$2=35.5,'S3'!N172))))))))))))))))</f>
        <v>361.21</v>
      </c>
      <c r="D172" s="398">
        <f t="shared" si="9"/>
        <v>505.69</v>
      </c>
      <c r="E172" s="376">
        <f>IF($E$2=20.5,'S3'!U172,IF($E$2=21.5,'S3'!AE172,IF($E$2=22.5,'S3'!AF172,IF($E$2=23.5,'S3'!AG172,IF($E$2=24.5,'S3'!AH172,IF($E$2=25.5,'S3'!AI172,IF($E$2=26.5,'S3'!AC172,IF($E$2=27.5,'S3'!AK172,IF($E$2=28.5,'S3'!AL172,IF($E$2=29.5,'S3'!AM172,IF($E$2=30.5,'S3'!AN172,IF($E$2=31.5,'S3'!AO172,IF($E$2=32.5,'S3'!AP172,IF($E$2=33.5,'S3'!AQ172,IF($E$2=34.5,'S3'!AR172,IF($E$2=35.5,'S3'!AS172))))))))))))))))</f>
        <v>261.93</v>
      </c>
      <c r="F172" s="398">
        <f t="shared" si="8"/>
        <v>366.7</v>
      </c>
    </row>
    <row r="173" spans="2:6">
      <c r="B173" s="411">
        <v>169</v>
      </c>
      <c r="C173" s="376">
        <f>IF($C$2=20.5,'S3'!T173,IF($C$2=21.5,'S3'!V173,IF($C$2=22.5,'S3'!A173,IF($C$2=23.5,'S3'!B173,IF($C$2=24.5,'S3'!C173,IF($C$2=25.5,'S3'!C173,IF($C$2=26.5,'S3'!E173,IF($C$2=27.5,'S3'!F173,IF($C$2=28.5,'S3'!G173,IF($C$2=29.5,'S3'!H173,IF($C$2=30.5,'S3'!I173,IF($C$2=31.5,'S3'!J173,IF($C$2=32.5,'S3'!K173,IF($C$2=33.5,'S3'!L173,IF($C$2=34.5,'S3'!M173,IF($C$2=35.5,'S3'!N173))))))))))))))))</f>
        <v>363.02</v>
      </c>
      <c r="D173" s="398">
        <f t="shared" si="9"/>
        <v>508.23</v>
      </c>
      <c r="E173" s="376">
        <f>IF($E$2=20.5,'S3'!U173,IF($E$2=21.5,'S3'!AE173,IF($E$2=22.5,'S3'!AF173,IF($E$2=23.5,'S3'!AG173,IF($E$2=24.5,'S3'!AH173,IF($E$2=25.5,'S3'!AI173,IF($E$2=26.5,'S3'!AC173,IF($E$2=27.5,'S3'!AK173,IF($E$2=28.5,'S3'!AL173,IF($E$2=29.5,'S3'!AM173,IF($E$2=30.5,'S3'!AN173,IF($E$2=31.5,'S3'!AO173,IF($E$2=32.5,'S3'!AP173,IF($E$2=33.5,'S3'!AQ173,IF($E$2=34.5,'S3'!AR173,IF($E$2=35.5,'S3'!AS173))))))))))))))))</f>
        <v>263.5</v>
      </c>
      <c r="F173" s="398">
        <f t="shared" si="8"/>
        <v>368.9</v>
      </c>
    </row>
    <row r="174" spans="2:6">
      <c r="B174" s="411">
        <v>170</v>
      </c>
      <c r="C174" s="376">
        <f>IF($C$2=20.5,'S3'!T174,IF($C$2=21.5,'S3'!V174,IF($C$2=22.5,'S3'!A174,IF($C$2=23.5,'S3'!B174,IF($C$2=24.5,'S3'!C174,IF($C$2=25.5,'S3'!C174,IF($C$2=26.5,'S3'!E174,IF($C$2=27.5,'S3'!F174,IF($C$2=28.5,'S3'!G174,IF($C$2=29.5,'S3'!H174,IF($C$2=30.5,'S3'!I174,IF($C$2=31.5,'S3'!J174,IF($C$2=32.5,'S3'!K174,IF($C$2=33.5,'S3'!L174,IF($C$2=34.5,'S3'!M174,IF($C$2=35.5,'S3'!N174))))))))))))))))</f>
        <v>365.19</v>
      </c>
      <c r="D174" s="398">
        <f t="shared" si="9"/>
        <v>511.27</v>
      </c>
      <c r="E174" s="376">
        <f>IF($E$2=20.5,'S3'!U174,IF($E$2=21.5,'S3'!AE174,IF($E$2=22.5,'S3'!AF174,IF($E$2=23.5,'S3'!AG174,IF($E$2=24.5,'S3'!AH174,IF($E$2=25.5,'S3'!AI174,IF($E$2=26.5,'S3'!AC174,IF($E$2=27.5,'S3'!AK174,IF($E$2=28.5,'S3'!AL174,IF($E$2=29.5,'S3'!AM174,IF($E$2=30.5,'S3'!AN174,IF($E$2=31.5,'S3'!AO174,IF($E$2=32.5,'S3'!AP174,IF($E$2=33.5,'S3'!AQ174,IF($E$2=34.5,'S3'!AR174,IF($E$2=35.5,'S3'!AS174))))))))))))))))</f>
        <v>265.07</v>
      </c>
      <c r="F174" s="398">
        <f t="shared" si="8"/>
        <v>371.1</v>
      </c>
    </row>
    <row r="175" spans="2:6">
      <c r="B175" s="411">
        <v>171</v>
      </c>
      <c r="C175" s="376">
        <f>IF($C$2=20.5,'S3'!T175,IF($C$2=21.5,'S3'!V175,IF($C$2=22.5,'S3'!A175,IF($C$2=23.5,'S3'!B175,IF($C$2=24.5,'S3'!C175,IF($C$2=25.5,'S3'!C175,IF($C$2=26.5,'S3'!E175,IF($C$2=27.5,'S3'!F175,IF($C$2=28.5,'S3'!G175,IF($C$2=29.5,'S3'!H175,IF($C$2=30.5,'S3'!I175,IF($C$2=31.5,'S3'!J175,IF($C$2=32.5,'S3'!K175,IF($C$2=33.5,'S3'!L175,IF($C$2=34.5,'S3'!M175,IF($C$2=35.5,'S3'!N175))))))))))))))))</f>
        <v>367.36</v>
      </c>
      <c r="D175" s="398">
        <f t="shared" si="9"/>
        <v>514.29999999999995</v>
      </c>
      <c r="E175" s="376">
        <f>IF($E$2=20.5,'S3'!U175,IF($E$2=21.5,'S3'!AE175,IF($E$2=22.5,'S3'!AF175,IF($E$2=23.5,'S3'!AG175,IF($E$2=24.5,'S3'!AH175,IF($E$2=25.5,'S3'!AI175,IF($E$2=26.5,'S3'!AC175,IF($E$2=27.5,'S3'!AK175,IF($E$2=28.5,'S3'!AL175,IF($E$2=29.5,'S3'!AM175,IF($E$2=30.5,'S3'!AN175,IF($E$2=31.5,'S3'!AO175,IF($E$2=32.5,'S3'!AP175,IF($E$2=33.5,'S3'!AQ175,IF($E$2=34.5,'S3'!AR175,IF($E$2=35.5,'S3'!AS175))))))))))))))))</f>
        <v>266.64</v>
      </c>
      <c r="F175" s="398">
        <f t="shared" si="8"/>
        <v>373.3</v>
      </c>
    </row>
    <row r="176" spans="2:6">
      <c r="B176" s="411">
        <v>172</v>
      </c>
      <c r="C176" s="376">
        <f>IF($C$2=20.5,'S3'!T176,IF($C$2=21.5,'S3'!V176,IF($C$2=22.5,'S3'!A176,IF($C$2=23.5,'S3'!B176,IF($C$2=24.5,'S3'!C176,IF($C$2=25.5,'S3'!C176,IF($C$2=26.5,'S3'!E176,IF($C$2=27.5,'S3'!F176,IF($C$2=28.5,'S3'!G176,IF($C$2=29.5,'S3'!H176,IF($C$2=30.5,'S3'!I176,IF($C$2=31.5,'S3'!J176,IF($C$2=32.5,'S3'!K176,IF($C$2=33.5,'S3'!L176,IF($C$2=34.5,'S3'!M176,IF($C$2=35.5,'S3'!N176))))))))))))))))</f>
        <v>369.54</v>
      </c>
      <c r="D176" s="398">
        <f t="shared" si="9"/>
        <v>517.36</v>
      </c>
      <c r="E176" s="376">
        <f>IF($E$2=20.5,'S3'!U176,IF($E$2=21.5,'S3'!AE176,IF($E$2=22.5,'S3'!AF176,IF($E$2=23.5,'S3'!AG176,IF($E$2=24.5,'S3'!AH176,IF($E$2=25.5,'S3'!AI176,IF($E$2=26.5,'S3'!AC176,IF($E$2=27.5,'S3'!AK176,IF($E$2=28.5,'S3'!AL176,IF($E$2=29.5,'S3'!AM176,IF($E$2=30.5,'S3'!AN176,IF($E$2=31.5,'S3'!AO176,IF($E$2=32.5,'S3'!AP176,IF($E$2=33.5,'S3'!AQ176,IF($E$2=34.5,'S3'!AR176,IF($E$2=35.5,'S3'!AS176))))))))))))))))</f>
        <v>268.20999999999998</v>
      </c>
      <c r="F176" s="398">
        <f t="shared" si="8"/>
        <v>375.49</v>
      </c>
    </row>
    <row r="177" spans="2:6">
      <c r="B177" s="411">
        <v>173</v>
      </c>
      <c r="C177" s="376">
        <f>IF($C$2=20.5,'S3'!T177,IF($C$2=21.5,'S3'!V177,IF($C$2=22.5,'S3'!A177,IF($C$2=23.5,'S3'!B177,IF($C$2=24.5,'S3'!C177,IF($C$2=25.5,'S3'!C177,IF($C$2=26.5,'S3'!E177,IF($C$2=27.5,'S3'!F177,IF($C$2=28.5,'S3'!G177,IF($C$2=29.5,'S3'!H177,IF($C$2=30.5,'S3'!I177,IF($C$2=31.5,'S3'!J177,IF($C$2=32.5,'S3'!K177,IF($C$2=33.5,'S3'!L177,IF($C$2=34.5,'S3'!M177,IF($C$2=35.5,'S3'!N177))))))))))))))))</f>
        <v>371.73</v>
      </c>
      <c r="D177" s="398">
        <f t="shared" si="9"/>
        <v>520.41999999999996</v>
      </c>
      <c r="E177" s="376">
        <f>IF($E$2=20.5,'S3'!U177,IF($E$2=21.5,'S3'!AE177,IF($E$2=22.5,'S3'!AF177,IF($E$2=23.5,'S3'!AG177,IF($E$2=24.5,'S3'!AH177,IF($E$2=25.5,'S3'!AI177,IF($E$2=26.5,'S3'!AC177,IF($E$2=27.5,'S3'!AK177,IF($E$2=28.5,'S3'!AL177,IF($E$2=29.5,'S3'!AM177,IF($E$2=30.5,'S3'!AN177,IF($E$2=31.5,'S3'!AO177,IF($E$2=32.5,'S3'!AP177,IF($E$2=33.5,'S3'!AQ177,IF($E$2=34.5,'S3'!AR177,IF($E$2=35.5,'S3'!AS177))))))))))))))))</f>
        <v>269.64999999999998</v>
      </c>
      <c r="F177" s="398">
        <f t="shared" si="8"/>
        <v>377.51</v>
      </c>
    </row>
    <row r="178" spans="2:6">
      <c r="B178" s="411">
        <v>174</v>
      </c>
      <c r="C178" s="376">
        <f>IF($C$2=20.5,'S3'!T178,IF($C$2=21.5,'S3'!V178,IF($C$2=22.5,'S3'!A178,IF($C$2=23.5,'S3'!B178,IF($C$2=24.5,'S3'!C178,IF($C$2=25.5,'S3'!C178,IF($C$2=26.5,'S3'!E178,IF($C$2=27.5,'S3'!F178,IF($C$2=28.5,'S3'!G178,IF($C$2=29.5,'S3'!H178,IF($C$2=30.5,'S3'!I178,IF($C$2=31.5,'S3'!J178,IF($C$2=32.5,'S3'!K178,IF($C$2=33.5,'S3'!L178,IF($C$2=34.5,'S3'!M178,IF($C$2=35.5,'S3'!N178))))))))))))))))</f>
        <v>373.91</v>
      </c>
      <c r="D178" s="398">
        <f t="shared" si="9"/>
        <v>523.47</v>
      </c>
      <c r="E178" s="376">
        <f>IF($E$2=20.5,'S3'!U178,IF($E$2=21.5,'S3'!AE178,IF($E$2=22.5,'S3'!AF178,IF($E$2=23.5,'S3'!AG178,IF($E$2=24.5,'S3'!AH178,IF($E$2=25.5,'S3'!AI178,IF($E$2=26.5,'S3'!AC178,IF($E$2=27.5,'S3'!AK178,IF($E$2=28.5,'S3'!AL178,IF($E$2=29.5,'S3'!AM178,IF($E$2=30.5,'S3'!AN178,IF($E$2=31.5,'S3'!AO178,IF($E$2=32.5,'S3'!AP178,IF($E$2=33.5,'S3'!AQ178,IF($E$2=34.5,'S3'!AR178,IF($E$2=35.5,'S3'!AS178))))))))))))))))</f>
        <v>271.23</v>
      </c>
      <c r="F178" s="398">
        <f t="shared" si="8"/>
        <v>379.72</v>
      </c>
    </row>
    <row r="179" spans="2:6">
      <c r="B179" s="411">
        <v>175</v>
      </c>
      <c r="C179" s="376">
        <f>IF($C$2=20.5,'S3'!T179,IF($C$2=21.5,'S3'!V179,IF($C$2=22.5,'S3'!A179,IF($C$2=23.5,'S3'!B179,IF($C$2=24.5,'S3'!C179,IF($C$2=25.5,'S3'!C179,IF($C$2=26.5,'S3'!E179,IF($C$2=27.5,'S3'!F179,IF($C$2=28.5,'S3'!G179,IF($C$2=29.5,'S3'!H179,IF($C$2=30.5,'S3'!I179,IF($C$2=31.5,'S3'!J179,IF($C$2=32.5,'S3'!K179,IF($C$2=33.5,'S3'!L179,IF($C$2=34.5,'S3'!M179,IF($C$2=35.5,'S3'!N179))))))))))))))))</f>
        <v>376.11</v>
      </c>
      <c r="D179" s="398">
        <f t="shared" si="9"/>
        <v>526.54999999999995</v>
      </c>
      <c r="E179" s="376">
        <f>IF($E$2=20.5,'S3'!U179,IF($E$2=21.5,'S3'!AE179,IF($E$2=22.5,'S3'!AF179,IF($E$2=23.5,'S3'!AG179,IF($E$2=24.5,'S3'!AH179,IF($E$2=25.5,'S3'!AI179,IF($E$2=26.5,'S3'!AC179,IF($E$2=27.5,'S3'!AK179,IF($E$2=28.5,'S3'!AL179,IF($E$2=29.5,'S3'!AM179,IF($E$2=30.5,'S3'!AN179,IF($E$2=31.5,'S3'!AO179,IF($E$2=32.5,'S3'!AP179,IF($E$2=33.5,'S3'!AQ179,IF($E$2=34.5,'S3'!AR179,IF($E$2=35.5,'S3'!AS179))))))))))))))))</f>
        <v>272.8</v>
      </c>
      <c r="F179" s="398">
        <f t="shared" si="8"/>
        <v>381.92</v>
      </c>
    </row>
    <row r="180" spans="2:6">
      <c r="B180" s="411">
        <v>176</v>
      </c>
      <c r="C180" s="376">
        <f>IF($C$2=20.5,'S3'!T180,IF($C$2=21.5,'S3'!V180,IF($C$2=22.5,'S3'!A180,IF($C$2=23.5,'S3'!B180,IF($C$2=24.5,'S3'!C180,IF($C$2=25.5,'S3'!C180,IF($C$2=26.5,'S3'!E180,IF($C$2=27.5,'S3'!F180,IF($C$2=28.5,'S3'!G180,IF($C$2=29.5,'S3'!H180,IF($C$2=30.5,'S3'!I180,IF($C$2=31.5,'S3'!J180,IF($C$2=32.5,'S3'!K180,IF($C$2=33.5,'S3'!L180,IF($C$2=34.5,'S3'!M180,IF($C$2=35.5,'S3'!N180))))))))))))))))</f>
        <v>378.3</v>
      </c>
      <c r="D180" s="398">
        <f t="shared" si="9"/>
        <v>529.62</v>
      </c>
      <c r="E180" s="376">
        <f>IF($E$2=20.5,'S3'!U180,IF($E$2=21.5,'S3'!AE180,IF($E$2=22.5,'S3'!AF180,IF($E$2=23.5,'S3'!AG180,IF($E$2=24.5,'S3'!AH180,IF($E$2=25.5,'S3'!AI180,IF($E$2=26.5,'S3'!AC180,IF($E$2=27.5,'S3'!AK180,IF($E$2=28.5,'S3'!AL180,IF($E$2=29.5,'S3'!AM180,IF($E$2=30.5,'S3'!AN180,IF($E$2=31.5,'S3'!AO180,IF($E$2=32.5,'S3'!AP180,IF($E$2=33.5,'S3'!AQ180,IF($E$2=34.5,'S3'!AR180,IF($E$2=35.5,'S3'!AS180))))))))))))))))</f>
        <v>274.38</v>
      </c>
      <c r="F180" s="398">
        <f t="shared" si="8"/>
        <v>384.13</v>
      </c>
    </row>
    <row r="181" spans="2:6">
      <c r="B181" s="411">
        <v>177</v>
      </c>
      <c r="C181" s="376">
        <f>IF($C$2=20.5,'S3'!T181,IF($C$2=21.5,'S3'!V181,IF($C$2=22.5,'S3'!A181,IF($C$2=23.5,'S3'!B181,IF($C$2=24.5,'S3'!C181,IF($C$2=25.5,'S3'!C181,IF($C$2=26.5,'S3'!E181,IF($C$2=27.5,'S3'!F181,IF($C$2=28.5,'S3'!G181,IF($C$2=29.5,'S3'!H181,IF($C$2=30.5,'S3'!I181,IF($C$2=31.5,'S3'!J181,IF($C$2=32.5,'S3'!K181,IF($C$2=33.5,'S3'!L181,IF($C$2=34.5,'S3'!M181,IF($C$2=35.5,'S3'!N181))))))))))))))))</f>
        <v>380.51</v>
      </c>
      <c r="D181" s="398">
        <f t="shared" si="9"/>
        <v>532.71</v>
      </c>
      <c r="E181" s="376">
        <f>IF($E$2=20.5,'S3'!U181,IF($E$2=21.5,'S3'!AE181,IF($E$2=22.5,'S3'!AF181,IF($E$2=23.5,'S3'!AG181,IF($E$2=24.5,'S3'!AH181,IF($E$2=25.5,'S3'!AI181,IF($E$2=26.5,'S3'!AC181,IF($E$2=27.5,'S3'!AK181,IF($E$2=28.5,'S3'!AL181,IF($E$2=29.5,'S3'!AM181,IF($E$2=30.5,'S3'!AN181,IF($E$2=31.5,'S3'!AO181,IF($E$2=32.5,'S3'!AP181,IF($E$2=33.5,'S3'!AQ181,IF($E$2=34.5,'S3'!AR181,IF($E$2=35.5,'S3'!AS181))))))))))))))))</f>
        <v>275.95999999999998</v>
      </c>
      <c r="F181" s="398">
        <f t="shared" si="8"/>
        <v>386.34</v>
      </c>
    </row>
    <row r="182" spans="2:6">
      <c r="B182" s="411">
        <v>178</v>
      </c>
      <c r="C182" s="376">
        <f>IF($C$2=20.5,'S3'!T182,IF($C$2=21.5,'S3'!V182,IF($C$2=22.5,'S3'!A182,IF($C$2=23.5,'S3'!B182,IF($C$2=24.5,'S3'!C182,IF($C$2=25.5,'S3'!C182,IF($C$2=26.5,'S3'!E182,IF($C$2=27.5,'S3'!F182,IF($C$2=28.5,'S3'!G182,IF($C$2=29.5,'S3'!H182,IF($C$2=30.5,'S3'!I182,IF($C$2=31.5,'S3'!J182,IF($C$2=32.5,'S3'!K182,IF($C$2=33.5,'S3'!L182,IF($C$2=34.5,'S3'!M182,IF($C$2=35.5,'S3'!N182))))))))))))))))</f>
        <v>382.32</v>
      </c>
      <c r="D182" s="398">
        <f t="shared" si="9"/>
        <v>535.25</v>
      </c>
      <c r="E182" s="376">
        <f>IF($E$2=20.5,'S3'!U182,IF($E$2=21.5,'S3'!AE182,IF($E$2=22.5,'S3'!AF182,IF($E$2=23.5,'S3'!AG182,IF($E$2=24.5,'S3'!AH182,IF($E$2=25.5,'S3'!AI182,IF($E$2=26.5,'S3'!AC182,IF($E$2=27.5,'S3'!AK182,IF($E$2=28.5,'S3'!AL182,IF($E$2=29.5,'S3'!AM182,IF($E$2=30.5,'S3'!AN182,IF($E$2=31.5,'S3'!AO182,IF($E$2=32.5,'S3'!AP182,IF($E$2=33.5,'S3'!AQ182,IF($E$2=34.5,'S3'!AR182,IF($E$2=35.5,'S3'!AS182))))))))))))))))</f>
        <v>277.54000000000002</v>
      </c>
      <c r="F182" s="398">
        <f t="shared" si="8"/>
        <v>388.56</v>
      </c>
    </row>
    <row r="183" spans="2:6">
      <c r="B183" s="411">
        <v>179</v>
      </c>
      <c r="C183" s="376">
        <f>IF($C$2=20.5,'S3'!T183,IF($C$2=21.5,'S3'!V183,IF($C$2=22.5,'S3'!A183,IF($C$2=23.5,'S3'!B183,IF($C$2=24.5,'S3'!C183,IF($C$2=25.5,'S3'!C183,IF($C$2=26.5,'S3'!E183,IF($C$2=27.5,'S3'!F183,IF($C$2=28.5,'S3'!G183,IF($C$2=29.5,'S3'!H183,IF($C$2=30.5,'S3'!I183,IF($C$2=31.5,'S3'!J183,IF($C$2=32.5,'S3'!K183,IF($C$2=33.5,'S3'!L183,IF($C$2=34.5,'S3'!M183,IF($C$2=35.5,'S3'!N183))))))))))))))))</f>
        <v>384.53</v>
      </c>
      <c r="D183" s="398">
        <f t="shared" si="9"/>
        <v>538.34</v>
      </c>
      <c r="E183" s="376">
        <f>IF($E$2=20.5,'S3'!U183,IF($E$2=21.5,'S3'!AE183,IF($E$2=22.5,'S3'!AF183,IF($E$2=23.5,'S3'!AG183,IF($E$2=24.5,'S3'!AH183,IF($E$2=25.5,'S3'!AI183,IF($E$2=26.5,'S3'!AC183,IF($E$2=27.5,'S3'!AK183,IF($E$2=28.5,'S3'!AL183,IF($E$2=29.5,'S3'!AM183,IF($E$2=30.5,'S3'!AN183,IF($E$2=31.5,'S3'!AO183,IF($E$2=32.5,'S3'!AP183,IF($E$2=33.5,'S3'!AQ183,IF($E$2=34.5,'S3'!AR183,IF($E$2=35.5,'S3'!AS183))))))))))))))))</f>
        <v>278.98</v>
      </c>
      <c r="F183" s="398">
        <f t="shared" si="8"/>
        <v>390.57</v>
      </c>
    </row>
    <row r="184" spans="2:6">
      <c r="B184" s="411">
        <v>180</v>
      </c>
      <c r="C184" s="376">
        <f>IF($C$2=20.5,'S3'!T184,IF($C$2=21.5,'S3'!V184,IF($C$2=22.5,'S3'!A184,IF($C$2=23.5,'S3'!B184,IF($C$2=24.5,'S3'!C184,IF($C$2=25.5,'S3'!C184,IF($C$2=26.5,'S3'!E184,IF($C$2=27.5,'S3'!F184,IF($C$2=28.5,'S3'!G184,IF($C$2=29.5,'S3'!H184,IF($C$2=30.5,'S3'!I184,IF($C$2=31.5,'S3'!J184,IF($C$2=32.5,'S3'!K184,IF($C$2=33.5,'S3'!L184,IF($C$2=34.5,'S3'!M184,IF($C$2=35.5,'S3'!N184))))))))))))))))</f>
        <v>386.74</v>
      </c>
      <c r="D184" s="398">
        <f t="shared" si="9"/>
        <v>541.44000000000005</v>
      </c>
      <c r="E184" s="376">
        <f>IF($E$2=20.5,'S3'!U184,IF($E$2=21.5,'S3'!AE184,IF($E$2=22.5,'S3'!AF184,IF($E$2=23.5,'S3'!AG184,IF($E$2=24.5,'S3'!AH184,IF($E$2=25.5,'S3'!AI184,IF($E$2=26.5,'S3'!AC184,IF($E$2=27.5,'S3'!AK184,IF($E$2=28.5,'S3'!AL184,IF($E$2=29.5,'S3'!AM184,IF($E$2=30.5,'S3'!AN184,IF($E$2=31.5,'S3'!AO184,IF($E$2=32.5,'S3'!AP184,IF($E$2=33.5,'S3'!AQ184,IF($E$2=34.5,'S3'!AR184,IF($E$2=35.5,'S3'!AS184))))))))))))))))</f>
        <v>280.57</v>
      </c>
      <c r="F184" s="398">
        <f t="shared" si="8"/>
        <v>392.8</v>
      </c>
    </row>
    <row r="185" spans="2:6">
      <c r="B185" s="411">
        <v>181</v>
      </c>
      <c r="C185" s="376">
        <f>IF($C$2=20.5,'S3'!T185,IF($C$2=21.5,'S3'!V185,IF($C$2=22.5,'S3'!A185,IF($C$2=23.5,'S3'!B185,IF($C$2=24.5,'S3'!C185,IF($C$2=25.5,'S3'!C185,IF($C$2=26.5,'S3'!E185,IF($C$2=27.5,'S3'!F185,IF($C$2=28.5,'S3'!G185,IF($C$2=29.5,'S3'!H185,IF($C$2=30.5,'S3'!I185,IF($C$2=31.5,'S3'!J185,IF($C$2=32.5,'S3'!K185,IF($C$2=33.5,'S3'!L185,IF($C$2=34.5,'S3'!M185,IF($C$2=35.5,'S3'!N185))))))))))))))))</f>
        <v>388.96</v>
      </c>
      <c r="D185" s="398">
        <f t="shared" si="9"/>
        <v>544.54</v>
      </c>
      <c r="E185" s="376">
        <f>IF($E$2=20.5,'S3'!U185,IF($E$2=21.5,'S3'!AE185,IF($E$2=22.5,'S3'!AF185,IF($E$2=23.5,'S3'!AG185,IF($E$2=24.5,'S3'!AH185,IF($E$2=25.5,'S3'!AI185,IF($E$2=26.5,'S3'!AC185,IF($E$2=27.5,'S3'!AK185,IF($E$2=28.5,'S3'!AL185,IF($E$2=29.5,'S3'!AM185,IF($E$2=30.5,'S3'!AN185,IF($E$2=31.5,'S3'!AO185,IF($E$2=32.5,'S3'!AP185,IF($E$2=33.5,'S3'!AQ185,IF($E$2=34.5,'S3'!AR185,IF($E$2=35.5,'S3'!AS185))))))))))))))))</f>
        <v>282.14999999999998</v>
      </c>
      <c r="F185" s="398">
        <f t="shared" si="8"/>
        <v>395.01</v>
      </c>
    </row>
    <row r="186" spans="2:6">
      <c r="B186" s="411">
        <v>182</v>
      </c>
      <c r="C186" s="376">
        <f>IF($C$2=20.5,'S3'!T186,IF($C$2=21.5,'S3'!V186,IF($C$2=22.5,'S3'!A186,IF($C$2=23.5,'S3'!B186,IF($C$2=24.5,'S3'!C186,IF($C$2=25.5,'S3'!C186,IF($C$2=26.5,'S3'!E186,IF($C$2=27.5,'S3'!F186,IF($C$2=28.5,'S3'!G186,IF($C$2=29.5,'S3'!H186,IF($C$2=30.5,'S3'!I186,IF($C$2=31.5,'S3'!J186,IF($C$2=32.5,'S3'!K186,IF($C$2=33.5,'S3'!L186,IF($C$2=34.5,'S3'!M186,IF($C$2=35.5,'S3'!N186))))))))))))))))</f>
        <v>391.18</v>
      </c>
      <c r="D186" s="398">
        <f t="shared" si="9"/>
        <v>547.65</v>
      </c>
      <c r="E186" s="376">
        <f>IF($E$2=20.5,'S3'!U186,IF($E$2=21.5,'S3'!AE186,IF($E$2=22.5,'S3'!AF186,IF($E$2=23.5,'S3'!AG186,IF($E$2=24.5,'S3'!AH186,IF($E$2=25.5,'S3'!AI186,IF($E$2=26.5,'S3'!AC186,IF($E$2=27.5,'S3'!AK186,IF($E$2=28.5,'S3'!AL186,IF($E$2=29.5,'S3'!AM186,IF($E$2=30.5,'S3'!AN186,IF($E$2=31.5,'S3'!AO186,IF($E$2=32.5,'S3'!AP186,IF($E$2=33.5,'S3'!AQ186,IF($E$2=34.5,'S3'!AR186,IF($E$2=35.5,'S3'!AS186))))))))))))))))</f>
        <v>283.74</v>
      </c>
      <c r="F186" s="398">
        <f t="shared" si="8"/>
        <v>397.24</v>
      </c>
    </row>
    <row r="187" spans="2:6">
      <c r="B187" s="411">
        <v>183</v>
      </c>
      <c r="C187" s="376">
        <f>IF($C$2=20.5,'S3'!T187,IF($C$2=21.5,'S3'!V187,IF($C$2=22.5,'S3'!A187,IF($C$2=23.5,'S3'!B187,IF($C$2=24.5,'S3'!C187,IF($C$2=25.5,'S3'!C187,IF($C$2=26.5,'S3'!E187,IF($C$2=27.5,'S3'!F187,IF($C$2=28.5,'S3'!G187,IF($C$2=29.5,'S3'!H187,IF($C$2=30.5,'S3'!I187,IF($C$2=31.5,'S3'!J187,IF($C$2=32.5,'S3'!K187,IF($C$2=33.5,'S3'!L187,IF($C$2=34.5,'S3'!M187,IF($C$2=35.5,'S3'!N187))))))))))))))))</f>
        <v>393.41</v>
      </c>
      <c r="D187" s="398">
        <f t="shared" si="9"/>
        <v>550.77</v>
      </c>
      <c r="E187" s="376">
        <f>IF($E$2=20.5,'S3'!U187,IF($E$2=21.5,'S3'!AE187,IF($E$2=22.5,'S3'!AF187,IF($E$2=23.5,'S3'!AG187,IF($E$2=24.5,'S3'!AH187,IF($E$2=25.5,'S3'!AI187,IF($E$2=26.5,'S3'!AC187,IF($E$2=27.5,'S3'!AK187,IF($E$2=28.5,'S3'!AL187,IF($E$2=29.5,'S3'!AM187,IF($E$2=30.5,'S3'!AN187,IF($E$2=31.5,'S3'!AO187,IF($E$2=32.5,'S3'!AP187,IF($E$2=33.5,'S3'!AQ187,IF($E$2=34.5,'S3'!AR187,IF($E$2=35.5,'S3'!AS187))))))))))))))))</f>
        <v>285.33</v>
      </c>
      <c r="F187" s="398">
        <f t="shared" si="8"/>
        <v>399.46</v>
      </c>
    </row>
    <row r="188" spans="2:6">
      <c r="B188" s="411">
        <v>184</v>
      </c>
      <c r="C188" s="376">
        <f>IF($C$2=20.5,'S3'!T188,IF($C$2=21.5,'S3'!V188,IF($C$2=22.5,'S3'!A188,IF($C$2=23.5,'S3'!B188,IF($C$2=24.5,'S3'!C188,IF($C$2=25.5,'S3'!C188,IF($C$2=26.5,'S3'!E188,IF($C$2=27.5,'S3'!F188,IF($C$2=28.5,'S3'!G188,IF($C$2=29.5,'S3'!H188,IF($C$2=30.5,'S3'!I188,IF($C$2=31.5,'S3'!J188,IF($C$2=32.5,'S3'!K188,IF($C$2=33.5,'S3'!L188,IF($C$2=34.5,'S3'!M188,IF($C$2=35.5,'S3'!N188))))))))))))))))</f>
        <v>395.22</v>
      </c>
      <c r="D188" s="398">
        <f t="shared" si="9"/>
        <v>553.30999999999995</v>
      </c>
      <c r="E188" s="376">
        <f>IF($E$2=20.5,'S3'!U188,IF($E$2=21.5,'S3'!AE188,IF($E$2=22.5,'S3'!AF188,IF($E$2=23.5,'S3'!AG188,IF($E$2=24.5,'S3'!AH188,IF($E$2=25.5,'S3'!AI188,IF($E$2=26.5,'S3'!AC188,IF($E$2=27.5,'S3'!AK188,IF($E$2=28.5,'S3'!AL188,IF($E$2=29.5,'S3'!AM188,IF($E$2=30.5,'S3'!AN188,IF($E$2=31.5,'S3'!AO188,IF($E$2=32.5,'S3'!AP188,IF($E$2=33.5,'S3'!AQ188,IF($E$2=34.5,'S3'!AR188,IF($E$2=35.5,'S3'!AS188))))))))))))))))</f>
        <v>286.77</v>
      </c>
      <c r="F188" s="398">
        <f t="shared" si="8"/>
        <v>401.48</v>
      </c>
    </row>
    <row r="189" spans="2:6">
      <c r="B189" s="411">
        <v>185</v>
      </c>
      <c r="C189" s="376">
        <f>IF($C$2=20.5,'S3'!T189,IF($C$2=21.5,'S3'!V189,IF($C$2=22.5,'S3'!A189,IF($C$2=23.5,'S3'!B189,IF($C$2=24.5,'S3'!C189,IF($C$2=25.5,'S3'!C189,IF($C$2=26.5,'S3'!E189,IF($C$2=27.5,'S3'!F189,IF($C$2=28.5,'S3'!G189,IF($C$2=29.5,'S3'!H189,IF($C$2=30.5,'S3'!I189,IF($C$2=31.5,'S3'!J189,IF($C$2=32.5,'S3'!K189,IF($C$2=33.5,'S3'!L189,IF($C$2=34.5,'S3'!M189,IF($C$2=35.5,'S3'!N189))))))))))))))))</f>
        <v>397.46</v>
      </c>
      <c r="D189" s="398">
        <f t="shared" si="9"/>
        <v>556.44000000000005</v>
      </c>
      <c r="E189" s="376">
        <f>IF($E$2=20.5,'S3'!U189,IF($E$2=21.5,'S3'!AE189,IF($E$2=22.5,'S3'!AF189,IF($E$2=23.5,'S3'!AG189,IF($E$2=24.5,'S3'!AH189,IF($E$2=25.5,'S3'!AI189,IF($E$2=26.5,'S3'!AC189,IF($E$2=27.5,'S3'!AK189,IF($E$2=28.5,'S3'!AL189,IF($E$2=29.5,'S3'!AM189,IF($E$2=30.5,'S3'!AN189,IF($E$2=31.5,'S3'!AO189,IF($E$2=32.5,'S3'!AP189,IF($E$2=33.5,'S3'!AQ189,IF($E$2=34.5,'S3'!AR189,IF($E$2=35.5,'S3'!AS189))))))))))))))))</f>
        <v>288.36</v>
      </c>
      <c r="F189" s="398">
        <f t="shared" si="8"/>
        <v>403.7</v>
      </c>
    </row>
    <row r="190" spans="2:6">
      <c r="B190" s="411">
        <v>186</v>
      </c>
      <c r="C190" s="376">
        <f>IF($C$2=20.5,'S3'!T190,IF($C$2=21.5,'S3'!V190,IF($C$2=22.5,'S3'!A190,IF($C$2=23.5,'S3'!B190,IF($C$2=24.5,'S3'!C190,IF($C$2=25.5,'S3'!C190,IF($C$2=26.5,'S3'!E190,IF($C$2=27.5,'S3'!F190,IF($C$2=28.5,'S3'!G190,IF($C$2=29.5,'S3'!H190,IF($C$2=30.5,'S3'!I190,IF($C$2=31.5,'S3'!J190,IF($C$2=32.5,'S3'!K190,IF($C$2=33.5,'S3'!L190,IF($C$2=34.5,'S3'!M190,IF($C$2=35.5,'S3'!N190))))))))))))))))</f>
        <v>399.7</v>
      </c>
      <c r="D190" s="398">
        <f t="shared" si="9"/>
        <v>559.58000000000004</v>
      </c>
      <c r="E190" s="376">
        <f>IF($E$2=20.5,'S3'!U190,IF($E$2=21.5,'S3'!AE190,IF($E$2=22.5,'S3'!AF190,IF($E$2=23.5,'S3'!AG190,IF($E$2=24.5,'S3'!AH190,IF($E$2=25.5,'S3'!AI190,IF($E$2=26.5,'S3'!AC190,IF($E$2=27.5,'S3'!AK190,IF($E$2=28.5,'S3'!AL190,IF($E$2=29.5,'S3'!AM190,IF($E$2=30.5,'S3'!AN190,IF($E$2=31.5,'S3'!AO190,IF($E$2=32.5,'S3'!AP190,IF($E$2=33.5,'S3'!AQ190,IF($E$2=34.5,'S3'!AR190,IF($E$2=35.5,'S3'!AS190))))))))))))))))</f>
        <v>289.95</v>
      </c>
      <c r="F190" s="398">
        <f t="shared" si="8"/>
        <v>405.93</v>
      </c>
    </row>
    <row r="191" spans="2:6">
      <c r="B191" s="411">
        <v>187</v>
      </c>
      <c r="C191" s="376">
        <f>IF($C$2=20.5,'S3'!T191,IF($C$2=21.5,'S3'!V191,IF($C$2=22.5,'S3'!A191,IF($C$2=23.5,'S3'!B191,IF($C$2=24.5,'S3'!C191,IF($C$2=25.5,'S3'!C191,IF($C$2=26.5,'S3'!E191,IF($C$2=27.5,'S3'!F191,IF($C$2=28.5,'S3'!G191,IF($C$2=29.5,'S3'!H191,IF($C$2=30.5,'S3'!I191,IF($C$2=31.5,'S3'!J191,IF($C$2=32.5,'S3'!K191,IF($C$2=33.5,'S3'!L191,IF($C$2=34.5,'S3'!M191,IF($C$2=35.5,'S3'!N191))))))))))))))))</f>
        <v>401.95</v>
      </c>
      <c r="D191" s="398">
        <f t="shared" si="9"/>
        <v>562.73</v>
      </c>
      <c r="E191" s="376">
        <f>IF($E$2=20.5,'S3'!U191,IF($E$2=21.5,'S3'!AE191,IF($E$2=22.5,'S3'!AF191,IF($E$2=23.5,'S3'!AG191,IF($E$2=24.5,'S3'!AH191,IF($E$2=25.5,'S3'!AI191,IF($E$2=26.5,'S3'!AC191,IF($E$2=27.5,'S3'!AK191,IF($E$2=28.5,'S3'!AL191,IF($E$2=29.5,'S3'!AM191,IF($E$2=30.5,'S3'!AN191,IF($E$2=31.5,'S3'!AO191,IF($E$2=32.5,'S3'!AP191,IF($E$2=33.5,'S3'!AQ191,IF($E$2=34.5,'S3'!AR191,IF($E$2=35.5,'S3'!AS191))))))))))))))))</f>
        <v>291.55</v>
      </c>
      <c r="F191" s="398">
        <f t="shared" si="8"/>
        <v>408.17</v>
      </c>
    </row>
    <row r="192" spans="2:6">
      <c r="B192" s="411">
        <v>188</v>
      </c>
      <c r="C192" s="376">
        <f>IF($C$2=20.5,'S3'!T192,IF($C$2=21.5,'S3'!V192,IF($C$2=22.5,'S3'!A192,IF($C$2=23.5,'S3'!B192,IF($C$2=24.5,'S3'!C192,IF($C$2=25.5,'S3'!C192,IF($C$2=26.5,'S3'!E192,IF($C$2=27.5,'S3'!F192,IF($C$2=28.5,'S3'!G192,IF($C$2=29.5,'S3'!H192,IF($C$2=30.5,'S3'!I192,IF($C$2=31.5,'S3'!J192,IF($C$2=32.5,'S3'!K192,IF($C$2=33.5,'S3'!L192,IF($C$2=34.5,'S3'!M192,IF($C$2=35.5,'S3'!N192))))))))))))))))</f>
        <v>403.76</v>
      </c>
      <c r="D192" s="398">
        <f t="shared" si="9"/>
        <v>565.26</v>
      </c>
      <c r="E192" s="376">
        <f>IF($E$2=20.5,'S3'!U192,IF($E$2=21.5,'S3'!AE192,IF($E$2=22.5,'S3'!AF192,IF($E$2=23.5,'S3'!AG192,IF($E$2=24.5,'S3'!AH192,IF($E$2=25.5,'S3'!AI192,IF($E$2=26.5,'S3'!AC192,IF($E$2=27.5,'S3'!AK192,IF($E$2=28.5,'S3'!AL192,IF($E$2=29.5,'S3'!AM192,IF($E$2=30.5,'S3'!AN192,IF($E$2=31.5,'S3'!AO192,IF($E$2=32.5,'S3'!AP192,IF($E$2=33.5,'S3'!AQ192,IF($E$2=34.5,'S3'!AR192,IF($E$2=35.5,'S3'!AS192))))))))))))))))</f>
        <v>292.99</v>
      </c>
      <c r="F192" s="398">
        <f t="shared" si="8"/>
        <v>410.19</v>
      </c>
    </row>
    <row r="193" spans="2:6">
      <c r="B193" s="411">
        <v>189</v>
      </c>
      <c r="C193" s="376">
        <f>IF($C$2=20.5,'S3'!T193,IF($C$2=21.5,'S3'!V193,IF($C$2=22.5,'S3'!A193,IF($C$2=23.5,'S3'!B193,IF($C$2=24.5,'S3'!C193,IF($C$2=25.5,'S3'!C193,IF($C$2=26.5,'S3'!E193,IF($C$2=27.5,'S3'!F193,IF($C$2=28.5,'S3'!G193,IF($C$2=29.5,'S3'!H193,IF($C$2=30.5,'S3'!I193,IF($C$2=31.5,'S3'!J193,IF($C$2=32.5,'S3'!K193,IF($C$2=33.5,'S3'!L193,IF($C$2=34.5,'S3'!M193,IF($C$2=35.5,'S3'!N193))))))))))))))))</f>
        <v>406.01</v>
      </c>
      <c r="D193" s="398">
        <f t="shared" si="9"/>
        <v>568.41</v>
      </c>
      <c r="E193" s="376">
        <f>IF($E$2=20.5,'S3'!U193,IF($E$2=21.5,'S3'!AE193,IF($E$2=22.5,'S3'!AF193,IF($E$2=23.5,'S3'!AG193,IF($E$2=24.5,'S3'!AH193,IF($E$2=25.5,'S3'!AI193,IF($E$2=26.5,'S3'!AC193,IF($E$2=27.5,'S3'!AK193,IF($E$2=28.5,'S3'!AL193,IF($E$2=29.5,'S3'!AM193,IF($E$2=30.5,'S3'!AN193,IF($E$2=31.5,'S3'!AO193,IF($E$2=32.5,'S3'!AP193,IF($E$2=33.5,'S3'!AQ193,IF($E$2=34.5,'S3'!AR193,IF($E$2=35.5,'S3'!AS193))))))))))))))))</f>
        <v>294.58999999999997</v>
      </c>
      <c r="F193" s="398">
        <f t="shared" si="8"/>
        <v>412.43</v>
      </c>
    </row>
    <row r="194" spans="2:6">
      <c r="B194" s="411">
        <v>190</v>
      </c>
      <c r="C194" s="376">
        <f>IF($C$2=20.5,'S3'!T194,IF($C$2=21.5,'S3'!V194,IF($C$2=22.5,'S3'!A194,IF($C$2=23.5,'S3'!B194,IF($C$2=24.5,'S3'!C194,IF($C$2=25.5,'S3'!C194,IF($C$2=26.5,'S3'!E194,IF($C$2=27.5,'S3'!F194,IF($C$2=28.5,'S3'!G194,IF($C$2=29.5,'S3'!H194,IF($C$2=30.5,'S3'!I194,IF($C$2=31.5,'S3'!J194,IF($C$2=32.5,'S3'!K194,IF($C$2=33.5,'S3'!L194,IF($C$2=34.5,'S3'!M194,IF($C$2=35.5,'S3'!N194))))))))))))))))</f>
        <v>408.27</v>
      </c>
      <c r="D194" s="398">
        <f t="shared" si="9"/>
        <v>571.58000000000004</v>
      </c>
      <c r="E194" s="376">
        <f>IF($E$2=20.5,'S3'!U194,IF($E$2=21.5,'S3'!AE194,IF($E$2=22.5,'S3'!AF194,IF($E$2=23.5,'S3'!AG194,IF($E$2=24.5,'S3'!AH194,IF($E$2=25.5,'S3'!AI194,IF($E$2=26.5,'S3'!AC194,IF($E$2=27.5,'S3'!AK194,IF($E$2=28.5,'S3'!AL194,IF($E$2=29.5,'S3'!AM194,IF($E$2=30.5,'S3'!AN194,IF($E$2=31.5,'S3'!AO194,IF($E$2=32.5,'S3'!AP194,IF($E$2=33.5,'S3'!AQ194,IF($E$2=34.5,'S3'!AR194,IF($E$2=35.5,'S3'!AS194))))))))))))))))</f>
        <v>296.19</v>
      </c>
      <c r="F194" s="398">
        <f t="shared" si="8"/>
        <v>414.67</v>
      </c>
    </row>
    <row r="195" spans="2:6">
      <c r="B195" s="411">
        <v>191</v>
      </c>
      <c r="C195" s="376">
        <f>IF($C$2=20.5,'S3'!T195,IF($C$2=21.5,'S3'!V195,IF($C$2=22.5,'S3'!A195,IF($C$2=23.5,'S3'!B195,IF($C$2=24.5,'S3'!C195,IF($C$2=25.5,'S3'!C195,IF($C$2=26.5,'S3'!E195,IF($C$2=27.5,'S3'!F195,IF($C$2=28.5,'S3'!G195,IF($C$2=29.5,'S3'!H195,IF($C$2=30.5,'S3'!I195,IF($C$2=31.5,'S3'!J195,IF($C$2=32.5,'S3'!K195,IF($C$2=33.5,'S3'!L195,IF($C$2=34.5,'S3'!M195,IF($C$2=35.5,'S3'!N195))))))))))))))))</f>
        <v>410.54</v>
      </c>
      <c r="D195" s="398">
        <f t="shared" si="9"/>
        <v>574.76</v>
      </c>
      <c r="E195" s="376">
        <f>IF($E$2=20.5,'S3'!U195,IF($E$2=21.5,'S3'!AE195,IF($E$2=22.5,'S3'!AF195,IF($E$2=23.5,'S3'!AG195,IF($E$2=24.5,'S3'!AH195,IF($E$2=25.5,'S3'!AI195,IF($E$2=26.5,'S3'!AC195,IF($E$2=27.5,'S3'!AK195,IF($E$2=28.5,'S3'!AL195,IF($E$2=29.5,'S3'!AM195,IF($E$2=30.5,'S3'!AN195,IF($E$2=31.5,'S3'!AO195,IF($E$2=32.5,'S3'!AP195,IF($E$2=33.5,'S3'!AQ195,IF($E$2=34.5,'S3'!AR195,IF($E$2=35.5,'S3'!AS195))))))))))))))))</f>
        <v>297.79000000000002</v>
      </c>
      <c r="F195" s="398">
        <f t="shared" si="8"/>
        <v>416.91</v>
      </c>
    </row>
    <row r="196" spans="2:6">
      <c r="B196" s="411">
        <v>192</v>
      </c>
      <c r="C196" s="376">
        <f>IF($C$2=20.5,'S3'!T196,IF($C$2=21.5,'S3'!V196,IF($C$2=22.5,'S3'!A196,IF($C$2=23.5,'S3'!B196,IF($C$2=24.5,'S3'!C196,IF($C$2=25.5,'S3'!C196,IF($C$2=26.5,'S3'!E196,IF($C$2=27.5,'S3'!F196,IF($C$2=28.5,'S3'!G196,IF($C$2=29.5,'S3'!H196,IF($C$2=30.5,'S3'!I196,IF($C$2=31.5,'S3'!J196,IF($C$2=32.5,'S3'!K196,IF($C$2=33.5,'S3'!L196,IF($C$2=34.5,'S3'!M196,IF($C$2=35.5,'S3'!N196))))))))))))))))</f>
        <v>412.35</v>
      </c>
      <c r="D196" s="398">
        <f t="shared" si="9"/>
        <v>577.29</v>
      </c>
      <c r="E196" s="376">
        <f>IF($E$2=20.5,'S3'!U196,IF($E$2=21.5,'S3'!AE196,IF($E$2=22.5,'S3'!AF196,IF($E$2=23.5,'S3'!AG196,IF($E$2=24.5,'S3'!AH196,IF($E$2=25.5,'S3'!AI196,IF($E$2=26.5,'S3'!AC196,IF($E$2=27.5,'S3'!AK196,IF($E$2=28.5,'S3'!AL196,IF($E$2=29.5,'S3'!AM196,IF($E$2=30.5,'S3'!AN196,IF($E$2=31.5,'S3'!AO196,IF($E$2=32.5,'S3'!AP196,IF($E$2=33.5,'S3'!AQ196,IF($E$2=34.5,'S3'!AR196,IF($E$2=35.5,'S3'!AS196))))))))))))))))</f>
        <v>299.23</v>
      </c>
      <c r="F196" s="398">
        <f t="shared" si="8"/>
        <v>418.92</v>
      </c>
    </row>
    <row r="197" spans="2:6">
      <c r="B197" s="411">
        <v>193</v>
      </c>
      <c r="C197" s="376">
        <f>IF($C$2=20.5,'S3'!T197,IF($C$2=21.5,'S3'!V197,IF($C$2=22.5,'S3'!A197,IF($C$2=23.5,'S3'!B197,IF($C$2=24.5,'S3'!C197,IF($C$2=25.5,'S3'!C197,IF($C$2=26.5,'S3'!E197,IF($C$2=27.5,'S3'!F197,IF($C$2=28.5,'S3'!G197,IF($C$2=29.5,'S3'!H197,IF($C$2=30.5,'S3'!I197,IF($C$2=31.5,'S3'!J197,IF($C$2=32.5,'S3'!K197,IF($C$2=33.5,'S3'!L197,IF($C$2=34.5,'S3'!M197,IF($C$2=35.5,'S3'!N197))))))))))))))))</f>
        <v>414.62</v>
      </c>
      <c r="D197" s="398">
        <f t="shared" si="9"/>
        <v>580.47</v>
      </c>
      <c r="E197" s="376">
        <f>IF($E$2=20.5,'S3'!U197,IF($E$2=21.5,'S3'!AE197,IF($E$2=22.5,'S3'!AF197,IF($E$2=23.5,'S3'!AG197,IF($E$2=24.5,'S3'!AH197,IF($E$2=25.5,'S3'!AI197,IF($E$2=26.5,'S3'!AC197,IF($E$2=27.5,'S3'!AK197,IF($E$2=28.5,'S3'!AL197,IF($E$2=29.5,'S3'!AM197,IF($E$2=30.5,'S3'!AN197,IF($E$2=31.5,'S3'!AO197,IF($E$2=32.5,'S3'!AP197,IF($E$2=33.5,'S3'!AQ197,IF($E$2=34.5,'S3'!AR197,IF($E$2=35.5,'S3'!AS197))))))))))))))))</f>
        <v>300.83</v>
      </c>
      <c r="F197" s="398">
        <f t="shared" si="8"/>
        <v>421.16</v>
      </c>
    </row>
    <row r="198" spans="2:6">
      <c r="B198" s="411">
        <v>194</v>
      </c>
      <c r="C198" s="376">
        <f>IF($C$2=20.5,'S3'!T198,IF($C$2=21.5,'S3'!V198,IF($C$2=22.5,'S3'!A198,IF($C$2=23.5,'S3'!B198,IF($C$2=24.5,'S3'!C198,IF($C$2=25.5,'S3'!C198,IF($C$2=26.5,'S3'!E198,IF($C$2=27.5,'S3'!F198,IF($C$2=28.5,'S3'!G198,IF($C$2=29.5,'S3'!H198,IF($C$2=30.5,'S3'!I198,IF($C$2=31.5,'S3'!J198,IF($C$2=32.5,'S3'!K198,IF($C$2=33.5,'S3'!L198,IF($C$2=34.5,'S3'!M198,IF($C$2=35.5,'S3'!N198))))))))))))))))</f>
        <v>416.9</v>
      </c>
      <c r="D198" s="398">
        <f t="shared" si="9"/>
        <v>583.66</v>
      </c>
      <c r="E198" s="376">
        <f>IF($E$2=20.5,'S3'!U198,IF($E$2=21.5,'S3'!AE198,IF($E$2=22.5,'S3'!AF198,IF($E$2=23.5,'S3'!AG198,IF($E$2=24.5,'S3'!AH198,IF($E$2=25.5,'S3'!AI198,IF($E$2=26.5,'S3'!AC198,IF($E$2=27.5,'S3'!AK198,IF($E$2=28.5,'S3'!AL198,IF($E$2=29.5,'S3'!AM198,IF($E$2=30.5,'S3'!AN198,IF($E$2=31.5,'S3'!AO198,IF($E$2=32.5,'S3'!AP198,IF($E$2=33.5,'S3'!AQ198,IF($E$2=34.5,'S3'!AR198,IF($E$2=35.5,'S3'!AS198))))))))))))))))</f>
        <v>302.44</v>
      </c>
      <c r="F198" s="398">
        <f t="shared" ref="F198:F204" si="10">ROUND(E198*1.4,2)</f>
        <v>423.42</v>
      </c>
    </row>
    <row r="199" spans="2:6">
      <c r="B199" s="411">
        <v>195</v>
      </c>
      <c r="C199" s="376">
        <f>IF($C$2=20.5,'S3'!T199,IF($C$2=21.5,'S3'!V199,IF($C$2=22.5,'S3'!A199,IF($C$2=23.5,'S3'!B199,IF($C$2=24.5,'S3'!C199,IF($C$2=25.5,'S3'!C199,IF($C$2=26.5,'S3'!E199,IF($C$2=27.5,'S3'!F199,IF($C$2=28.5,'S3'!G199,IF($C$2=29.5,'S3'!H199,IF($C$2=30.5,'S3'!I199,IF($C$2=31.5,'S3'!J199,IF($C$2=32.5,'S3'!K199,IF($C$2=33.5,'S3'!L199,IF($C$2=34.5,'S3'!M199,IF($C$2=35.5,'S3'!N199))))))))))))))))</f>
        <v>419.19</v>
      </c>
      <c r="D199" s="398">
        <f t="shared" ref="D199:D204" si="11">ROUND(C199*1.4,2)</f>
        <v>586.87</v>
      </c>
      <c r="E199" s="376">
        <f>IF($E$2=20.5,'S3'!U199,IF($E$2=21.5,'S3'!AE199,IF($E$2=22.5,'S3'!AF199,IF($E$2=23.5,'S3'!AG199,IF($E$2=24.5,'S3'!AH199,IF($E$2=25.5,'S3'!AI199,IF($E$2=26.5,'S3'!AC199,IF($E$2=27.5,'S3'!AK199,IF($E$2=28.5,'S3'!AL199,IF($E$2=29.5,'S3'!AM199,IF($E$2=30.5,'S3'!AN199,IF($E$2=31.5,'S3'!AO199,IF($E$2=32.5,'S3'!AP199,IF($E$2=33.5,'S3'!AQ199,IF($E$2=34.5,'S3'!AR199,IF($E$2=35.5,'S3'!AS199))))))))))))))))</f>
        <v>303.88</v>
      </c>
      <c r="F199" s="398">
        <f t="shared" si="10"/>
        <v>425.43</v>
      </c>
    </row>
    <row r="200" spans="2:6">
      <c r="B200" s="411">
        <v>196</v>
      </c>
      <c r="C200" s="376">
        <f>IF($C$2=20.5,'S3'!T200,IF($C$2=21.5,'S3'!V200,IF($C$2=22.5,'S3'!A200,IF($C$2=23.5,'S3'!B200,IF($C$2=24.5,'S3'!C200,IF($C$2=25.5,'S3'!C200,IF($C$2=26.5,'S3'!E200,IF($C$2=27.5,'S3'!F200,IF($C$2=28.5,'S3'!G200,IF($C$2=29.5,'S3'!H200,IF($C$2=30.5,'S3'!I200,IF($C$2=31.5,'S3'!J200,IF($C$2=32.5,'S3'!K200,IF($C$2=33.5,'S3'!L200,IF($C$2=34.5,'S3'!M200,IF($C$2=35.5,'S3'!N200))))))))))))))))</f>
        <v>421</v>
      </c>
      <c r="D200" s="398">
        <f t="shared" si="11"/>
        <v>589.4</v>
      </c>
      <c r="E200" s="376">
        <f>IF($E$2=20.5,'S3'!U200,IF($E$2=21.5,'S3'!AE200,IF($E$2=22.5,'S3'!AF200,IF($E$2=23.5,'S3'!AG200,IF($E$2=24.5,'S3'!AH200,IF($E$2=25.5,'S3'!AI200,IF($E$2=26.5,'S3'!AC200,IF($E$2=27.5,'S3'!AK200,IF($E$2=28.5,'S3'!AL200,IF($E$2=29.5,'S3'!AM200,IF($E$2=30.5,'S3'!AN200,IF($E$2=31.5,'S3'!AO200,IF($E$2=32.5,'S3'!AP200,IF($E$2=33.5,'S3'!AQ200,IF($E$2=34.5,'S3'!AR200,IF($E$2=35.5,'S3'!AS200))))))))))))))))</f>
        <v>305.49</v>
      </c>
      <c r="F200" s="398">
        <f t="shared" si="10"/>
        <v>427.69</v>
      </c>
    </row>
    <row r="201" spans="2:6">
      <c r="B201" s="411">
        <v>197</v>
      </c>
      <c r="C201" s="376">
        <f>IF($C$2=20.5,'S3'!T201,IF($C$2=21.5,'S3'!V201,IF($C$2=22.5,'S3'!A201,IF($C$2=23.5,'S3'!B201,IF($C$2=24.5,'S3'!C201,IF($C$2=25.5,'S3'!C201,IF($C$2=26.5,'S3'!E201,IF($C$2=27.5,'S3'!F201,IF($C$2=28.5,'S3'!G201,IF($C$2=29.5,'S3'!H201,IF($C$2=30.5,'S3'!I201,IF($C$2=31.5,'S3'!J201,IF($C$2=32.5,'S3'!K201,IF($C$2=33.5,'S3'!L201,IF($C$2=34.5,'S3'!M201,IF($C$2=35.5,'S3'!N201))))))))))))))))</f>
        <v>423.29</v>
      </c>
      <c r="D201" s="398">
        <f t="shared" si="11"/>
        <v>592.61</v>
      </c>
      <c r="E201" s="376">
        <f>IF($E$2=20.5,'S3'!U201,IF($E$2=21.5,'S3'!AE201,IF($E$2=22.5,'S3'!AF201,IF($E$2=23.5,'S3'!AG201,IF($E$2=24.5,'S3'!AH201,IF($E$2=25.5,'S3'!AI201,IF($E$2=26.5,'S3'!AC201,IF($E$2=27.5,'S3'!AK201,IF($E$2=28.5,'S3'!AL201,IF($E$2=29.5,'S3'!AM201,IF($E$2=30.5,'S3'!AN201,IF($E$2=31.5,'S3'!AO201,IF($E$2=32.5,'S3'!AP201,IF($E$2=33.5,'S3'!AQ201,IF($E$2=34.5,'S3'!AR201,IF($E$2=35.5,'S3'!AS201))))))))))))))))</f>
        <v>307.10000000000002</v>
      </c>
      <c r="F201" s="398">
        <f t="shared" si="10"/>
        <v>429.94</v>
      </c>
    </row>
    <row r="202" spans="2:6">
      <c r="B202" s="411">
        <v>198</v>
      </c>
      <c r="C202" s="376">
        <f>IF($C$2=20.5,'S3'!T202,IF($C$2=21.5,'S3'!V202,IF($C$2=22.5,'S3'!A202,IF($C$2=23.5,'S3'!B202,IF($C$2=24.5,'S3'!C202,IF($C$2=25.5,'S3'!C202,IF($C$2=26.5,'S3'!E202,IF($C$2=27.5,'S3'!F202,IF($C$2=28.5,'S3'!G202,IF($C$2=29.5,'S3'!H202,IF($C$2=30.5,'S3'!I202,IF($C$2=31.5,'S3'!J202,IF($C$2=32.5,'S3'!K202,IF($C$2=33.5,'S3'!L202,IF($C$2=34.5,'S3'!M202,IF($C$2=35.5,'S3'!N202))))))))))))))))</f>
        <v>425.59</v>
      </c>
      <c r="D202" s="398">
        <f t="shared" si="11"/>
        <v>595.83000000000004</v>
      </c>
      <c r="E202" s="376">
        <f>IF($E$2=20.5,'S3'!U202,IF($E$2=21.5,'S3'!AE202,IF($E$2=22.5,'S3'!AF202,IF($E$2=23.5,'S3'!AG202,IF($E$2=24.5,'S3'!AH202,IF($E$2=25.5,'S3'!AI202,IF($E$2=26.5,'S3'!AC202,IF($E$2=27.5,'S3'!AK202,IF($E$2=28.5,'S3'!AL202,IF($E$2=29.5,'S3'!AM202,IF($E$2=30.5,'S3'!AN202,IF($E$2=31.5,'S3'!AO202,IF($E$2=32.5,'S3'!AP202,IF($E$2=33.5,'S3'!AQ202,IF($E$2=34.5,'S3'!AR202,IF($E$2=35.5,'S3'!AS202))))))))))))))))</f>
        <v>308.54000000000002</v>
      </c>
      <c r="F202" s="398">
        <f t="shared" si="10"/>
        <v>431.96</v>
      </c>
    </row>
    <row r="203" spans="2:6">
      <c r="B203" s="411">
        <v>199</v>
      </c>
      <c r="C203" s="376">
        <f>IF($C$2=20.5,'S3'!T203,IF($C$2=21.5,'S3'!V203,IF($C$2=22.5,'S3'!A203,IF($C$2=23.5,'S3'!B203,IF($C$2=24.5,'S3'!C203,IF($C$2=25.5,'S3'!C203,IF($C$2=26.5,'S3'!E203,IF($C$2=27.5,'S3'!F203,IF($C$2=28.5,'S3'!G203,IF($C$2=29.5,'S3'!H203,IF($C$2=30.5,'S3'!I203,IF($C$2=31.5,'S3'!J203,IF($C$2=32.5,'S3'!K203,IF($C$2=33.5,'S3'!L203,IF($C$2=34.5,'S3'!M203,IF($C$2=35.5,'S3'!N203))))))))))))))))</f>
        <v>427.4</v>
      </c>
      <c r="D203" s="398">
        <f t="shared" si="11"/>
        <v>598.36</v>
      </c>
      <c r="E203" s="376">
        <f>IF($E$2=20.5,'S3'!U203,IF($E$2=21.5,'S3'!AE203,IF($E$2=22.5,'S3'!AF203,IF($E$2=23.5,'S3'!AG203,IF($E$2=24.5,'S3'!AH203,IF($E$2=25.5,'S3'!AI203,IF($E$2=26.5,'S3'!AC203,IF($E$2=27.5,'S3'!AK203,IF($E$2=28.5,'S3'!AL203,IF($E$2=29.5,'S3'!AM203,IF($E$2=30.5,'S3'!AN203,IF($E$2=31.5,'S3'!AO203,IF($E$2=32.5,'S3'!AP203,IF($E$2=33.5,'S3'!AQ203,IF($E$2=34.5,'S3'!AR203,IF($E$2=35.5,'S3'!AS203))))))))))))))))</f>
        <v>310.16000000000003</v>
      </c>
      <c r="F203" s="398">
        <f t="shared" si="10"/>
        <v>434.22</v>
      </c>
    </row>
    <row r="204" spans="2:6">
      <c r="B204" s="449">
        <v>200</v>
      </c>
      <c r="C204" s="664">
        <f>IF($C$2=20.5,'S3'!T204,IF($C$2=21.5,'S3'!V204,IF($C$2=22.5,'S3'!A204,IF($C$2=23.5,'S3'!B204,IF($C$2=24.5,'S3'!C204,IF($C$2=25.5,'S3'!C204,IF($C$2=26.5,'S3'!E204,IF($C$2=27.5,'S3'!F204,IF($C$2=28.5,'S3'!G204,IF($C$2=29.5,'S3'!H204,IF($C$2=30.5,'S3'!I204,IF($C$2=31.5,'S3'!J204,IF($C$2=32.5,'S3'!K204,IF($C$2=33.5,'S3'!L204,IF($C$2=34.5,'S3'!M204,IF($C$2=35.5,'S3'!N204))))))))))))))))</f>
        <v>429.71</v>
      </c>
      <c r="D204" s="632">
        <f t="shared" si="11"/>
        <v>601.59</v>
      </c>
      <c r="E204" s="664">
        <f>IF($E$2=20.5,'S3'!U204,IF($E$2=21.5,'S3'!AE204,IF($E$2=22.5,'S3'!AF204,IF($E$2=23.5,'S3'!AG204,IF($E$2=24.5,'S3'!AH204,IF($E$2=25.5,'S3'!AI204,IF($E$2=26.5,'S3'!AC204,IF($E$2=27.5,'S3'!AK204,IF($E$2=28.5,'S3'!AL204,IF($E$2=29.5,'S3'!AM204,IF($E$2=30.5,'S3'!AN204,IF($E$2=31.5,'S3'!AO204,IF($E$2=32.5,'S3'!AP204,IF($E$2=33.5,'S3'!AQ204,IF($E$2=34.5,'S3'!AR204,IF($E$2=35.5,'S3'!AS204))))))))))))))))</f>
        <v>311.77</v>
      </c>
      <c r="F204" s="450">
        <f t="shared" si="10"/>
        <v>436.48</v>
      </c>
    </row>
    <row r="205" spans="2:6" ht="21" thickBot="1">
      <c r="B205" s="451"/>
      <c r="C205" s="452">
        <f>IF($C$2=20.5,'S3'!T205,IF($C$2=21.5,'S3'!V205,IF($C$2=22.5,'S3'!A205,IF($C$2=23.5,'S3'!B205,IF($C$2=24.5,'S3'!C205,IF($C$2=25.5,'S3'!C205,IF($C$2=26.5,'S3'!E205,IF($C$2=27.5,'S3'!F205,IF($C$2=28.5,'S3'!G205,IF($C$2=29.5,'S3'!H205,IF($C$2=30.5,'S3'!I205,IF($C$2=31.5,'S3'!J205,IF($C$2=32.5,'S3'!K205,IF($C$2=33.5,'S3'!L205,IF($C$2=34.5,'S3'!M205,IF($C$2=35.5,'S3'!N205))))))))))))))))</f>
        <v>2.15</v>
      </c>
      <c r="D205" s="453">
        <f>ROUNDDOWN(C205*1.4,2)</f>
        <v>3.01</v>
      </c>
      <c r="E205" s="376">
        <f>IF($E$2=20.5,'S3'!U205,IF($E$2=21.5,'S3'!AE205,IF($E$2=22.5,'S3'!AF205,IF($E$2=23.5,'S3'!AG205,IF($E$2=24.5,'S3'!AH205,IF($E$2=25.5,'S3'!AI205,IF($E$2=26.5,'S3'!AC205,IF($E$2=27.5,'S3'!AK205,IF($E$2=28.5,'S3'!AL205,IF($E$2=29.5,'S3'!AM205,IF($E$2=30.5,'S3'!AN205,IF($E$2=31.5,'S3'!AO205,IF($E$2=32.5,'S3'!AP205,IF($E$2=33.5,'S3'!AQ205,IF($E$2=34.5,'S3'!AR205,IF($E$2=35.5,'S3'!AS205))))))))))))))))</f>
        <v>1.56</v>
      </c>
      <c r="F205" s="454">
        <f>ROUNDDOWN(E205*1.4,2)</f>
        <v>2.1800000000000002</v>
      </c>
    </row>
    <row r="206" spans="2:6">
      <c r="B206" s="455"/>
      <c r="C206" s="456"/>
      <c r="D206" s="455"/>
      <c r="E206" s="455"/>
    </row>
    <row r="207" spans="2:6">
      <c r="B207" s="455"/>
      <c r="C207" s="456"/>
      <c r="D207" s="455"/>
      <c r="E207" s="455"/>
    </row>
    <row r="208" spans="2:6">
      <c r="B208" s="455"/>
      <c r="C208" s="456"/>
      <c r="D208" s="455"/>
      <c r="E208" s="455"/>
    </row>
  </sheetData>
  <mergeCells count="24">
    <mergeCell ref="AZ2:BA2"/>
    <mergeCell ref="BB2:BC2"/>
    <mergeCell ref="AT2:AU2"/>
    <mergeCell ref="AF2:AG2"/>
    <mergeCell ref="AL2:AM2"/>
    <mergeCell ref="AN2:AO2"/>
    <mergeCell ref="AV2:AW2"/>
    <mergeCell ref="AX2:AY2"/>
    <mergeCell ref="BI31:BJ31"/>
    <mergeCell ref="J2:K2"/>
    <mergeCell ref="L2:M2"/>
    <mergeCell ref="N2:O2"/>
    <mergeCell ref="P2:Q2"/>
    <mergeCell ref="V2:W2"/>
    <mergeCell ref="R2:S2"/>
    <mergeCell ref="T2:U2"/>
    <mergeCell ref="Z2:AA2"/>
    <mergeCell ref="AR2:AS2"/>
    <mergeCell ref="AH2:AI2"/>
    <mergeCell ref="X2:Y2"/>
    <mergeCell ref="AP2:AQ2"/>
    <mergeCell ref="AJ2:AK2"/>
    <mergeCell ref="AB2:AC2"/>
    <mergeCell ref="AD2:AE2"/>
  </mergeCells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AU206"/>
  <sheetViews>
    <sheetView topLeftCell="A10" zoomScale="110" zoomScaleNormal="110" workbookViewId="0">
      <selection activeCell="B3" sqref="B3"/>
    </sheetView>
  </sheetViews>
  <sheetFormatPr defaultColWidth="9.140625" defaultRowHeight="21"/>
  <cols>
    <col min="1" max="33" width="9.140625" style="31"/>
    <col min="34" max="34" width="9.28515625" style="31" bestFit="1" customWidth="1"/>
    <col min="35" max="39" width="9.140625" style="31"/>
    <col min="40" max="40" width="9.140625" style="639"/>
    <col min="41" max="16384" width="9.140625" style="31"/>
  </cols>
  <sheetData>
    <row r="1" spans="1:47" ht="24" thickBot="1">
      <c r="A1" s="457" t="s">
        <v>145</v>
      </c>
      <c r="B1" s="457"/>
      <c r="C1" s="457"/>
      <c r="D1" s="457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W1" s="30"/>
      <c r="X1" s="30"/>
      <c r="Y1" s="457" t="s">
        <v>146</v>
      </c>
      <c r="Z1" s="457"/>
      <c r="AA1" s="457"/>
      <c r="AB1" s="457"/>
      <c r="AC1" s="457"/>
      <c r="AD1" s="30"/>
      <c r="AE1" s="30"/>
      <c r="AF1" s="30"/>
      <c r="AQ1" s="30"/>
      <c r="AR1" s="30"/>
      <c r="AS1" s="30"/>
      <c r="AT1" s="30"/>
    </row>
    <row r="2" spans="1:47">
      <c r="A2" s="458" t="s">
        <v>57</v>
      </c>
      <c r="B2" s="310" t="s">
        <v>57</v>
      </c>
      <c r="C2" s="310" t="s">
        <v>57</v>
      </c>
      <c r="D2" s="507" t="s">
        <v>57</v>
      </c>
      <c r="E2" s="28" t="s">
        <v>57</v>
      </c>
      <c r="F2" s="28" t="s">
        <v>57</v>
      </c>
      <c r="G2" s="28" t="s">
        <v>57</v>
      </c>
      <c r="H2" s="28" t="s">
        <v>57</v>
      </c>
      <c r="I2" s="28" t="s">
        <v>57</v>
      </c>
      <c r="J2" s="28" t="s">
        <v>57</v>
      </c>
      <c r="K2" s="28" t="s">
        <v>57</v>
      </c>
      <c r="L2" s="28" t="s">
        <v>57</v>
      </c>
      <c r="M2" s="28" t="s">
        <v>57</v>
      </c>
      <c r="N2" s="28" t="s">
        <v>57</v>
      </c>
      <c r="O2" s="28" t="s">
        <v>57</v>
      </c>
      <c r="P2" s="28" t="s">
        <v>57</v>
      </c>
      <c r="Q2" s="28" t="s">
        <v>57</v>
      </c>
      <c r="R2" s="63" t="s">
        <v>57</v>
      </c>
      <c r="S2" s="63" t="s">
        <v>57</v>
      </c>
      <c r="T2" s="63" t="s">
        <v>57</v>
      </c>
      <c r="U2" s="63" t="s">
        <v>57</v>
      </c>
      <c r="V2" s="63" t="s">
        <v>57</v>
      </c>
      <c r="W2" s="63" t="s">
        <v>57</v>
      </c>
      <c r="X2" s="460" t="s">
        <v>5</v>
      </c>
      <c r="Y2" s="458" t="s">
        <v>57</v>
      </c>
      <c r="Z2" s="28" t="s">
        <v>57</v>
      </c>
      <c r="AA2" s="28" t="s">
        <v>57</v>
      </c>
      <c r="AB2" s="459" t="s">
        <v>57</v>
      </c>
      <c r="AC2" s="459" t="s">
        <v>57</v>
      </c>
      <c r="AD2" s="310" t="s">
        <v>57</v>
      </c>
      <c r="AE2" s="310" t="s">
        <v>57</v>
      </c>
      <c r="AF2" s="310" t="s">
        <v>57</v>
      </c>
      <c r="AG2" s="310" t="s">
        <v>57</v>
      </c>
      <c r="AH2" s="310" t="s">
        <v>57</v>
      </c>
      <c r="AI2" s="310" t="s">
        <v>57</v>
      </c>
      <c r="AJ2" s="28" t="s">
        <v>57</v>
      </c>
      <c r="AK2" s="28" t="s">
        <v>57</v>
      </c>
      <c r="AL2" s="28" t="s">
        <v>57</v>
      </c>
      <c r="AM2" s="28" t="s">
        <v>57</v>
      </c>
      <c r="AN2" s="640" t="s">
        <v>57</v>
      </c>
      <c r="AO2" s="28" t="s">
        <v>57</v>
      </c>
      <c r="AP2" s="63" t="s">
        <v>57</v>
      </c>
      <c r="AQ2" s="63" t="s">
        <v>57</v>
      </c>
      <c r="AR2" s="63" t="s">
        <v>57</v>
      </c>
      <c r="AS2" s="63" t="s">
        <v>57</v>
      </c>
      <c r="AT2" s="63" t="s">
        <v>57</v>
      </c>
      <c r="AU2" s="63" t="s">
        <v>57</v>
      </c>
    </row>
    <row r="3" spans="1:47" ht="21.75" thickBot="1">
      <c r="A3" s="461" t="s">
        <v>9</v>
      </c>
      <c r="B3" s="311" t="s">
        <v>9</v>
      </c>
      <c r="C3" s="311" t="s">
        <v>9</v>
      </c>
      <c r="D3" s="508" t="s">
        <v>9</v>
      </c>
      <c r="E3" s="29" t="s">
        <v>9</v>
      </c>
      <c r="F3" s="29" t="s">
        <v>9</v>
      </c>
      <c r="G3" s="29" t="s">
        <v>9</v>
      </c>
      <c r="H3" s="29" t="s">
        <v>9</v>
      </c>
      <c r="I3" s="29" t="s">
        <v>9</v>
      </c>
      <c r="J3" s="29" t="s">
        <v>9</v>
      </c>
      <c r="K3" s="29" t="s">
        <v>9</v>
      </c>
      <c r="L3" s="29" t="s">
        <v>9</v>
      </c>
      <c r="M3" s="29" t="s">
        <v>9</v>
      </c>
      <c r="N3" s="29" t="s">
        <v>9</v>
      </c>
      <c r="O3" s="29" t="s">
        <v>9</v>
      </c>
      <c r="P3" s="29" t="s">
        <v>9</v>
      </c>
      <c r="Q3" s="29" t="s">
        <v>9</v>
      </c>
      <c r="R3" s="64" t="s">
        <v>9</v>
      </c>
      <c r="S3" s="64" t="s">
        <v>9</v>
      </c>
      <c r="T3" s="64" t="s">
        <v>9</v>
      </c>
      <c r="U3" s="64" t="s">
        <v>9</v>
      </c>
      <c r="V3" s="64" t="s">
        <v>9</v>
      </c>
      <c r="W3" s="64" t="s">
        <v>9</v>
      </c>
      <c r="X3" s="463" t="s">
        <v>41</v>
      </c>
      <c r="Y3" s="461" t="s">
        <v>9</v>
      </c>
      <c r="Z3" s="29" t="s">
        <v>9</v>
      </c>
      <c r="AA3" s="29" t="s">
        <v>9</v>
      </c>
      <c r="AB3" s="462" t="s">
        <v>9</v>
      </c>
      <c r="AC3" s="462" t="s">
        <v>9</v>
      </c>
      <c r="AD3" s="311" t="s">
        <v>9</v>
      </c>
      <c r="AE3" s="311" t="s">
        <v>9</v>
      </c>
      <c r="AF3" s="311" t="s">
        <v>9</v>
      </c>
      <c r="AG3" s="311" t="s">
        <v>9</v>
      </c>
      <c r="AH3" s="311" t="s">
        <v>9</v>
      </c>
      <c r="AI3" s="311" t="s">
        <v>9</v>
      </c>
      <c r="AJ3" s="29" t="s">
        <v>9</v>
      </c>
      <c r="AK3" s="29" t="s">
        <v>9</v>
      </c>
      <c r="AL3" s="29" t="s">
        <v>9</v>
      </c>
      <c r="AM3" s="29" t="s">
        <v>9</v>
      </c>
      <c r="AN3" s="641" t="s">
        <v>9</v>
      </c>
      <c r="AO3" s="29" t="s">
        <v>9</v>
      </c>
      <c r="AP3" s="64" t="s">
        <v>9</v>
      </c>
      <c r="AQ3" s="64" t="s">
        <v>9</v>
      </c>
      <c r="AR3" s="64" t="s">
        <v>9</v>
      </c>
      <c r="AS3" s="64" t="s">
        <v>9</v>
      </c>
      <c r="AT3" s="64" t="s">
        <v>9</v>
      </c>
      <c r="AU3" s="64" t="s">
        <v>9</v>
      </c>
    </row>
    <row r="4" spans="1:47" ht="21.75" thickBot="1">
      <c r="A4" s="464">
        <v>22.5</v>
      </c>
      <c r="B4" s="288">
        <v>23.5</v>
      </c>
      <c r="C4" s="289">
        <v>24.5</v>
      </c>
      <c r="D4" s="289">
        <v>25.5</v>
      </c>
      <c r="E4" s="619">
        <v>26.5</v>
      </c>
      <c r="F4" s="466">
        <v>27.5</v>
      </c>
      <c r="G4" s="466">
        <v>28.5</v>
      </c>
      <c r="H4" s="467">
        <v>29.5</v>
      </c>
      <c r="I4" s="464">
        <v>30.5</v>
      </c>
      <c r="J4" s="465">
        <v>31.5</v>
      </c>
      <c r="K4" s="466">
        <v>32.5</v>
      </c>
      <c r="L4" s="466">
        <v>33.5</v>
      </c>
      <c r="M4" s="466">
        <v>34.5</v>
      </c>
      <c r="N4" s="466">
        <v>35.5</v>
      </c>
      <c r="O4" s="466">
        <v>36.5</v>
      </c>
      <c r="P4" s="466">
        <v>37.5</v>
      </c>
      <c r="Q4" s="466">
        <v>38.5</v>
      </c>
      <c r="R4" s="466">
        <v>39.5</v>
      </c>
      <c r="S4" s="466">
        <v>21.5</v>
      </c>
      <c r="T4" s="466">
        <v>20.5</v>
      </c>
      <c r="U4" s="466">
        <v>19.5</v>
      </c>
      <c r="V4" s="466">
        <v>18.5</v>
      </c>
      <c r="W4" s="466">
        <v>17.5</v>
      </c>
      <c r="X4" s="468"/>
      <c r="Y4" s="464">
        <v>15.5</v>
      </c>
      <c r="Z4" s="464">
        <v>16.5</v>
      </c>
      <c r="AA4" s="464">
        <v>17.5</v>
      </c>
      <c r="AB4" s="464">
        <v>18.5</v>
      </c>
      <c r="AC4" s="464">
        <v>19.5</v>
      </c>
      <c r="AD4" s="287">
        <v>20.5</v>
      </c>
      <c r="AE4" s="287">
        <v>21.5</v>
      </c>
      <c r="AF4" s="287">
        <v>22.5</v>
      </c>
      <c r="AG4" s="288">
        <v>23.5</v>
      </c>
      <c r="AH4" s="289">
        <v>24.5</v>
      </c>
      <c r="AI4" s="288">
        <v>25.5</v>
      </c>
      <c r="AJ4" s="624">
        <v>26.5</v>
      </c>
      <c r="AK4" s="466">
        <v>27.5</v>
      </c>
      <c r="AL4" s="466">
        <v>28.5</v>
      </c>
      <c r="AM4" s="467">
        <v>29.5</v>
      </c>
      <c r="AN4" s="642">
        <v>30.5</v>
      </c>
      <c r="AO4" s="465">
        <v>31.5</v>
      </c>
      <c r="AP4" s="465">
        <v>32.5</v>
      </c>
      <c r="AQ4" s="465">
        <v>33.5</v>
      </c>
      <c r="AR4" s="465">
        <v>34.5</v>
      </c>
      <c r="AS4" s="465">
        <v>35.5</v>
      </c>
      <c r="AT4" s="465">
        <v>18.5</v>
      </c>
      <c r="AU4" s="465">
        <v>17.5</v>
      </c>
    </row>
    <row r="5" spans="1:47">
      <c r="A5" s="469">
        <v>6.09</v>
      </c>
      <c r="B5" s="303">
        <v>7.89</v>
      </c>
      <c r="C5" s="304">
        <v>7.92</v>
      </c>
      <c r="D5" s="304">
        <v>7.96</v>
      </c>
      <c r="E5" s="620">
        <v>7.99</v>
      </c>
      <c r="F5" s="470">
        <v>6.27</v>
      </c>
      <c r="G5" s="470">
        <v>6.31</v>
      </c>
      <c r="H5" s="471">
        <v>6.34</v>
      </c>
      <c r="I5" s="472">
        <v>6.38</v>
      </c>
      <c r="J5" s="472">
        <v>6.42</v>
      </c>
      <c r="K5" s="472">
        <v>6.45</v>
      </c>
      <c r="L5" s="472">
        <v>6.49</v>
      </c>
      <c r="M5" s="472">
        <v>6.52</v>
      </c>
      <c r="N5" s="472">
        <v>6.56</v>
      </c>
      <c r="O5" s="472">
        <v>5.5</v>
      </c>
      <c r="P5" s="472">
        <v>5.54</v>
      </c>
      <c r="Q5" s="472">
        <v>5.58</v>
      </c>
      <c r="R5" s="472">
        <v>5.61</v>
      </c>
      <c r="S5" s="472">
        <v>4.96</v>
      </c>
      <c r="T5" s="472">
        <v>4.92</v>
      </c>
      <c r="U5" s="472">
        <v>4.8899999999999997</v>
      </c>
      <c r="V5" s="472">
        <v>4.8499999999999996</v>
      </c>
      <c r="W5" s="472">
        <v>4.8099999999999996</v>
      </c>
      <c r="X5" s="473">
        <v>1</v>
      </c>
      <c r="Y5" s="474">
        <v>4.12</v>
      </c>
      <c r="Z5" s="474">
        <v>4.1399999999999997</v>
      </c>
      <c r="AA5" s="474">
        <v>4.17</v>
      </c>
      <c r="AB5" s="474">
        <v>4.1900000000000004</v>
      </c>
      <c r="AC5" s="474">
        <v>4.22</v>
      </c>
      <c r="AD5" s="290">
        <v>4.24</v>
      </c>
      <c r="AE5" s="290">
        <v>4.2699999999999996</v>
      </c>
      <c r="AF5" s="290">
        <v>4.3</v>
      </c>
      <c r="AG5" s="291">
        <v>4.32</v>
      </c>
      <c r="AH5" s="292">
        <v>4.3499999999999996</v>
      </c>
      <c r="AI5" s="292">
        <v>4.37</v>
      </c>
      <c r="AJ5" s="625">
        <v>4.4000000000000004</v>
      </c>
      <c r="AK5" s="475">
        <v>4.42</v>
      </c>
      <c r="AL5" s="476">
        <v>4.45</v>
      </c>
      <c r="AM5" s="477">
        <v>4.4800000000000004</v>
      </c>
      <c r="AN5" s="643">
        <v>4.5</v>
      </c>
      <c r="AO5" s="472">
        <v>4.53</v>
      </c>
      <c r="AP5" s="472">
        <v>4.55</v>
      </c>
      <c r="AQ5" s="472">
        <v>4.58</v>
      </c>
      <c r="AR5" s="472">
        <v>4.5999999999999996</v>
      </c>
      <c r="AS5" s="472">
        <v>4.63</v>
      </c>
      <c r="AT5" s="472">
        <v>2.83</v>
      </c>
      <c r="AU5" s="472">
        <v>2.81</v>
      </c>
    </row>
    <row r="6" spans="1:47">
      <c r="A6" s="478">
        <v>7.44</v>
      </c>
      <c r="B6" s="294">
        <v>9.4600000000000009</v>
      </c>
      <c r="C6" s="295">
        <v>9.5399999999999991</v>
      </c>
      <c r="D6" s="295">
        <v>9.61</v>
      </c>
      <c r="E6" s="621">
        <v>9.68</v>
      </c>
      <c r="F6" s="479">
        <v>7.81</v>
      </c>
      <c r="G6" s="479">
        <v>7.88</v>
      </c>
      <c r="H6" s="480">
        <v>7.95</v>
      </c>
      <c r="I6" s="481">
        <v>8.0299999999999994</v>
      </c>
      <c r="J6" s="481">
        <v>8.1</v>
      </c>
      <c r="K6" s="481">
        <v>8.17</v>
      </c>
      <c r="L6" s="481">
        <v>8.24</v>
      </c>
      <c r="M6" s="481">
        <v>8.32</v>
      </c>
      <c r="N6" s="481">
        <v>8.39</v>
      </c>
      <c r="O6" s="481">
        <v>7.33</v>
      </c>
      <c r="P6" s="481">
        <v>7.4</v>
      </c>
      <c r="Q6" s="481">
        <v>7.47</v>
      </c>
      <c r="R6" s="481">
        <v>7.55</v>
      </c>
      <c r="S6" s="481">
        <v>6.24</v>
      </c>
      <c r="T6" s="481">
        <v>6.16</v>
      </c>
      <c r="U6" s="481">
        <v>6.09</v>
      </c>
      <c r="V6" s="481">
        <v>6.02</v>
      </c>
      <c r="W6" s="481">
        <v>5.94</v>
      </c>
      <c r="X6" s="473">
        <v>2</v>
      </c>
      <c r="Y6" s="478">
        <v>5.12</v>
      </c>
      <c r="Z6" s="478">
        <v>5.17</v>
      </c>
      <c r="AA6" s="478">
        <v>5.22</v>
      </c>
      <c r="AB6" s="478">
        <v>5.27</v>
      </c>
      <c r="AC6" s="478">
        <v>5.32</v>
      </c>
      <c r="AD6" s="293">
        <v>5.37</v>
      </c>
      <c r="AE6" s="293">
        <v>5.42</v>
      </c>
      <c r="AF6" s="293">
        <v>5.48</v>
      </c>
      <c r="AG6" s="294">
        <v>5.53</v>
      </c>
      <c r="AH6" s="295">
        <v>5.58</v>
      </c>
      <c r="AI6" s="295">
        <v>5.63</v>
      </c>
      <c r="AJ6" s="626">
        <v>5.68</v>
      </c>
      <c r="AK6" s="479">
        <v>5.73</v>
      </c>
      <c r="AL6" s="482">
        <v>5.78</v>
      </c>
      <c r="AM6" s="480">
        <v>5.84</v>
      </c>
      <c r="AN6" s="644">
        <v>5.89</v>
      </c>
      <c r="AO6" s="481">
        <v>5.94</v>
      </c>
      <c r="AP6" s="481">
        <v>5.99</v>
      </c>
      <c r="AQ6" s="481">
        <v>6.04</v>
      </c>
      <c r="AR6" s="481">
        <v>6.09</v>
      </c>
      <c r="AS6" s="481">
        <v>6.14</v>
      </c>
      <c r="AT6" s="481">
        <v>3.72</v>
      </c>
      <c r="AU6" s="481">
        <v>3.67</v>
      </c>
    </row>
    <row r="7" spans="1:47">
      <c r="A7" s="478">
        <v>8.8000000000000007</v>
      </c>
      <c r="B7" s="294">
        <v>11.04</v>
      </c>
      <c r="C7" s="295">
        <v>11.15</v>
      </c>
      <c r="D7" s="295">
        <v>11.26</v>
      </c>
      <c r="E7" s="621">
        <v>11.37</v>
      </c>
      <c r="F7" s="479">
        <v>9.35</v>
      </c>
      <c r="G7" s="479">
        <v>9.4499999999999993</v>
      </c>
      <c r="H7" s="480">
        <v>9.56</v>
      </c>
      <c r="I7" s="483">
        <v>9.67</v>
      </c>
      <c r="J7" s="483">
        <v>9.7799999999999994</v>
      </c>
      <c r="K7" s="483">
        <v>9.89</v>
      </c>
      <c r="L7" s="483">
        <v>10</v>
      </c>
      <c r="M7" s="483">
        <v>10.11</v>
      </c>
      <c r="N7" s="483">
        <v>10.220000000000001</v>
      </c>
      <c r="O7" s="483">
        <v>9.15</v>
      </c>
      <c r="P7" s="483">
        <v>9.26</v>
      </c>
      <c r="Q7" s="483">
        <v>9.3699999999999992</v>
      </c>
      <c r="R7" s="483">
        <v>9.48</v>
      </c>
      <c r="S7" s="483">
        <v>7.51</v>
      </c>
      <c r="T7" s="483">
        <v>7.4</v>
      </c>
      <c r="U7" s="483">
        <v>7.29</v>
      </c>
      <c r="V7" s="483">
        <v>7.19</v>
      </c>
      <c r="W7" s="483">
        <v>7.08</v>
      </c>
      <c r="X7" s="484">
        <v>3</v>
      </c>
      <c r="Y7" s="478">
        <v>6.11</v>
      </c>
      <c r="Z7" s="478">
        <v>6.19</v>
      </c>
      <c r="AA7" s="478">
        <v>6.27</v>
      </c>
      <c r="AB7" s="478">
        <v>6.35</v>
      </c>
      <c r="AC7" s="478">
        <v>6.42</v>
      </c>
      <c r="AD7" s="293">
        <v>6.5</v>
      </c>
      <c r="AE7" s="293">
        <v>6.58</v>
      </c>
      <c r="AF7" s="293">
        <v>6.65</v>
      </c>
      <c r="AG7" s="294">
        <v>6.73</v>
      </c>
      <c r="AH7" s="295">
        <v>6.81</v>
      </c>
      <c r="AI7" s="295">
        <v>6.89</v>
      </c>
      <c r="AJ7" s="626">
        <v>6.96</v>
      </c>
      <c r="AK7" s="479">
        <v>7.04</v>
      </c>
      <c r="AL7" s="482">
        <v>7.12</v>
      </c>
      <c r="AM7" s="480">
        <v>7.19</v>
      </c>
      <c r="AN7" s="645">
        <v>7.27</v>
      </c>
      <c r="AO7" s="483">
        <v>7.35</v>
      </c>
      <c r="AP7" s="483">
        <v>7.43</v>
      </c>
      <c r="AQ7" s="483">
        <v>7.05</v>
      </c>
      <c r="AR7" s="483">
        <v>7.58</v>
      </c>
      <c r="AS7" s="483">
        <v>7.66</v>
      </c>
      <c r="AT7" s="483">
        <v>4.6100000000000003</v>
      </c>
      <c r="AU7" s="483">
        <v>4.53</v>
      </c>
    </row>
    <row r="8" spans="1:47">
      <c r="A8" s="478">
        <v>10.16</v>
      </c>
      <c r="B8" s="294">
        <v>12.62</v>
      </c>
      <c r="C8" s="295">
        <v>12.77</v>
      </c>
      <c r="D8" s="295">
        <v>12.91</v>
      </c>
      <c r="E8" s="621">
        <v>13.06</v>
      </c>
      <c r="F8" s="479">
        <v>10.88</v>
      </c>
      <c r="G8" s="479">
        <v>11.03</v>
      </c>
      <c r="H8" s="480">
        <v>11.17</v>
      </c>
      <c r="I8" s="52">
        <v>11.32</v>
      </c>
      <c r="J8" s="52">
        <v>11.47</v>
      </c>
      <c r="K8" s="52">
        <v>11.61</v>
      </c>
      <c r="L8" s="52">
        <v>11.76</v>
      </c>
      <c r="M8" s="52">
        <v>11.9</v>
      </c>
      <c r="N8" s="52">
        <v>12.05</v>
      </c>
      <c r="O8" s="52">
        <v>10.97</v>
      </c>
      <c r="P8" s="52">
        <v>11.12</v>
      </c>
      <c r="Q8" s="52">
        <v>11.27</v>
      </c>
      <c r="R8" s="52">
        <v>11.41</v>
      </c>
      <c r="S8" s="52">
        <v>8.7899999999999991</v>
      </c>
      <c r="T8" s="52">
        <v>8.64</v>
      </c>
      <c r="U8" s="52">
        <v>8.5</v>
      </c>
      <c r="V8" s="52">
        <v>8.35</v>
      </c>
      <c r="W8" s="52">
        <v>8.2100000000000009</v>
      </c>
      <c r="X8" s="485">
        <v>4</v>
      </c>
      <c r="Y8" s="478">
        <v>7.11</v>
      </c>
      <c r="Z8" s="478">
        <v>7.22</v>
      </c>
      <c r="AA8" s="478">
        <v>7.32</v>
      </c>
      <c r="AB8" s="478">
        <v>7.42</v>
      </c>
      <c r="AC8" s="478">
        <v>7.53</v>
      </c>
      <c r="AD8" s="293">
        <v>7.63</v>
      </c>
      <c r="AE8" s="293">
        <v>7.73</v>
      </c>
      <c r="AF8" s="293">
        <v>7.83</v>
      </c>
      <c r="AG8" s="294">
        <v>7.94</v>
      </c>
      <c r="AH8" s="295">
        <v>8.0399999999999991</v>
      </c>
      <c r="AI8" s="295">
        <v>8.14</v>
      </c>
      <c r="AJ8" s="626">
        <v>8.24</v>
      </c>
      <c r="AK8" s="479">
        <v>8.35</v>
      </c>
      <c r="AL8" s="482">
        <v>8.4499999999999993</v>
      </c>
      <c r="AM8" s="480">
        <v>8.5500000000000007</v>
      </c>
      <c r="AN8" s="646">
        <v>8.66</v>
      </c>
      <c r="AO8" s="52">
        <v>8.76</v>
      </c>
      <c r="AP8" s="52">
        <v>8.86</v>
      </c>
      <c r="AQ8" s="52">
        <v>8.9600000000000009</v>
      </c>
      <c r="AR8" s="52">
        <v>9.07</v>
      </c>
      <c r="AS8" s="52">
        <v>9.17</v>
      </c>
      <c r="AT8" s="52">
        <v>5.5</v>
      </c>
      <c r="AU8" s="483">
        <v>5.39</v>
      </c>
    </row>
    <row r="9" spans="1:47">
      <c r="A9" s="478">
        <v>11.51</v>
      </c>
      <c r="B9" s="294">
        <v>14.2</v>
      </c>
      <c r="C9" s="295">
        <v>14.38</v>
      </c>
      <c r="D9" s="295">
        <v>14.56</v>
      </c>
      <c r="E9" s="621">
        <v>14.75</v>
      </c>
      <c r="F9" s="479">
        <v>12.42</v>
      </c>
      <c r="G9" s="479">
        <v>12.6</v>
      </c>
      <c r="H9" s="480">
        <v>12.79</v>
      </c>
      <c r="I9" s="52">
        <v>12.97</v>
      </c>
      <c r="J9" s="52">
        <v>13.15</v>
      </c>
      <c r="K9" s="52">
        <v>13.33</v>
      </c>
      <c r="L9" s="52">
        <v>13.51</v>
      </c>
      <c r="M9" s="52">
        <v>13.7</v>
      </c>
      <c r="N9" s="52">
        <v>13.88</v>
      </c>
      <c r="O9" s="52">
        <v>12.8</v>
      </c>
      <c r="P9" s="52">
        <v>12.98</v>
      </c>
      <c r="Q9" s="52">
        <v>13.16</v>
      </c>
      <c r="R9" s="52">
        <v>13.34</v>
      </c>
      <c r="S9" s="52">
        <v>10.07</v>
      </c>
      <c r="T9" s="52">
        <v>9.89</v>
      </c>
      <c r="U9" s="52">
        <v>9.6999999999999993</v>
      </c>
      <c r="V9" s="52">
        <v>9.52</v>
      </c>
      <c r="W9" s="52">
        <v>9.34</v>
      </c>
      <c r="X9" s="485">
        <v>5</v>
      </c>
      <c r="Y9" s="478">
        <v>8.11</v>
      </c>
      <c r="Z9" s="478">
        <v>8.24</v>
      </c>
      <c r="AA9" s="478">
        <v>8.3699999999999992</v>
      </c>
      <c r="AB9" s="478">
        <v>8.5</v>
      </c>
      <c r="AC9" s="478">
        <v>8.6300000000000008</v>
      </c>
      <c r="AD9" s="293">
        <v>8.75</v>
      </c>
      <c r="AE9" s="293">
        <v>8.8800000000000008</v>
      </c>
      <c r="AF9" s="293">
        <v>9.01</v>
      </c>
      <c r="AG9" s="294">
        <v>9.14</v>
      </c>
      <c r="AH9" s="295">
        <v>9.27</v>
      </c>
      <c r="AI9" s="295">
        <v>9.4</v>
      </c>
      <c r="AJ9" s="626">
        <v>9.5299999999999994</v>
      </c>
      <c r="AK9" s="479">
        <v>9.65</v>
      </c>
      <c r="AL9" s="482">
        <v>9.7799999999999994</v>
      </c>
      <c r="AM9" s="480">
        <v>9.91</v>
      </c>
      <c r="AN9" s="646">
        <v>10.039999999999999</v>
      </c>
      <c r="AO9" s="52">
        <v>10.17</v>
      </c>
      <c r="AP9" s="52">
        <v>10.3</v>
      </c>
      <c r="AQ9" s="52">
        <v>10.43</v>
      </c>
      <c r="AR9" s="52">
        <v>10.55</v>
      </c>
      <c r="AS9" s="52">
        <v>10.68</v>
      </c>
      <c r="AT9" s="52">
        <v>6.38</v>
      </c>
      <c r="AU9" s="483">
        <v>6.26</v>
      </c>
    </row>
    <row r="10" spans="1:47">
      <c r="A10" s="478">
        <v>12.87</v>
      </c>
      <c r="B10" s="294">
        <v>15.78</v>
      </c>
      <c r="C10" s="295">
        <v>16</v>
      </c>
      <c r="D10" s="295">
        <v>16.21</v>
      </c>
      <c r="E10" s="621">
        <v>16.43</v>
      </c>
      <c r="F10" s="479">
        <v>13.96</v>
      </c>
      <c r="G10" s="479">
        <v>14.18</v>
      </c>
      <c r="H10" s="480">
        <v>14.4</v>
      </c>
      <c r="I10" s="52">
        <v>14.61</v>
      </c>
      <c r="J10" s="52">
        <v>14.83</v>
      </c>
      <c r="K10" s="52">
        <v>15.05</v>
      </c>
      <c r="L10" s="52">
        <v>15.27</v>
      </c>
      <c r="M10" s="52">
        <v>15.49</v>
      </c>
      <c r="N10" s="52">
        <v>15.71</v>
      </c>
      <c r="O10" s="52">
        <v>14.62</v>
      </c>
      <c r="P10" s="52">
        <v>14.84</v>
      </c>
      <c r="Q10" s="52">
        <v>15.06</v>
      </c>
      <c r="R10" s="52">
        <v>15.28</v>
      </c>
      <c r="S10" s="52">
        <v>11.35</v>
      </c>
      <c r="T10" s="52">
        <v>11.13</v>
      </c>
      <c r="U10" s="52">
        <v>10.91</v>
      </c>
      <c r="V10" s="52">
        <v>10.69</v>
      </c>
      <c r="W10" s="52">
        <v>10.47</v>
      </c>
      <c r="X10" s="485">
        <v>6</v>
      </c>
      <c r="Y10" s="478">
        <v>9.11</v>
      </c>
      <c r="Z10" s="478">
        <v>9.27</v>
      </c>
      <c r="AA10" s="478">
        <v>9.42</v>
      </c>
      <c r="AB10" s="478">
        <v>9.58</v>
      </c>
      <c r="AC10" s="478">
        <v>9.73</v>
      </c>
      <c r="AD10" s="293">
        <v>9.8800000000000008</v>
      </c>
      <c r="AE10" s="293">
        <v>10.039999999999999</v>
      </c>
      <c r="AF10" s="293">
        <v>10.19</v>
      </c>
      <c r="AG10" s="294">
        <v>10.35</v>
      </c>
      <c r="AH10" s="295">
        <v>10.5</v>
      </c>
      <c r="AI10" s="295">
        <v>10.66</v>
      </c>
      <c r="AJ10" s="626">
        <v>10.81</v>
      </c>
      <c r="AK10" s="479">
        <v>10.96</v>
      </c>
      <c r="AL10" s="482">
        <v>11.12</v>
      </c>
      <c r="AM10" s="480">
        <v>11.27</v>
      </c>
      <c r="AN10" s="646">
        <v>11.43</v>
      </c>
      <c r="AO10" s="52">
        <v>11.58</v>
      </c>
      <c r="AP10" s="52">
        <v>11.73</v>
      </c>
      <c r="AQ10" s="52">
        <v>11.89</v>
      </c>
      <c r="AR10" s="52">
        <v>12.04</v>
      </c>
      <c r="AS10" s="52">
        <v>12.2</v>
      </c>
      <c r="AT10" s="52">
        <v>7.27</v>
      </c>
      <c r="AU10" s="483">
        <v>7.12</v>
      </c>
    </row>
    <row r="11" spans="1:47">
      <c r="A11" s="478">
        <v>14.22</v>
      </c>
      <c r="B11" s="294">
        <v>17.36</v>
      </c>
      <c r="C11" s="295">
        <v>17.61</v>
      </c>
      <c r="D11" s="295">
        <v>17.86</v>
      </c>
      <c r="E11" s="621">
        <v>18.12</v>
      </c>
      <c r="F11" s="479">
        <v>15.5</v>
      </c>
      <c r="G11" s="479">
        <v>15.75</v>
      </c>
      <c r="H11" s="480">
        <v>16.010000000000002</v>
      </c>
      <c r="I11" s="52">
        <v>16.260000000000002</v>
      </c>
      <c r="J11" s="52">
        <v>16.52</v>
      </c>
      <c r="K11" s="52">
        <v>16.77</v>
      </c>
      <c r="L11" s="52">
        <v>17.03</v>
      </c>
      <c r="M11" s="52">
        <v>17.28</v>
      </c>
      <c r="N11" s="52">
        <v>17.54</v>
      </c>
      <c r="O11" s="52">
        <v>16.440000000000001</v>
      </c>
      <c r="P11" s="52">
        <v>16.7</v>
      </c>
      <c r="Q11" s="52">
        <v>16.95</v>
      </c>
      <c r="R11" s="52">
        <v>17.21</v>
      </c>
      <c r="S11" s="52">
        <v>12.62</v>
      </c>
      <c r="T11" s="52">
        <v>12.37</v>
      </c>
      <c r="U11" s="52">
        <v>12.11</v>
      </c>
      <c r="V11" s="52">
        <v>11.86</v>
      </c>
      <c r="W11" s="52">
        <v>11.6</v>
      </c>
      <c r="X11" s="485">
        <v>7</v>
      </c>
      <c r="Y11" s="478">
        <v>10.11</v>
      </c>
      <c r="Z11" s="478">
        <v>10.29</v>
      </c>
      <c r="AA11" s="478">
        <v>0.47</v>
      </c>
      <c r="AB11" s="478"/>
      <c r="AC11" s="478">
        <v>10.83</v>
      </c>
      <c r="AD11" s="293">
        <v>11.01</v>
      </c>
      <c r="AE11" s="293">
        <v>11.19</v>
      </c>
      <c r="AF11" s="293">
        <v>11.37</v>
      </c>
      <c r="AG11" s="294">
        <v>11.55</v>
      </c>
      <c r="AH11" s="295">
        <v>11.73</v>
      </c>
      <c r="AI11" s="295">
        <v>11.91</v>
      </c>
      <c r="AJ11" s="626">
        <v>12.09</v>
      </c>
      <c r="AK11" s="479">
        <v>12.27</v>
      </c>
      <c r="AL11" s="482">
        <v>12.45</v>
      </c>
      <c r="AM11" s="480">
        <v>12.63</v>
      </c>
      <c r="AN11" s="646">
        <v>12.81</v>
      </c>
      <c r="AO11" s="52">
        <v>12.99</v>
      </c>
      <c r="AP11" s="52">
        <v>13.17</v>
      </c>
      <c r="AQ11" s="52">
        <v>13.35</v>
      </c>
      <c r="AR11" s="52">
        <v>13.53</v>
      </c>
      <c r="AS11" s="52">
        <v>13.71</v>
      </c>
      <c r="AT11" s="52">
        <v>8.16</v>
      </c>
      <c r="AU11" s="483">
        <v>7.98</v>
      </c>
    </row>
    <row r="12" spans="1:47">
      <c r="A12" s="478">
        <v>15.76</v>
      </c>
      <c r="B12" s="294">
        <v>19.170000000000002</v>
      </c>
      <c r="C12" s="295">
        <v>19.46</v>
      </c>
      <c r="D12" s="295">
        <v>19.75</v>
      </c>
      <c r="E12" s="621">
        <v>20.04</v>
      </c>
      <c r="F12" s="479">
        <v>17.21</v>
      </c>
      <c r="G12" s="479">
        <v>17.5</v>
      </c>
      <c r="H12" s="480">
        <v>17.79</v>
      </c>
      <c r="I12" s="52">
        <v>18.09</v>
      </c>
      <c r="J12" s="52">
        <v>18.38</v>
      </c>
      <c r="K12" s="52">
        <v>18.670000000000002</v>
      </c>
      <c r="L12" s="52">
        <v>18.96</v>
      </c>
      <c r="M12" s="52">
        <v>19.25</v>
      </c>
      <c r="N12" s="52">
        <v>19.54</v>
      </c>
      <c r="O12" s="52">
        <v>18.41</v>
      </c>
      <c r="P12" s="52">
        <v>18.7</v>
      </c>
      <c r="Q12" s="52">
        <v>18.989999999999998</v>
      </c>
      <c r="R12" s="52">
        <v>19.28</v>
      </c>
      <c r="S12" s="52">
        <v>14.04</v>
      </c>
      <c r="T12" s="52">
        <v>13.75</v>
      </c>
      <c r="U12" s="52">
        <v>13.46</v>
      </c>
      <c r="V12" s="52">
        <v>13.16</v>
      </c>
      <c r="W12" s="52">
        <v>12.87</v>
      </c>
      <c r="X12" s="485">
        <v>8</v>
      </c>
      <c r="Y12" s="478">
        <v>11.11</v>
      </c>
      <c r="Z12" s="478">
        <v>11.32</v>
      </c>
      <c r="AA12" s="478">
        <v>11.52</v>
      </c>
      <c r="AB12" s="478">
        <v>10.65</v>
      </c>
      <c r="AC12" s="478">
        <v>11.93</v>
      </c>
      <c r="AD12" s="293">
        <v>12.14</v>
      </c>
      <c r="AE12" s="293">
        <v>12.35</v>
      </c>
      <c r="AF12" s="293">
        <v>12.55</v>
      </c>
      <c r="AG12" s="294">
        <v>12.76</v>
      </c>
      <c r="AH12" s="295">
        <v>12.96</v>
      </c>
      <c r="AI12" s="295">
        <v>13.17</v>
      </c>
      <c r="AJ12" s="626">
        <v>13.37</v>
      </c>
      <c r="AK12" s="479">
        <v>13.58</v>
      </c>
      <c r="AL12" s="482">
        <v>13.78</v>
      </c>
      <c r="AM12" s="480">
        <v>13.99</v>
      </c>
      <c r="AN12" s="646">
        <v>14.2</v>
      </c>
      <c r="AO12" s="52">
        <v>14.4</v>
      </c>
      <c r="AP12" s="52">
        <v>14.61</v>
      </c>
      <c r="AQ12" s="52">
        <v>14.81</v>
      </c>
      <c r="AR12" s="52">
        <v>15.02</v>
      </c>
      <c r="AS12" s="52">
        <v>15.22</v>
      </c>
      <c r="AT12" s="52">
        <v>9.0500000000000007</v>
      </c>
      <c r="AU12" s="483">
        <v>8.84</v>
      </c>
    </row>
    <row r="13" spans="1:47">
      <c r="A13" s="478">
        <v>17.61</v>
      </c>
      <c r="B13" s="294">
        <v>21.41</v>
      </c>
      <c r="C13" s="295">
        <v>21.74</v>
      </c>
      <c r="D13" s="295">
        <v>22.07</v>
      </c>
      <c r="E13" s="621">
        <v>22.39</v>
      </c>
      <c r="F13" s="479">
        <v>19.25</v>
      </c>
      <c r="G13" s="479">
        <v>19.57</v>
      </c>
      <c r="H13" s="480">
        <v>19.899999999999999</v>
      </c>
      <c r="I13" s="52">
        <v>20.23</v>
      </c>
      <c r="J13" s="52">
        <v>20.56</v>
      </c>
      <c r="K13" s="52">
        <v>20.88</v>
      </c>
      <c r="L13" s="52">
        <v>21.21</v>
      </c>
      <c r="M13" s="52">
        <v>21.54</v>
      </c>
      <c r="N13" s="52">
        <v>21.87</v>
      </c>
      <c r="O13" s="52">
        <v>20.62</v>
      </c>
      <c r="P13" s="52">
        <v>20.94</v>
      </c>
      <c r="Q13" s="52">
        <v>21.27</v>
      </c>
      <c r="R13" s="52">
        <v>21.6</v>
      </c>
      <c r="S13" s="52">
        <v>15.7</v>
      </c>
      <c r="T13" s="52">
        <v>15.37</v>
      </c>
      <c r="U13" s="52">
        <v>15.05</v>
      </c>
      <c r="V13" s="52">
        <v>14.72</v>
      </c>
      <c r="W13" s="52">
        <v>14.39</v>
      </c>
      <c r="X13" s="485">
        <v>9</v>
      </c>
      <c r="Y13" s="478">
        <v>12.11</v>
      </c>
      <c r="Z13" s="478">
        <v>12.34</v>
      </c>
      <c r="AA13" s="478">
        <v>12.58</v>
      </c>
      <c r="AB13" s="478">
        <v>11.73</v>
      </c>
      <c r="AC13" s="478">
        <v>13.04</v>
      </c>
      <c r="AD13" s="293">
        <v>13.27</v>
      </c>
      <c r="AE13" s="293">
        <v>13.5</v>
      </c>
      <c r="AF13" s="293">
        <v>13.73</v>
      </c>
      <c r="AG13" s="294">
        <v>13.96</v>
      </c>
      <c r="AH13" s="295">
        <v>14.19</v>
      </c>
      <c r="AI13" s="295">
        <v>14.43</v>
      </c>
      <c r="AJ13" s="626">
        <v>14.66</v>
      </c>
      <c r="AK13" s="479">
        <v>14.89</v>
      </c>
      <c r="AL13" s="482">
        <v>15.12</v>
      </c>
      <c r="AM13" s="480">
        <v>15.35</v>
      </c>
      <c r="AN13" s="646">
        <v>15.58</v>
      </c>
      <c r="AO13" s="52">
        <v>15.81</v>
      </c>
      <c r="AP13" s="52">
        <v>16.04</v>
      </c>
      <c r="AQ13" s="52">
        <v>16.28</v>
      </c>
      <c r="AR13" s="52">
        <v>16.510000000000002</v>
      </c>
      <c r="AS13" s="52">
        <v>16.739999999999998</v>
      </c>
      <c r="AT13" s="52">
        <v>9.94</v>
      </c>
      <c r="AU13" s="483">
        <v>9.7100000000000009</v>
      </c>
    </row>
    <row r="14" spans="1:47">
      <c r="A14" s="478">
        <v>19.46</v>
      </c>
      <c r="B14" s="294">
        <v>23.65</v>
      </c>
      <c r="C14" s="295">
        <v>24.01</v>
      </c>
      <c r="D14" s="295">
        <v>24.38</v>
      </c>
      <c r="E14" s="621">
        <v>24.74</v>
      </c>
      <c r="F14" s="479">
        <v>21.28</v>
      </c>
      <c r="G14" s="479">
        <v>21.64</v>
      </c>
      <c r="H14" s="480">
        <v>22.01</v>
      </c>
      <c r="I14" s="52">
        <v>22.37</v>
      </c>
      <c r="J14" s="52">
        <v>22.4</v>
      </c>
      <c r="K14" s="52">
        <v>23.1</v>
      </c>
      <c r="L14" s="52">
        <v>23.46</v>
      </c>
      <c r="M14" s="52">
        <v>23.83</v>
      </c>
      <c r="N14" s="52">
        <v>24.19</v>
      </c>
      <c r="O14" s="52">
        <v>22.82</v>
      </c>
      <c r="P14" s="52">
        <v>23.19</v>
      </c>
      <c r="Q14" s="52">
        <v>23.55</v>
      </c>
      <c r="R14" s="52">
        <v>23.92</v>
      </c>
      <c r="S14" s="52">
        <v>17.36</v>
      </c>
      <c r="T14" s="52">
        <v>17</v>
      </c>
      <c r="U14" s="52">
        <v>16.64</v>
      </c>
      <c r="V14" s="52">
        <v>16.27</v>
      </c>
      <c r="W14" s="52">
        <v>15.91</v>
      </c>
      <c r="X14" s="485">
        <v>10</v>
      </c>
      <c r="Y14" s="478">
        <v>13.11</v>
      </c>
      <c r="Z14" s="478">
        <v>13.37</v>
      </c>
      <c r="AA14" s="478">
        <v>13.63</v>
      </c>
      <c r="AB14" s="478">
        <v>12.81</v>
      </c>
      <c r="AC14" s="478">
        <v>14.14</v>
      </c>
      <c r="AD14" s="293">
        <v>14.4</v>
      </c>
      <c r="AE14" s="293">
        <v>14.65</v>
      </c>
      <c r="AF14" s="293">
        <v>14.91</v>
      </c>
      <c r="AG14" s="294">
        <v>15.17</v>
      </c>
      <c r="AH14" s="295">
        <v>15.42</v>
      </c>
      <c r="AI14" s="295">
        <v>15.68</v>
      </c>
      <c r="AJ14" s="626">
        <v>15.94</v>
      </c>
      <c r="AK14" s="479">
        <v>16.2</v>
      </c>
      <c r="AL14" s="482">
        <v>16.45</v>
      </c>
      <c r="AM14" s="480">
        <v>16.71</v>
      </c>
      <c r="AN14" s="646">
        <v>16.97</v>
      </c>
      <c r="AO14" s="52">
        <v>17.22</v>
      </c>
      <c r="AP14" s="52">
        <v>17.48</v>
      </c>
      <c r="AQ14" s="52">
        <v>17.739999999999998</v>
      </c>
      <c r="AR14" s="52">
        <v>17.989999999999998</v>
      </c>
      <c r="AS14" s="52">
        <v>18.25</v>
      </c>
      <c r="AT14" s="52">
        <v>10.83</v>
      </c>
      <c r="AU14" s="483">
        <v>10.57</v>
      </c>
    </row>
    <row r="15" spans="1:47">
      <c r="A15" s="478">
        <v>21.31</v>
      </c>
      <c r="B15" s="294">
        <v>25.89</v>
      </c>
      <c r="C15" s="295">
        <v>26.29</v>
      </c>
      <c r="D15" s="295">
        <v>26.69</v>
      </c>
      <c r="E15" s="621">
        <v>27.09</v>
      </c>
      <c r="F15" s="479">
        <v>23.31</v>
      </c>
      <c r="G15" s="479">
        <v>23.71</v>
      </c>
      <c r="H15" s="480">
        <v>24.11</v>
      </c>
      <c r="I15" s="52">
        <v>24.51</v>
      </c>
      <c r="J15" s="52">
        <v>24.91</v>
      </c>
      <c r="K15" s="52">
        <v>25.31</v>
      </c>
      <c r="L15" s="52">
        <v>25.72</v>
      </c>
      <c r="M15" s="52">
        <v>26.12</v>
      </c>
      <c r="N15" s="52">
        <v>26.52</v>
      </c>
      <c r="O15" s="52">
        <v>25.03</v>
      </c>
      <c r="P15" s="52">
        <v>25.43</v>
      </c>
      <c r="Q15" s="52">
        <v>25.83</v>
      </c>
      <c r="R15" s="52">
        <v>26.23</v>
      </c>
      <c r="S15" s="52">
        <v>19.03</v>
      </c>
      <c r="T15" s="52">
        <v>18.63</v>
      </c>
      <c r="U15" s="52">
        <v>18.23</v>
      </c>
      <c r="V15" s="52">
        <v>17.829999999999998</v>
      </c>
      <c r="W15" s="52">
        <v>17.43</v>
      </c>
      <c r="X15" s="485">
        <v>11</v>
      </c>
      <c r="Y15" s="478">
        <v>14.11</v>
      </c>
      <c r="Z15" s="478">
        <v>14.39</v>
      </c>
      <c r="AA15" s="478">
        <v>14.68</v>
      </c>
      <c r="AB15" s="478">
        <v>14.96</v>
      </c>
      <c r="AC15" s="478">
        <v>15.24</v>
      </c>
      <c r="AD15" s="293">
        <v>15.52</v>
      </c>
      <c r="AE15" s="293">
        <v>15.81</v>
      </c>
      <c r="AF15" s="293">
        <v>16.09</v>
      </c>
      <c r="AG15" s="294">
        <v>16.37</v>
      </c>
      <c r="AH15" s="295">
        <v>16.649999999999999</v>
      </c>
      <c r="AI15" s="295">
        <v>16.940000000000001</v>
      </c>
      <c r="AJ15" s="626">
        <v>17.22</v>
      </c>
      <c r="AK15" s="479">
        <v>17.5</v>
      </c>
      <c r="AL15" s="482">
        <v>17.79</v>
      </c>
      <c r="AM15" s="480">
        <v>18.07</v>
      </c>
      <c r="AN15" s="646">
        <v>18.350000000000001</v>
      </c>
      <c r="AO15" s="52">
        <v>18.63</v>
      </c>
      <c r="AP15" s="52">
        <v>18.920000000000002</v>
      </c>
      <c r="AQ15" s="52">
        <v>19.2</v>
      </c>
      <c r="AR15" s="52">
        <v>19.48</v>
      </c>
      <c r="AS15" s="52">
        <v>19.760000000000002</v>
      </c>
      <c r="AT15" s="52">
        <v>11.71</v>
      </c>
      <c r="AU15" s="483">
        <v>11.43</v>
      </c>
    </row>
    <row r="16" spans="1:47">
      <c r="A16" s="478">
        <v>23.16</v>
      </c>
      <c r="B16" s="294">
        <v>28.12</v>
      </c>
      <c r="C16" s="295">
        <v>28.56</v>
      </c>
      <c r="D16" s="295">
        <v>29</v>
      </c>
      <c r="E16" s="621">
        <v>29.44</v>
      </c>
      <c r="F16" s="479">
        <v>25.35</v>
      </c>
      <c r="G16" s="479">
        <v>25.78</v>
      </c>
      <c r="H16" s="480">
        <v>26.22</v>
      </c>
      <c r="I16" s="52">
        <v>26.66</v>
      </c>
      <c r="J16" s="52">
        <v>27.09</v>
      </c>
      <c r="K16" s="52">
        <v>27.53</v>
      </c>
      <c r="L16" s="52">
        <v>27.97</v>
      </c>
      <c r="M16" s="52">
        <v>28.4</v>
      </c>
      <c r="N16" s="52">
        <v>28.84</v>
      </c>
      <c r="O16" s="52">
        <v>27.24</v>
      </c>
      <c r="P16" s="52">
        <v>27.68</v>
      </c>
      <c r="Q16" s="52">
        <v>28.11</v>
      </c>
      <c r="R16" s="52">
        <v>28.55</v>
      </c>
      <c r="S16" s="52">
        <v>20.69</v>
      </c>
      <c r="T16" s="52">
        <v>20.25</v>
      </c>
      <c r="U16" s="52">
        <v>19.82</v>
      </c>
      <c r="V16" s="52">
        <v>19.38</v>
      </c>
      <c r="W16" s="52">
        <v>18.940000000000001</v>
      </c>
      <c r="X16" s="485">
        <v>12</v>
      </c>
      <c r="Y16" s="478">
        <v>15.11</v>
      </c>
      <c r="Z16" s="478">
        <v>15.42</v>
      </c>
      <c r="AA16" s="478">
        <v>15.73</v>
      </c>
      <c r="AB16" s="478">
        <v>16.04</v>
      </c>
      <c r="AC16" s="478">
        <v>16.34</v>
      </c>
      <c r="AD16" s="293">
        <v>16.649999999999999</v>
      </c>
      <c r="AE16" s="293">
        <v>16.96</v>
      </c>
      <c r="AF16" s="293">
        <v>17.27</v>
      </c>
      <c r="AG16" s="294">
        <v>17.579999999999998</v>
      </c>
      <c r="AH16" s="295">
        <v>17.89</v>
      </c>
      <c r="AI16" s="295">
        <v>18.190000000000001</v>
      </c>
      <c r="AJ16" s="626">
        <v>18.5</v>
      </c>
      <c r="AK16" s="479">
        <v>18.809999999999999</v>
      </c>
      <c r="AL16" s="482">
        <v>19.12</v>
      </c>
      <c r="AM16" s="480">
        <v>19.43</v>
      </c>
      <c r="AN16" s="646">
        <v>19.739999999999998</v>
      </c>
      <c r="AO16" s="52">
        <v>20.04</v>
      </c>
      <c r="AP16" s="52">
        <v>20.350000000000001</v>
      </c>
      <c r="AQ16" s="52">
        <v>20.66</v>
      </c>
      <c r="AR16" s="52">
        <v>20.97</v>
      </c>
      <c r="AS16" s="52">
        <v>21.28</v>
      </c>
      <c r="AT16" s="52">
        <v>12.6</v>
      </c>
      <c r="AU16" s="483">
        <v>12.29</v>
      </c>
    </row>
    <row r="17" spans="1:47">
      <c r="A17" s="478">
        <v>25.01</v>
      </c>
      <c r="B17" s="294">
        <v>30.37</v>
      </c>
      <c r="C17" s="295">
        <v>30.84</v>
      </c>
      <c r="D17" s="295">
        <v>31.31</v>
      </c>
      <c r="E17" s="621">
        <v>31.78</v>
      </c>
      <c r="F17" s="479">
        <v>27.38</v>
      </c>
      <c r="G17" s="479">
        <v>27.85</v>
      </c>
      <c r="H17" s="480">
        <v>28.33</v>
      </c>
      <c r="I17" s="52">
        <v>28.8</v>
      </c>
      <c r="J17" s="52">
        <v>29.27</v>
      </c>
      <c r="K17" s="52">
        <v>29.75</v>
      </c>
      <c r="L17" s="52">
        <v>30.22</v>
      </c>
      <c r="M17" s="52">
        <v>30.69</v>
      </c>
      <c r="N17" s="52">
        <v>31.17</v>
      </c>
      <c r="O17" s="52">
        <v>29.45</v>
      </c>
      <c r="P17" s="52">
        <v>29.92</v>
      </c>
      <c r="Q17" s="52">
        <v>30.4</v>
      </c>
      <c r="R17" s="52">
        <v>30.87</v>
      </c>
      <c r="S17" s="52">
        <v>22.35</v>
      </c>
      <c r="T17" s="52">
        <v>21.88</v>
      </c>
      <c r="U17" s="52">
        <v>21.41</v>
      </c>
      <c r="V17" s="52">
        <v>20.93</v>
      </c>
      <c r="W17" s="52">
        <v>20.46</v>
      </c>
      <c r="X17" s="485">
        <v>13</v>
      </c>
      <c r="Y17" s="478">
        <v>16.11</v>
      </c>
      <c r="Z17" s="478">
        <v>16.440000000000001</v>
      </c>
      <c r="AA17" s="478">
        <v>16.78</v>
      </c>
      <c r="AB17" s="478">
        <v>17.11</v>
      </c>
      <c r="AC17" s="478">
        <v>17.45</v>
      </c>
      <c r="AD17" s="293">
        <v>17.78</v>
      </c>
      <c r="AE17" s="293">
        <v>18.12</v>
      </c>
      <c r="AF17" s="293">
        <v>18.45</v>
      </c>
      <c r="AG17" s="294">
        <v>18.78</v>
      </c>
      <c r="AH17" s="295">
        <v>19.12</v>
      </c>
      <c r="AI17" s="295">
        <v>19.45</v>
      </c>
      <c r="AJ17" s="626">
        <v>19.79</v>
      </c>
      <c r="AK17" s="479">
        <v>20.12</v>
      </c>
      <c r="AL17" s="482">
        <v>20.45</v>
      </c>
      <c r="AM17" s="480">
        <v>20.79</v>
      </c>
      <c r="AN17" s="646">
        <v>21.12</v>
      </c>
      <c r="AO17" s="52">
        <v>21.46</v>
      </c>
      <c r="AP17" s="52">
        <v>21.79</v>
      </c>
      <c r="AQ17" s="52">
        <v>22.12</v>
      </c>
      <c r="AR17" s="52">
        <v>22.46</v>
      </c>
      <c r="AS17" s="52">
        <v>22.79</v>
      </c>
      <c r="AT17" s="52">
        <v>13.49</v>
      </c>
      <c r="AU17" s="483">
        <v>13.16</v>
      </c>
    </row>
    <row r="18" spans="1:47">
      <c r="A18" s="478">
        <v>26.87</v>
      </c>
      <c r="B18" s="294">
        <v>32.6</v>
      </c>
      <c r="C18" s="295">
        <v>33.11</v>
      </c>
      <c r="D18" s="295">
        <v>33.619999999999997</v>
      </c>
      <c r="E18" s="621">
        <v>34.130000000000003</v>
      </c>
      <c r="F18" s="479">
        <v>29.41</v>
      </c>
      <c r="G18" s="479">
        <v>29.92</v>
      </c>
      <c r="H18" s="480">
        <v>30.43</v>
      </c>
      <c r="I18" s="52">
        <v>30.94</v>
      </c>
      <c r="J18" s="52">
        <v>31.45</v>
      </c>
      <c r="K18" s="52">
        <v>31.96</v>
      </c>
      <c r="L18" s="52">
        <v>32.47</v>
      </c>
      <c r="M18" s="52">
        <v>32.979999999999997</v>
      </c>
      <c r="N18" s="52">
        <v>33.49</v>
      </c>
      <c r="O18" s="52">
        <v>31.66</v>
      </c>
      <c r="P18" s="52">
        <v>32.17</v>
      </c>
      <c r="Q18" s="52">
        <v>32.68</v>
      </c>
      <c r="R18" s="52">
        <v>33.19</v>
      </c>
      <c r="S18" s="52">
        <v>24.02</v>
      </c>
      <c r="T18" s="52">
        <v>23.51</v>
      </c>
      <c r="U18" s="52">
        <v>23</v>
      </c>
      <c r="V18" s="52">
        <v>22.49</v>
      </c>
      <c r="W18" s="52">
        <v>21.98</v>
      </c>
      <c r="X18" s="485">
        <v>14</v>
      </c>
      <c r="Y18" s="478">
        <v>17.11</v>
      </c>
      <c r="Z18" s="478">
        <v>17.47</v>
      </c>
      <c r="AA18" s="478">
        <v>17.829999999999998</v>
      </c>
      <c r="AB18" s="478">
        <v>18.190000000000001</v>
      </c>
      <c r="AC18" s="478">
        <v>18.55</v>
      </c>
      <c r="AD18" s="293">
        <v>18.91</v>
      </c>
      <c r="AE18" s="293">
        <v>19.27</v>
      </c>
      <c r="AF18" s="293">
        <v>19.63</v>
      </c>
      <c r="AG18" s="294">
        <v>19.989999999999998</v>
      </c>
      <c r="AH18" s="295">
        <v>20.350000000000001</v>
      </c>
      <c r="AI18" s="295">
        <v>20.71</v>
      </c>
      <c r="AJ18" s="626">
        <v>21.07</v>
      </c>
      <c r="AK18" s="479">
        <v>21.43</v>
      </c>
      <c r="AL18" s="482">
        <v>21.79</v>
      </c>
      <c r="AM18" s="480">
        <v>22.15</v>
      </c>
      <c r="AN18" s="646">
        <v>22.51</v>
      </c>
      <c r="AO18" s="52">
        <v>22.87</v>
      </c>
      <c r="AP18" s="52">
        <v>23.23</v>
      </c>
      <c r="AQ18" s="52">
        <v>23.59</v>
      </c>
      <c r="AR18" s="52">
        <v>23.95</v>
      </c>
      <c r="AS18" s="52">
        <v>24.31</v>
      </c>
      <c r="AT18" s="52">
        <v>14.38</v>
      </c>
      <c r="AU18" s="483">
        <v>14.02</v>
      </c>
    </row>
    <row r="19" spans="1:47">
      <c r="A19" s="478">
        <v>28.72</v>
      </c>
      <c r="B19" s="294">
        <v>34.840000000000003</v>
      </c>
      <c r="C19" s="295">
        <v>35.39</v>
      </c>
      <c r="D19" s="295">
        <v>35.93</v>
      </c>
      <c r="E19" s="621">
        <v>36.479999999999997</v>
      </c>
      <c r="F19" s="479">
        <v>31.45</v>
      </c>
      <c r="G19" s="479">
        <v>31.99</v>
      </c>
      <c r="H19" s="480">
        <v>32.54</v>
      </c>
      <c r="I19" s="52">
        <v>33.08</v>
      </c>
      <c r="J19" s="52">
        <v>33.630000000000003</v>
      </c>
      <c r="K19" s="52">
        <v>34.18</v>
      </c>
      <c r="L19" s="52">
        <v>34.72</v>
      </c>
      <c r="M19" s="52">
        <v>35.270000000000003</v>
      </c>
      <c r="N19" s="52">
        <v>35.81</v>
      </c>
      <c r="O19" s="52">
        <v>33.869999999999997</v>
      </c>
      <c r="P19" s="52">
        <v>34.409999999999997</v>
      </c>
      <c r="Q19" s="52">
        <v>34.96</v>
      </c>
      <c r="R19" s="52">
        <v>35.51</v>
      </c>
      <c r="S19" s="52">
        <v>25.68</v>
      </c>
      <c r="T19" s="52">
        <v>25.13</v>
      </c>
      <c r="U19" s="52">
        <v>24.59</v>
      </c>
      <c r="V19" s="52">
        <v>24.04</v>
      </c>
      <c r="W19" s="52">
        <v>23.49</v>
      </c>
      <c r="X19" s="485">
        <v>15</v>
      </c>
      <c r="Y19" s="478">
        <v>18.170000000000002</v>
      </c>
      <c r="Z19" s="478">
        <v>18.55</v>
      </c>
      <c r="AA19" s="478">
        <v>18.940000000000001</v>
      </c>
      <c r="AB19" s="478">
        <v>19.32</v>
      </c>
      <c r="AC19" s="478">
        <v>19.71</v>
      </c>
      <c r="AD19" s="293">
        <v>20.09</v>
      </c>
      <c r="AE19" s="293">
        <v>20.48</v>
      </c>
      <c r="AF19" s="293">
        <v>20.87</v>
      </c>
      <c r="AG19" s="294">
        <v>21.25</v>
      </c>
      <c r="AH19" s="295">
        <v>21.64</v>
      </c>
      <c r="AI19" s="295">
        <v>22.02</v>
      </c>
      <c r="AJ19" s="626">
        <v>22.41</v>
      </c>
      <c r="AK19" s="479">
        <v>22.79</v>
      </c>
      <c r="AL19" s="482">
        <v>23.18</v>
      </c>
      <c r="AM19" s="480">
        <v>23.56</v>
      </c>
      <c r="AN19" s="646">
        <v>23.95</v>
      </c>
      <c r="AO19" s="52">
        <v>24.33</v>
      </c>
      <c r="AP19" s="52">
        <v>24.72</v>
      </c>
      <c r="AQ19" s="52">
        <v>25.11</v>
      </c>
      <c r="AR19" s="52">
        <v>25.49</v>
      </c>
      <c r="AS19" s="52">
        <v>25.88</v>
      </c>
      <c r="AT19" s="52">
        <v>15.3</v>
      </c>
      <c r="AU19" s="483">
        <v>14.92</v>
      </c>
    </row>
    <row r="20" spans="1:47">
      <c r="A20" s="478">
        <v>30.57</v>
      </c>
      <c r="B20" s="294">
        <v>37.08</v>
      </c>
      <c r="C20" s="295">
        <v>37.67</v>
      </c>
      <c r="D20" s="295">
        <v>38.25</v>
      </c>
      <c r="E20" s="621">
        <v>38.83</v>
      </c>
      <c r="F20" s="479">
        <v>33.479999999999997</v>
      </c>
      <c r="G20" s="479">
        <v>34.06</v>
      </c>
      <c r="H20" s="480">
        <v>34.65</v>
      </c>
      <c r="I20" s="52">
        <v>35.229999999999997</v>
      </c>
      <c r="J20" s="52">
        <v>35.81</v>
      </c>
      <c r="K20" s="52">
        <v>36.39</v>
      </c>
      <c r="L20" s="52">
        <v>36.979999999999997</v>
      </c>
      <c r="M20" s="52">
        <v>37.56</v>
      </c>
      <c r="N20" s="52">
        <v>38.14</v>
      </c>
      <c r="O20" s="52">
        <v>36.08</v>
      </c>
      <c r="P20" s="52">
        <v>36.659999999999997</v>
      </c>
      <c r="Q20" s="52">
        <v>37.24</v>
      </c>
      <c r="R20" s="52">
        <v>37.83</v>
      </c>
      <c r="S20" s="52">
        <v>27.34</v>
      </c>
      <c r="T20" s="52">
        <v>26.76</v>
      </c>
      <c r="U20" s="52">
        <v>26.18</v>
      </c>
      <c r="V20" s="52">
        <v>25.6</v>
      </c>
      <c r="W20" s="52">
        <v>25.01</v>
      </c>
      <c r="X20" s="485">
        <v>16</v>
      </c>
      <c r="Y20" s="478">
        <v>19.34</v>
      </c>
      <c r="Z20" s="478">
        <v>19.75</v>
      </c>
      <c r="AA20" s="478">
        <v>20.16</v>
      </c>
      <c r="AB20" s="478">
        <v>20.57</v>
      </c>
      <c r="AC20" s="478">
        <v>20.98</v>
      </c>
      <c r="AD20" s="293">
        <v>21.39</v>
      </c>
      <c r="AE20" s="293">
        <v>21.8</v>
      </c>
      <c r="AF20" s="293">
        <v>22.21</v>
      </c>
      <c r="AG20" s="294">
        <v>22.63</v>
      </c>
      <c r="AH20" s="295">
        <v>23.04</v>
      </c>
      <c r="AI20" s="295">
        <v>23.45</v>
      </c>
      <c r="AJ20" s="626">
        <v>23.86</v>
      </c>
      <c r="AK20" s="479">
        <v>24.27</v>
      </c>
      <c r="AL20" s="482">
        <v>24.68</v>
      </c>
      <c r="AM20" s="480">
        <v>25.09</v>
      </c>
      <c r="AN20" s="646">
        <v>25.5</v>
      </c>
      <c r="AO20" s="52">
        <v>25.91</v>
      </c>
      <c r="AP20" s="52">
        <v>26.33</v>
      </c>
      <c r="AQ20" s="52">
        <v>26.74</v>
      </c>
      <c r="AR20" s="52">
        <v>27.15</v>
      </c>
      <c r="AS20" s="52">
        <v>27.56</v>
      </c>
      <c r="AT20" s="52">
        <v>16.3</v>
      </c>
      <c r="AU20" s="483">
        <v>15.89</v>
      </c>
    </row>
    <row r="21" spans="1:47">
      <c r="A21" s="478">
        <v>32.42</v>
      </c>
      <c r="B21" s="294">
        <v>39.32</v>
      </c>
      <c r="C21" s="295">
        <v>39.94</v>
      </c>
      <c r="D21" s="295">
        <v>40.56</v>
      </c>
      <c r="E21" s="621">
        <v>41.18</v>
      </c>
      <c r="F21" s="479">
        <v>35.51</v>
      </c>
      <c r="G21" s="479">
        <v>36.130000000000003</v>
      </c>
      <c r="H21" s="480">
        <v>36.75</v>
      </c>
      <c r="I21" s="52">
        <v>37.369999999999997</v>
      </c>
      <c r="J21" s="52">
        <v>37.99</v>
      </c>
      <c r="K21" s="52">
        <v>38.61</v>
      </c>
      <c r="L21" s="52">
        <v>39.229999999999997</v>
      </c>
      <c r="M21" s="52">
        <v>39.840000000000003</v>
      </c>
      <c r="N21" s="52">
        <v>40.46</v>
      </c>
      <c r="O21" s="52">
        <v>38.29</v>
      </c>
      <c r="P21" s="52">
        <v>38.909999999999997</v>
      </c>
      <c r="Q21" s="52">
        <v>39.520000000000003</v>
      </c>
      <c r="R21" s="52">
        <v>40.14</v>
      </c>
      <c r="S21" s="52">
        <v>29</v>
      </c>
      <c r="T21" s="52">
        <v>28.39</v>
      </c>
      <c r="U21" s="52">
        <v>27.77</v>
      </c>
      <c r="V21" s="52">
        <v>27.15</v>
      </c>
      <c r="W21" s="52">
        <v>26.53</v>
      </c>
      <c r="X21" s="485">
        <v>17</v>
      </c>
      <c r="Y21" s="478">
        <v>20.51</v>
      </c>
      <c r="Z21" s="478">
        <v>20.94</v>
      </c>
      <c r="AA21" s="478">
        <v>21.38</v>
      </c>
      <c r="AB21" s="478">
        <v>21.82</v>
      </c>
      <c r="AC21" s="478">
        <v>22.25</v>
      </c>
      <c r="AD21" s="293">
        <v>22.69</v>
      </c>
      <c r="AE21" s="293">
        <v>23.13</v>
      </c>
      <c r="AF21" s="293">
        <v>23.56</v>
      </c>
      <c r="AG21" s="294">
        <v>24</v>
      </c>
      <c r="AH21" s="295">
        <v>24.44</v>
      </c>
      <c r="AI21" s="295">
        <v>24.87</v>
      </c>
      <c r="AJ21" s="626">
        <v>25.31</v>
      </c>
      <c r="AK21" s="479">
        <v>25.75</v>
      </c>
      <c r="AL21" s="482">
        <v>26.19</v>
      </c>
      <c r="AM21" s="480">
        <v>26.62</v>
      </c>
      <c r="AN21" s="646">
        <v>27.06</v>
      </c>
      <c r="AO21" s="52">
        <v>27.5</v>
      </c>
      <c r="AP21" s="52">
        <v>27.93</v>
      </c>
      <c r="AQ21" s="52">
        <v>28.37</v>
      </c>
      <c r="AR21" s="52">
        <v>28.81</v>
      </c>
      <c r="AS21" s="52">
        <v>29.24</v>
      </c>
      <c r="AT21" s="52">
        <v>17.29</v>
      </c>
      <c r="AU21" s="52">
        <v>16.850000000000001</v>
      </c>
    </row>
    <row r="22" spans="1:47">
      <c r="A22" s="478">
        <v>34.270000000000003</v>
      </c>
      <c r="B22" s="294">
        <v>41.56</v>
      </c>
      <c r="C22" s="295">
        <v>42.21</v>
      </c>
      <c r="D22" s="295">
        <v>42.87</v>
      </c>
      <c r="E22" s="621">
        <v>43.52</v>
      </c>
      <c r="F22" s="479">
        <v>37.54</v>
      </c>
      <c r="G22" s="479">
        <v>38.200000000000003</v>
      </c>
      <c r="H22" s="480">
        <v>38.85</v>
      </c>
      <c r="I22" s="52">
        <v>39.51</v>
      </c>
      <c r="J22" s="52">
        <v>40.17</v>
      </c>
      <c r="K22" s="52">
        <v>40.82</v>
      </c>
      <c r="L22" s="52">
        <v>41.48</v>
      </c>
      <c r="M22" s="52">
        <v>42.13</v>
      </c>
      <c r="N22" s="52">
        <v>42.79</v>
      </c>
      <c r="O22" s="52">
        <v>40.49</v>
      </c>
      <c r="P22" s="52">
        <v>41.15</v>
      </c>
      <c r="Q22" s="52">
        <v>41.8</v>
      </c>
      <c r="R22" s="52">
        <v>42.46</v>
      </c>
      <c r="S22" s="52">
        <v>30.67</v>
      </c>
      <c r="T22" s="52">
        <v>30.01</v>
      </c>
      <c r="U22" s="52">
        <v>29.36</v>
      </c>
      <c r="V22" s="52">
        <v>28.7</v>
      </c>
      <c r="W22" s="52">
        <v>28.05</v>
      </c>
      <c r="X22" s="485">
        <v>18</v>
      </c>
      <c r="Y22" s="478">
        <v>21.68</v>
      </c>
      <c r="Z22" s="478">
        <v>22.14</v>
      </c>
      <c r="AA22" s="478">
        <v>22.6</v>
      </c>
      <c r="AB22" s="478">
        <v>23.06</v>
      </c>
      <c r="AC22" s="478">
        <v>23.53</v>
      </c>
      <c r="AD22" s="293">
        <v>23.99</v>
      </c>
      <c r="AE22" s="293">
        <v>24.45</v>
      </c>
      <c r="AF22" s="293">
        <v>24.91</v>
      </c>
      <c r="AG22" s="294">
        <v>25.38</v>
      </c>
      <c r="AH22" s="295">
        <v>25.84</v>
      </c>
      <c r="AI22" s="295">
        <v>26.3</v>
      </c>
      <c r="AJ22" s="626">
        <v>26.76</v>
      </c>
      <c r="AK22" s="479">
        <v>27.23</v>
      </c>
      <c r="AL22" s="482">
        <v>27.69</v>
      </c>
      <c r="AM22" s="480">
        <v>28.15</v>
      </c>
      <c r="AN22" s="646">
        <v>28.61</v>
      </c>
      <c r="AO22" s="52">
        <v>29.08</v>
      </c>
      <c r="AP22" s="52">
        <v>29.54</v>
      </c>
      <c r="AQ22" s="52">
        <v>30</v>
      </c>
      <c r="AR22" s="52">
        <v>30.46</v>
      </c>
      <c r="AS22" s="52">
        <v>30.93</v>
      </c>
      <c r="AT22" s="52">
        <v>18.29</v>
      </c>
      <c r="AU22" s="52">
        <v>17.82</v>
      </c>
    </row>
    <row r="23" spans="1:47">
      <c r="A23" s="478">
        <v>36.119999999999997</v>
      </c>
      <c r="B23" s="294">
        <v>43.8</v>
      </c>
      <c r="C23" s="295">
        <v>44.49</v>
      </c>
      <c r="D23" s="295">
        <v>45.18</v>
      </c>
      <c r="E23" s="621">
        <v>45.88</v>
      </c>
      <c r="F23" s="479">
        <v>39.58</v>
      </c>
      <c r="G23" s="479">
        <v>40.270000000000003</v>
      </c>
      <c r="H23" s="480">
        <v>40.97</v>
      </c>
      <c r="I23" s="52">
        <v>41.66</v>
      </c>
      <c r="J23" s="52">
        <v>42.35</v>
      </c>
      <c r="K23" s="52">
        <v>43.04</v>
      </c>
      <c r="L23" s="52">
        <v>43.73</v>
      </c>
      <c r="M23" s="52">
        <v>44.42</v>
      </c>
      <c r="N23" s="52">
        <v>45.11</v>
      </c>
      <c r="O23" s="52">
        <v>42.71</v>
      </c>
      <c r="P23" s="52">
        <v>43.4</v>
      </c>
      <c r="Q23" s="52">
        <v>44.09</v>
      </c>
      <c r="R23" s="52">
        <v>44.78</v>
      </c>
      <c r="S23" s="52">
        <v>32.33</v>
      </c>
      <c r="T23" s="52">
        <v>31.64</v>
      </c>
      <c r="U23" s="52">
        <v>30.95</v>
      </c>
      <c r="V23" s="52">
        <v>30.26</v>
      </c>
      <c r="W23" s="52">
        <v>29.57</v>
      </c>
      <c r="X23" s="485">
        <v>19</v>
      </c>
      <c r="Y23" s="478">
        <v>22.85</v>
      </c>
      <c r="Z23" s="478">
        <v>23.33</v>
      </c>
      <c r="AA23" s="478">
        <v>23.82</v>
      </c>
      <c r="AB23" s="478">
        <v>24.31</v>
      </c>
      <c r="AC23" s="478">
        <v>24.8</v>
      </c>
      <c r="AD23" s="293">
        <v>25.29</v>
      </c>
      <c r="AE23" s="293">
        <v>25.78</v>
      </c>
      <c r="AF23" s="293">
        <v>26.26</v>
      </c>
      <c r="AG23" s="294">
        <v>26.75</v>
      </c>
      <c r="AH23" s="295">
        <v>27.24</v>
      </c>
      <c r="AI23" s="295">
        <v>27.73</v>
      </c>
      <c r="AJ23" s="626">
        <v>28.22</v>
      </c>
      <c r="AK23" s="479">
        <v>28.7</v>
      </c>
      <c r="AL23" s="482">
        <v>29.19</v>
      </c>
      <c r="AM23" s="480">
        <v>29.68</v>
      </c>
      <c r="AN23" s="646">
        <v>30.17</v>
      </c>
      <c r="AO23" s="52">
        <v>30.66</v>
      </c>
      <c r="AP23" s="52">
        <v>31.15</v>
      </c>
      <c r="AQ23" s="52">
        <v>31.63</v>
      </c>
      <c r="AR23" s="52">
        <v>32.119999999999997</v>
      </c>
      <c r="AS23" s="52">
        <v>32.61</v>
      </c>
      <c r="AT23" s="52">
        <v>19.28</v>
      </c>
      <c r="AU23" s="52">
        <v>18.79</v>
      </c>
    </row>
    <row r="24" spans="1:47">
      <c r="A24" s="478">
        <v>37.979999999999997</v>
      </c>
      <c r="B24" s="294">
        <v>46.04</v>
      </c>
      <c r="C24" s="295">
        <v>46.77</v>
      </c>
      <c r="D24" s="295">
        <v>47.5</v>
      </c>
      <c r="E24" s="621">
        <v>48.22</v>
      </c>
      <c r="F24" s="479">
        <v>41.62</v>
      </c>
      <c r="G24" s="479">
        <v>42.34</v>
      </c>
      <c r="H24" s="480">
        <v>43.07</v>
      </c>
      <c r="I24" s="52">
        <v>43.8</v>
      </c>
      <c r="J24" s="52">
        <v>44.53</v>
      </c>
      <c r="K24" s="52">
        <v>45.26</v>
      </c>
      <c r="L24" s="52">
        <v>45.98</v>
      </c>
      <c r="M24" s="52">
        <v>46.71</v>
      </c>
      <c r="N24" s="52">
        <v>47.44</v>
      </c>
      <c r="O24" s="52">
        <v>44.91</v>
      </c>
      <c r="P24" s="52">
        <v>45.64</v>
      </c>
      <c r="Q24" s="52">
        <v>46.37</v>
      </c>
      <c r="R24" s="52">
        <v>47.1</v>
      </c>
      <c r="S24" s="52">
        <v>33.99</v>
      </c>
      <c r="T24" s="52">
        <v>33.270000000000003</v>
      </c>
      <c r="U24" s="52">
        <v>32.54</v>
      </c>
      <c r="V24" s="52">
        <v>31.81</v>
      </c>
      <c r="W24" s="52">
        <v>31.08</v>
      </c>
      <c r="X24" s="485">
        <v>20</v>
      </c>
      <c r="Y24" s="478">
        <v>24.01</v>
      </c>
      <c r="Z24" s="478">
        <v>24.53</v>
      </c>
      <c r="AA24" s="478">
        <v>25.04</v>
      </c>
      <c r="AB24" s="478">
        <v>25.56</v>
      </c>
      <c r="AC24" s="478">
        <v>26.07</v>
      </c>
      <c r="AD24" s="293">
        <v>26.58</v>
      </c>
      <c r="AE24" s="293">
        <v>27.1</v>
      </c>
      <c r="AF24" s="293">
        <v>27.61</v>
      </c>
      <c r="AG24" s="294">
        <v>28.13</v>
      </c>
      <c r="AH24" s="295">
        <v>28.64</v>
      </c>
      <c r="AI24" s="295">
        <v>29.15</v>
      </c>
      <c r="AJ24" s="626">
        <v>29.67</v>
      </c>
      <c r="AK24" s="479">
        <v>30.18</v>
      </c>
      <c r="AL24" s="482">
        <v>30.7</v>
      </c>
      <c r="AM24" s="480">
        <v>31.21</v>
      </c>
      <c r="AN24" s="646">
        <v>31.72</v>
      </c>
      <c r="AO24" s="52">
        <v>32.24</v>
      </c>
      <c r="AP24" s="52">
        <v>32.75</v>
      </c>
      <c r="AQ24" s="52">
        <v>33.270000000000003</v>
      </c>
      <c r="AR24" s="52">
        <v>33.78</v>
      </c>
      <c r="AS24" s="52">
        <v>34.29</v>
      </c>
      <c r="AT24" s="52">
        <v>20.27</v>
      </c>
      <c r="AU24" s="52">
        <v>19.760000000000002</v>
      </c>
    </row>
    <row r="25" spans="1:47">
      <c r="A25" s="478">
        <v>39.82</v>
      </c>
      <c r="B25" s="294">
        <v>48.28</v>
      </c>
      <c r="C25" s="295">
        <v>49.04</v>
      </c>
      <c r="D25" s="295">
        <v>49.8</v>
      </c>
      <c r="E25" s="621">
        <v>50.57</v>
      </c>
      <c r="F25" s="479">
        <v>43.65</v>
      </c>
      <c r="G25" s="479">
        <v>44.41</v>
      </c>
      <c r="H25" s="480">
        <v>45.18</v>
      </c>
      <c r="I25" s="52">
        <v>45.94</v>
      </c>
      <c r="J25" s="52">
        <v>46.7</v>
      </c>
      <c r="K25" s="52">
        <v>47.47</v>
      </c>
      <c r="L25" s="52">
        <v>48.23</v>
      </c>
      <c r="M25" s="52">
        <v>49</v>
      </c>
      <c r="N25" s="52">
        <v>49.76</v>
      </c>
      <c r="O25" s="52">
        <v>47.12</v>
      </c>
      <c r="P25" s="52">
        <v>47.89</v>
      </c>
      <c r="Q25" s="52">
        <v>48.65</v>
      </c>
      <c r="R25" s="52">
        <v>49.41</v>
      </c>
      <c r="S25" s="52">
        <v>35.659999999999997</v>
      </c>
      <c r="T25" s="52">
        <v>34.89</v>
      </c>
      <c r="U25" s="52">
        <v>34.130000000000003</v>
      </c>
      <c r="V25" s="52">
        <v>33.36</v>
      </c>
      <c r="W25" s="52">
        <v>32.6</v>
      </c>
      <c r="X25" s="485">
        <v>21</v>
      </c>
      <c r="Y25" s="478">
        <v>25.19</v>
      </c>
      <c r="Z25" s="478">
        <v>25.73</v>
      </c>
      <c r="AA25" s="478">
        <v>26.26</v>
      </c>
      <c r="AB25" s="478">
        <v>26.8</v>
      </c>
      <c r="AC25" s="478">
        <v>27.34</v>
      </c>
      <c r="AD25" s="293">
        <v>27.88</v>
      </c>
      <c r="AE25" s="293">
        <v>28.42</v>
      </c>
      <c r="AF25" s="293">
        <v>28.96</v>
      </c>
      <c r="AG25" s="294">
        <v>29.5</v>
      </c>
      <c r="AH25" s="295">
        <v>30.04</v>
      </c>
      <c r="AI25" s="295">
        <v>30.58</v>
      </c>
      <c r="AJ25" s="626">
        <v>31.12</v>
      </c>
      <c r="AK25" s="479">
        <v>31.66</v>
      </c>
      <c r="AL25" s="482">
        <v>32.200000000000003</v>
      </c>
      <c r="AM25" s="480">
        <v>32.74</v>
      </c>
      <c r="AN25" s="646">
        <v>33.28</v>
      </c>
      <c r="AO25" s="52">
        <v>33.82</v>
      </c>
      <c r="AP25" s="52">
        <v>34.36</v>
      </c>
      <c r="AQ25" s="52">
        <v>34.9</v>
      </c>
      <c r="AR25" s="52">
        <v>35.44</v>
      </c>
      <c r="AS25" s="52">
        <v>35.979999999999997</v>
      </c>
      <c r="AT25" s="52">
        <v>21.27</v>
      </c>
      <c r="AU25" s="52">
        <v>20.73</v>
      </c>
    </row>
    <row r="26" spans="1:47">
      <c r="A26" s="478">
        <v>41.68</v>
      </c>
      <c r="B26" s="294">
        <v>50.52</v>
      </c>
      <c r="C26" s="295">
        <v>51.32</v>
      </c>
      <c r="D26" s="295">
        <v>52.12</v>
      </c>
      <c r="E26" s="621">
        <v>52.92</v>
      </c>
      <c r="F26" s="479">
        <v>45.68</v>
      </c>
      <c r="G26" s="479">
        <v>46.49</v>
      </c>
      <c r="H26" s="480">
        <v>47.29</v>
      </c>
      <c r="I26" s="52">
        <v>48.09</v>
      </c>
      <c r="J26" s="52">
        <v>48.89</v>
      </c>
      <c r="K26" s="52">
        <v>49.69</v>
      </c>
      <c r="L26" s="52">
        <v>50.49</v>
      </c>
      <c r="M26" s="52">
        <v>51.29</v>
      </c>
      <c r="N26" s="52">
        <v>52.09</v>
      </c>
      <c r="O26" s="52">
        <v>49.33</v>
      </c>
      <c r="P26" s="52">
        <v>50.14</v>
      </c>
      <c r="Q26" s="52">
        <v>50.94</v>
      </c>
      <c r="R26" s="52">
        <v>51.74</v>
      </c>
      <c r="S26" s="52">
        <v>37.32</v>
      </c>
      <c r="T26" s="52">
        <v>36.520000000000003</v>
      </c>
      <c r="U26" s="52">
        <v>35.72</v>
      </c>
      <c r="V26" s="52">
        <v>34.92</v>
      </c>
      <c r="W26" s="52">
        <v>34.119999999999997</v>
      </c>
      <c r="X26" s="485">
        <v>22</v>
      </c>
      <c r="Y26" s="478">
        <v>26.35</v>
      </c>
      <c r="Z26" s="478">
        <v>26.92</v>
      </c>
      <c r="AA26" s="478">
        <v>27.48</v>
      </c>
      <c r="AB26" s="478">
        <v>28.05</v>
      </c>
      <c r="AC26" s="478">
        <v>28.61</v>
      </c>
      <c r="AD26" s="293">
        <v>29.18</v>
      </c>
      <c r="AE26" s="293">
        <v>29.75</v>
      </c>
      <c r="AF26" s="293">
        <v>30.31</v>
      </c>
      <c r="AG26" s="294">
        <v>30.88</v>
      </c>
      <c r="AH26" s="295">
        <v>31.44</v>
      </c>
      <c r="AI26" s="295">
        <v>32.01</v>
      </c>
      <c r="AJ26" s="626">
        <v>32.57</v>
      </c>
      <c r="AK26" s="479">
        <v>33.14</v>
      </c>
      <c r="AL26" s="482">
        <v>33.700000000000003</v>
      </c>
      <c r="AM26" s="480">
        <v>34.270000000000003</v>
      </c>
      <c r="AN26" s="646">
        <v>34.83</v>
      </c>
      <c r="AO26" s="52">
        <v>35.4</v>
      </c>
      <c r="AP26" s="52">
        <v>35.96</v>
      </c>
      <c r="AQ26" s="52">
        <v>36.53</v>
      </c>
      <c r="AR26" s="52">
        <v>37.1</v>
      </c>
      <c r="AS26" s="52">
        <v>37.659999999999997</v>
      </c>
      <c r="AT26" s="52">
        <v>22.26</v>
      </c>
      <c r="AU26" s="52">
        <v>21.7</v>
      </c>
    </row>
    <row r="27" spans="1:47">
      <c r="A27" s="478">
        <v>43.53</v>
      </c>
      <c r="B27" s="294">
        <v>52.75</v>
      </c>
      <c r="C27" s="295">
        <v>53.59</v>
      </c>
      <c r="D27" s="295">
        <v>54.43</v>
      </c>
      <c r="E27" s="621">
        <v>55.26</v>
      </c>
      <c r="F27" s="479">
        <v>47.71</v>
      </c>
      <c r="G27" s="479">
        <v>48.55</v>
      </c>
      <c r="H27" s="480">
        <v>49.39</v>
      </c>
      <c r="I27" s="52">
        <v>50.22</v>
      </c>
      <c r="J27" s="52">
        <v>51.06</v>
      </c>
      <c r="K27" s="52">
        <v>51.9</v>
      </c>
      <c r="L27" s="52">
        <v>52.74</v>
      </c>
      <c r="M27" s="52">
        <v>53.57</v>
      </c>
      <c r="N27" s="52">
        <v>54.41</v>
      </c>
      <c r="O27" s="52">
        <v>51.54</v>
      </c>
      <c r="P27" s="52">
        <v>52.38</v>
      </c>
      <c r="Q27" s="52">
        <v>53.21</v>
      </c>
      <c r="R27" s="52">
        <v>54.05</v>
      </c>
      <c r="S27" s="52">
        <v>38.979999999999997</v>
      </c>
      <c r="T27" s="52">
        <v>38.14</v>
      </c>
      <c r="U27" s="52">
        <v>37.31</v>
      </c>
      <c r="V27" s="52">
        <v>36.47</v>
      </c>
      <c r="W27" s="52">
        <v>35.630000000000003</v>
      </c>
      <c r="X27" s="485">
        <v>23</v>
      </c>
      <c r="Y27" s="478">
        <v>27.53</v>
      </c>
      <c r="Z27" s="478">
        <v>28.12</v>
      </c>
      <c r="AA27" s="478">
        <v>28.71</v>
      </c>
      <c r="AB27" s="478">
        <v>29.3</v>
      </c>
      <c r="AC27" s="478">
        <v>29.89</v>
      </c>
      <c r="AD27" s="293">
        <v>30.48</v>
      </c>
      <c r="AE27" s="293">
        <v>31.07</v>
      </c>
      <c r="AF27" s="293">
        <v>31.66</v>
      </c>
      <c r="AG27" s="294">
        <v>32.25</v>
      </c>
      <c r="AH27" s="295">
        <v>32.85</v>
      </c>
      <c r="AI27" s="295">
        <v>33.44</v>
      </c>
      <c r="AJ27" s="626">
        <v>34.03</v>
      </c>
      <c r="AK27" s="479">
        <v>34.619999999999997</v>
      </c>
      <c r="AL27" s="482">
        <v>35.21</v>
      </c>
      <c r="AM27" s="480">
        <v>35.799999999999997</v>
      </c>
      <c r="AN27" s="646">
        <v>36.39</v>
      </c>
      <c r="AO27" s="52">
        <v>36.979999999999997</v>
      </c>
      <c r="AP27" s="52">
        <v>37.57</v>
      </c>
      <c r="AQ27" s="52">
        <v>38.17</v>
      </c>
      <c r="AR27" s="52">
        <v>38.76</v>
      </c>
      <c r="AS27" s="52">
        <v>39.35</v>
      </c>
      <c r="AT27" s="52">
        <v>23.26</v>
      </c>
      <c r="AU27" s="52">
        <v>22.67</v>
      </c>
    </row>
    <row r="28" spans="1:47">
      <c r="A28" s="478">
        <v>45.38</v>
      </c>
      <c r="B28" s="294">
        <v>55</v>
      </c>
      <c r="C28" s="295">
        <v>55.87</v>
      </c>
      <c r="D28" s="295">
        <v>56.74</v>
      </c>
      <c r="E28" s="621">
        <v>57.62</v>
      </c>
      <c r="F28" s="479">
        <v>49.75</v>
      </c>
      <c r="G28" s="479">
        <v>50.62</v>
      </c>
      <c r="H28" s="480">
        <v>51.5</v>
      </c>
      <c r="I28" s="52">
        <v>52.37</v>
      </c>
      <c r="J28" s="52">
        <v>53.24</v>
      </c>
      <c r="K28" s="52">
        <v>54.12</v>
      </c>
      <c r="L28" s="52">
        <v>54.99</v>
      </c>
      <c r="M28" s="52">
        <v>55.86</v>
      </c>
      <c r="N28" s="52">
        <v>56.74</v>
      </c>
      <c r="O28" s="52">
        <v>53.75</v>
      </c>
      <c r="P28" s="52">
        <v>54.62</v>
      </c>
      <c r="Q28" s="52">
        <v>55.5</v>
      </c>
      <c r="R28" s="52">
        <v>56.37</v>
      </c>
      <c r="S28" s="52">
        <v>40.65</v>
      </c>
      <c r="T28" s="52">
        <v>39.770000000000003</v>
      </c>
      <c r="U28" s="52">
        <v>38.9</v>
      </c>
      <c r="V28" s="52">
        <v>38.03</v>
      </c>
      <c r="W28" s="52">
        <v>37.15</v>
      </c>
      <c r="X28" s="485">
        <v>24</v>
      </c>
      <c r="Y28" s="478">
        <v>28.69</v>
      </c>
      <c r="Z28" s="478">
        <v>29.31</v>
      </c>
      <c r="AA28" s="478">
        <v>29.93</v>
      </c>
      <c r="AB28" s="478">
        <v>30.54</v>
      </c>
      <c r="AC28" s="478">
        <v>31.16</v>
      </c>
      <c r="AD28" s="293">
        <v>31.78</v>
      </c>
      <c r="AE28" s="293">
        <v>32.39</v>
      </c>
      <c r="AF28" s="293">
        <v>33.01</v>
      </c>
      <c r="AG28" s="294">
        <v>33.630000000000003</v>
      </c>
      <c r="AH28" s="295">
        <v>34.24</v>
      </c>
      <c r="AI28" s="295">
        <v>34.86</v>
      </c>
      <c r="AJ28" s="626">
        <v>35.479999999999997</v>
      </c>
      <c r="AK28" s="479">
        <v>36.090000000000003</v>
      </c>
      <c r="AL28" s="482">
        <v>36.71</v>
      </c>
      <c r="AM28" s="480">
        <v>37.33</v>
      </c>
      <c r="AN28" s="646">
        <v>37.94</v>
      </c>
      <c r="AO28" s="52">
        <v>38.56</v>
      </c>
      <c r="AP28" s="52">
        <v>39.18</v>
      </c>
      <c r="AQ28" s="52">
        <v>39.79</v>
      </c>
      <c r="AR28" s="52">
        <v>40.409999999999997</v>
      </c>
      <c r="AS28" s="52">
        <v>41.03</v>
      </c>
      <c r="AT28" s="52">
        <v>24.25</v>
      </c>
      <c r="AU28" s="52">
        <v>23.63</v>
      </c>
    </row>
    <row r="29" spans="1:47">
      <c r="A29" s="478">
        <v>47.24</v>
      </c>
      <c r="B29" s="294">
        <v>57.24</v>
      </c>
      <c r="C29" s="295">
        <v>58.15</v>
      </c>
      <c r="D29" s="295">
        <v>59.06</v>
      </c>
      <c r="E29" s="621">
        <v>59.97</v>
      </c>
      <c r="F29" s="479">
        <v>51.79</v>
      </c>
      <c r="G29" s="479">
        <v>52.7</v>
      </c>
      <c r="H29" s="480">
        <v>53.61</v>
      </c>
      <c r="I29" s="52">
        <v>54.52</v>
      </c>
      <c r="J29" s="52">
        <v>55.43</v>
      </c>
      <c r="K29" s="52">
        <v>56.34</v>
      </c>
      <c r="L29" s="52">
        <v>57.25</v>
      </c>
      <c r="M29" s="52">
        <v>58.16</v>
      </c>
      <c r="N29" s="52">
        <v>59.07</v>
      </c>
      <c r="O29" s="52">
        <v>55.96</v>
      </c>
      <c r="P29" s="52">
        <v>56.87</v>
      </c>
      <c r="Q29" s="52">
        <v>57.78</v>
      </c>
      <c r="R29" s="52">
        <v>58.69</v>
      </c>
      <c r="S29" s="52">
        <v>42.31</v>
      </c>
      <c r="T29" s="52">
        <v>41.4</v>
      </c>
      <c r="U29" s="52">
        <v>40.49</v>
      </c>
      <c r="V29" s="52">
        <v>39.58</v>
      </c>
      <c r="W29" s="52">
        <v>38.67</v>
      </c>
      <c r="X29" s="485">
        <v>25</v>
      </c>
      <c r="Y29" s="478">
        <v>29.86</v>
      </c>
      <c r="Z29" s="478">
        <v>30.51</v>
      </c>
      <c r="AA29" s="478">
        <v>31.15</v>
      </c>
      <c r="AB29" s="478">
        <v>31.79</v>
      </c>
      <c r="AC29" s="478">
        <v>32.43</v>
      </c>
      <c r="AD29" s="293">
        <v>33.08</v>
      </c>
      <c r="AE29" s="293">
        <v>33.72</v>
      </c>
      <c r="AF29" s="293">
        <v>34.36</v>
      </c>
      <c r="AG29" s="294">
        <v>35</v>
      </c>
      <c r="AH29" s="295">
        <v>35.65</v>
      </c>
      <c r="AI29" s="295">
        <v>36.29</v>
      </c>
      <c r="AJ29" s="626">
        <v>36.93</v>
      </c>
      <c r="AK29" s="479">
        <v>37.57</v>
      </c>
      <c r="AL29" s="482">
        <v>38.22</v>
      </c>
      <c r="AM29" s="480">
        <v>38.86</v>
      </c>
      <c r="AN29" s="646">
        <v>39.5</v>
      </c>
      <c r="AO29" s="52">
        <v>40.14</v>
      </c>
      <c r="AP29" s="52">
        <v>40.79</v>
      </c>
      <c r="AQ29" s="52">
        <v>41.43</v>
      </c>
      <c r="AR29" s="52">
        <v>42.07</v>
      </c>
      <c r="AS29" s="52">
        <v>42.71</v>
      </c>
      <c r="AT29" s="52">
        <v>25.25</v>
      </c>
      <c r="AU29" s="52">
        <v>24.6</v>
      </c>
    </row>
    <row r="30" spans="1:47">
      <c r="A30" s="478">
        <v>49.09</v>
      </c>
      <c r="B30" s="294">
        <v>59.48</v>
      </c>
      <c r="C30" s="295">
        <v>60.42</v>
      </c>
      <c r="D30" s="295">
        <v>61.37</v>
      </c>
      <c r="E30" s="621">
        <v>62.31</v>
      </c>
      <c r="F30" s="479">
        <v>53.82</v>
      </c>
      <c r="G30" s="479">
        <v>54.76</v>
      </c>
      <c r="H30" s="480">
        <v>55.71</v>
      </c>
      <c r="I30" s="52">
        <v>56.66</v>
      </c>
      <c r="J30" s="52">
        <v>57.6</v>
      </c>
      <c r="K30" s="52">
        <v>58.55</v>
      </c>
      <c r="L30" s="52">
        <v>59.5</v>
      </c>
      <c r="M30" s="52">
        <v>60.44</v>
      </c>
      <c r="N30" s="52">
        <v>61.39</v>
      </c>
      <c r="O30" s="52">
        <v>58.17</v>
      </c>
      <c r="P30" s="52">
        <v>59.12</v>
      </c>
      <c r="Q30" s="52">
        <v>60.06</v>
      </c>
      <c r="R30" s="52">
        <v>61.01</v>
      </c>
      <c r="S30" s="52">
        <v>43.97</v>
      </c>
      <c r="T30" s="52">
        <v>43.03</v>
      </c>
      <c r="U30" s="52">
        <v>42.08</v>
      </c>
      <c r="V30" s="52">
        <v>41.13</v>
      </c>
      <c r="W30" s="52">
        <v>40.19</v>
      </c>
      <c r="X30" s="485">
        <v>26</v>
      </c>
      <c r="Y30" s="478">
        <v>31.03</v>
      </c>
      <c r="Z30" s="478">
        <v>31.7</v>
      </c>
      <c r="AA30" s="478">
        <v>32.369999999999997</v>
      </c>
      <c r="AB30" s="478">
        <v>33.04</v>
      </c>
      <c r="AC30" s="478">
        <v>33.700000000000003</v>
      </c>
      <c r="AD30" s="293">
        <v>34.369999999999997</v>
      </c>
      <c r="AE30" s="293">
        <v>35.04</v>
      </c>
      <c r="AF30" s="293">
        <v>35.71</v>
      </c>
      <c r="AG30" s="294">
        <v>36.380000000000003</v>
      </c>
      <c r="AH30" s="295">
        <v>37.04</v>
      </c>
      <c r="AI30" s="295">
        <v>37.71</v>
      </c>
      <c r="AJ30" s="626">
        <v>38.380000000000003</v>
      </c>
      <c r="AK30" s="479">
        <v>39.049999999999997</v>
      </c>
      <c r="AL30" s="482">
        <v>39.72</v>
      </c>
      <c r="AM30" s="480">
        <v>40.39</v>
      </c>
      <c r="AN30" s="646">
        <v>41.05</v>
      </c>
      <c r="AO30" s="52">
        <v>41.72</v>
      </c>
      <c r="AP30" s="52">
        <v>42.39</v>
      </c>
      <c r="AQ30" s="52">
        <v>43.06</v>
      </c>
      <c r="AR30" s="52">
        <v>43.73</v>
      </c>
      <c r="AS30" s="52">
        <v>44.39</v>
      </c>
      <c r="AT30" s="52">
        <v>26.24</v>
      </c>
      <c r="AU30" s="52">
        <v>25.57</v>
      </c>
    </row>
    <row r="31" spans="1:47">
      <c r="A31" s="478">
        <v>50.94</v>
      </c>
      <c r="B31" s="294">
        <v>61.72</v>
      </c>
      <c r="C31" s="295">
        <v>62.7</v>
      </c>
      <c r="D31" s="295">
        <v>63.68</v>
      </c>
      <c r="E31" s="621">
        <v>64.66</v>
      </c>
      <c r="F31" s="479">
        <v>55.85</v>
      </c>
      <c r="G31" s="479">
        <v>56.84</v>
      </c>
      <c r="H31" s="480">
        <v>57.82</v>
      </c>
      <c r="I31" s="52">
        <v>58.8</v>
      </c>
      <c r="J31" s="52">
        <v>59.78</v>
      </c>
      <c r="K31" s="52">
        <v>60.77</v>
      </c>
      <c r="L31" s="52">
        <v>61.75</v>
      </c>
      <c r="M31" s="52">
        <v>62.73</v>
      </c>
      <c r="N31" s="52">
        <v>63.71</v>
      </c>
      <c r="O31" s="52">
        <v>60.38</v>
      </c>
      <c r="P31" s="52">
        <v>61.36</v>
      </c>
      <c r="Q31" s="52">
        <v>62.35</v>
      </c>
      <c r="R31" s="52">
        <v>63.33</v>
      </c>
      <c r="S31" s="52">
        <v>45.64</v>
      </c>
      <c r="T31" s="52">
        <v>44.65</v>
      </c>
      <c r="U31" s="52">
        <v>43.67</v>
      </c>
      <c r="V31" s="52">
        <v>42.69</v>
      </c>
      <c r="W31" s="52">
        <v>41.71</v>
      </c>
      <c r="X31" s="485">
        <v>27</v>
      </c>
      <c r="Y31" s="478">
        <v>32.200000000000003</v>
      </c>
      <c r="Z31" s="478">
        <v>32.9</v>
      </c>
      <c r="AA31" s="478">
        <v>33.590000000000003</v>
      </c>
      <c r="AB31" s="478">
        <v>34.28</v>
      </c>
      <c r="AC31" s="478">
        <v>34.979999999999997</v>
      </c>
      <c r="AD31" s="293">
        <v>35.67</v>
      </c>
      <c r="AE31" s="293">
        <v>36.36</v>
      </c>
      <c r="AF31" s="293">
        <v>37.06</v>
      </c>
      <c r="AG31" s="294">
        <v>37.75</v>
      </c>
      <c r="AH31" s="295">
        <v>38.450000000000003</v>
      </c>
      <c r="AI31" s="295">
        <v>39.14</v>
      </c>
      <c r="AJ31" s="626">
        <v>39.83</v>
      </c>
      <c r="AK31" s="479">
        <v>40.53</v>
      </c>
      <c r="AL31" s="482">
        <v>41.22</v>
      </c>
      <c r="AM31" s="480">
        <v>41.92</v>
      </c>
      <c r="AN31" s="646">
        <v>42.61</v>
      </c>
      <c r="AO31" s="52">
        <v>43.3</v>
      </c>
      <c r="AP31" s="52">
        <v>44</v>
      </c>
      <c r="AQ31" s="52">
        <v>44.69</v>
      </c>
      <c r="AR31" s="52">
        <v>45.39</v>
      </c>
      <c r="AS31" s="52">
        <v>46.08</v>
      </c>
      <c r="AT31" s="52">
        <v>27.23</v>
      </c>
      <c r="AU31" s="52">
        <v>26.54</v>
      </c>
    </row>
    <row r="32" spans="1:47">
      <c r="A32" s="478">
        <v>52.79</v>
      </c>
      <c r="B32" s="294">
        <v>63.96</v>
      </c>
      <c r="C32" s="295">
        <v>64.98</v>
      </c>
      <c r="D32" s="295">
        <v>66</v>
      </c>
      <c r="E32" s="621">
        <v>67.02</v>
      </c>
      <c r="F32" s="479">
        <v>57.89</v>
      </c>
      <c r="G32" s="479">
        <v>58.91</v>
      </c>
      <c r="H32" s="480">
        <v>59.93</v>
      </c>
      <c r="I32" s="52">
        <v>60.95</v>
      </c>
      <c r="J32" s="52">
        <v>61.96</v>
      </c>
      <c r="K32" s="52">
        <v>62.98</v>
      </c>
      <c r="L32" s="52">
        <v>64</v>
      </c>
      <c r="M32" s="52">
        <v>65.02</v>
      </c>
      <c r="N32" s="52">
        <v>66.040000000000006</v>
      </c>
      <c r="O32" s="52">
        <v>62.59</v>
      </c>
      <c r="P32" s="52">
        <v>63.61</v>
      </c>
      <c r="Q32" s="52">
        <v>64.63</v>
      </c>
      <c r="R32" s="52">
        <v>65.650000000000006</v>
      </c>
      <c r="S32" s="52">
        <v>47.3</v>
      </c>
      <c r="T32" s="52">
        <v>46.28</v>
      </c>
      <c r="U32" s="52">
        <v>45.26</v>
      </c>
      <c r="V32" s="52">
        <v>44.24</v>
      </c>
      <c r="W32" s="52">
        <v>43.23</v>
      </c>
      <c r="X32" s="485">
        <v>28</v>
      </c>
      <c r="Y32" s="478">
        <v>3.37</v>
      </c>
      <c r="Z32" s="478">
        <v>34.090000000000003</v>
      </c>
      <c r="AA32" s="478">
        <v>34.81</v>
      </c>
      <c r="AB32" s="478">
        <v>35.53</v>
      </c>
      <c r="AC32" s="478">
        <v>36.25</v>
      </c>
      <c r="AD32" s="293">
        <v>36.97</v>
      </c>
      <c r="AE32" s="293">
        <v>37.69</v>
      </c>
      <c r="AF32" s="293">
        <v>38.409999999999997</v>
      </c>
      <c r="AG32" s="294">
        <v>39.130000000000003</v>
      </c>
      <c r="AH32" s="295">
        <v>39.85</v>
      </c>
      <c r="AI32" s="295">
        <v>40.57</v>
      </c>
      <c r="AJ32" s="626">
        <v>41.29</v>
      </c>
      <c r="AK32" s="479">
        <v>42.01</v>
      </c>
      <c r="AL32" s="482">
        <v>42.73</v>
      </c>
      <c r="AM32" s="480">
        <v>43.45</v>
      </c>
      <c r="AN32" s="646">
        <v>44.17</v>
      </c>
      <c r="AO32" s="52">
        <v>44.89</v>
      </c>
      <c r="AP32" s="52">
        <v>45.61</v>
      </c>
      <c r="AQ32" s="52">
        <v>46.33</v>
      </c>
      <c r="AR32" s="52">
        <v>47.05</v>
      </c>
      <c r="AS32" s="52">
        <v>47.77</v>
      </c>
      <c r="AT32" s="52">
        <v>28.23</v>
      </c>
      <c r="AU32" s="52">
        <v>27.51</v>
      </c>
    </row>
    <row r="33" spans="1:47">
      <c r="A33" s="478">
        <v>54.63</v>
      </c>
      <c r="B33" s="294">
        <v>66.180000000000007</v>
      </c>
      <c r="C33" s="295">
        <v>67.239999999999995</v>
      </c>
      <c r="D33" s="295">
        <v>68.290000000000006</v>
      </c>
      <c r="E33" s="621">
        <v>69.349999999999994</v>
      </c>
      <c r="F33" s="479">
        <v>59.91</v>
      </c>
      <c r="G33" s="479">
        <v>60.97</v>
      </c>
      <c r="H33" s="480">
        <v>62.02</v>
      </c>
      <c r="I33" s="52">
        <v>63.08</v>
      </c>
      <c r="J33" s="52">
        <v>64.13</v>
      </c>
      <c r="K33" s="52">
        <v>65.19</v>
      </c>
      <c r="L33" s="52">
        <v>66.239999999999995</v>
      </c>
      <c r="M33" s="52">
        <v>67.3</v>
      </c>
      <c r="N33" s="52">
        <v>68.36</v>
      </c>
      <c r="O33" s="52">
        <v>64.790000000000006</v>
      </c>
      <c r="P33" s="52">
        <v>65.849999999999994</v>
      </c>
      <c r="Q33" s="52">
        <v>66.900000000000006</v>
      </c>
      <c r="R33" s="52">
        <v>67.959999999999994</v>
      </c>
      <c r="S33" s="52">
        <v>48.96</v>
      </c>
      <c r="T33" s="52">
        <v>47.9</v>
      </c>
      <c r="U33" s="52">
        <v>46.85</v>
      </c>
      <c r="V33" s="52">
        <v>45.79</v>
      </c>
      <c r="W33" s="52">
        <v>44.73</v>
      </c>
      <c r="X33" s="485">
        <v>29</v>
      </c>
      <c r="Y33" s="478">
        <v>34.54</v>
      </c>
      <c r="Z33" s="478">
        <v>35.29</v>
      </c>
      <c r="AA33" s="478">
        <v>36.03</v>
      </c>
      <c r="AB33" s="478">
        <v>36.78</v>
      </c>
      <c r="AC33" s="478">
        <v>37.520000000000003</v>
      </c>
      <c r="AD33" s="293">
        <v>38.270000000000003</v>
      </c>
      <c r="AE33" s="293">
        <v>39.01</v>
      </c>
      <c r="AF33" s="293">
        <v>39.76</v>
      </c>
      <c r="AG33" s="294">
        <v>40.5</v>
      </c>
      <c r="AH33" s="295">
        <v>41.25</v>
      </c>
      <c r="AI33" s="295">
        <v>41.99</v>
      </c>
      <c r="AJ33" s="626">
        <v>42.74</v>
      </c>
      <c r="AK33" s="479">
        <v>43.48</v>
      </c>
      <c r="AL33" s="482">
        <v>44.23</v>
      </c>
      <c r="AM33" s="480">
        <v>44.97</v>
      </c>
      <c r="AN33" s="646">
        <v>45.72</v>
      </c>
      <c r="AO33" s="52">
        <v>46.46</v>
      </c>
      <c r="AP33" s="52">
        <v>47.21</v>
      </c>
      <c r="AQ33" s="52">
        <v>47.96</v>
      </c>
      <c r="AR33" s="52">
        <v>48.7</v>
      </c>
      <c r="AS33" s="52">
        <v>49.45</v>
      </c>
      <c r="AT33" s="52">
        <v>29.22</v>
      </c>
      <c r="AU33" s="52">
        <v>28.48</v>
      </c>
    </row>
    <row r="34" spans="1:47">
      <c r="A34" s="478">
        <v>56.49</v>
      </c>
      <c r="B34" s="294">
        <v>68.430000000000007</v>
      </c>
      <c r="C34" s="295">
        <v>69.53</v>
      </c>
      <c r="D34" s="295">
        <v>70.62</v>
      </c>
      <c r="E34" s="621">
        <v>71.709999999999994</v>
      </c>
      <c r="F34" s="479">
        <v>61.95</v>
      </c>
      <c r="G34" s="479">
        <v>63.05</v>
      </c>
      <c r="H34" s="480">
        <v>64.14</v>
      </c>
      <c r="I34" s="52">
        <v>65.23</v>
      </c>
      <c r="J34" s="52">
        <v>66.319999999999993</v>
      </c>
      <c r="K34" s="52">
        <v>67.41</v>
      </c>
      <c r="L34" s="52">
        <v>68.510000000000005</v>
      </c>
      <c r="M34" s="52">
        <v>69.599999999999994</v>
      </c>
      <c r="N34" s="52">
        <v>70.69</v>
      </c>
      <c r="O34" s="52">
        <v>67.010000000000005</v>
      </c>
      <c r="P34" s="52">
        <v>68.099999999999994</v>
      </c>
      <c r="Q34" s="52">
        <v>69.19</v>
      </c>
      <c r="R34" s="52">
        <v>70.28</v>
      </c>
      <c r="S34" s="52">
        <v>50.63</v>
      </c>
      <c r="T34" s="52">
        <v>49.53</v>
      </c>
      <c r="U34" s="52">
        <v>48.44</v>
      </c>
      <c r="V34" s="52">
        <v>47.35</v>
      </c>
      <c r="W34" s="52">
        <v>46.26</v>
      </c>
      <c r="X34" s="485">
        <v>30</v>
      </c>
      <c r="Y34" s="478">
        <v>35.71</v>
      </c>
      <c r="Z34" s="478">
        <v>36.479999999999997</v>
      </c>
      <c r="AA34" s="478">
        <v>37.25</v>
      </c>
      <c r="AB34" s="478">
        <v>38.03</v>
      </c>
      <c r="AC34" s="478">
        <v>38.799999999999997</v>
      </c>
      <c r="AD34" s="293">
        <v>39.57</v>
      </c>
      <c r="AE34" s="293">
        <v>40.340000000000003</v>
      </c>
      <c r="AF34" s="293">
        <v>41.11</v>
      </c>
      <c r="AG34" s="294">
        <v>41.88</v>
      </c>
      <c r="AH34" s="295">
        <v>42.65</v>
      </c>
      <c r="AI34" s="295">
        <v>43.42</v>
      </c>
      <c r="AJ34" s="626">
        <v>44.19</v>
      </c>
      <c r="AK34" s="479">
        <v>44.96</v>
      </c>
      <c r="AL34" s="482">
        <v>45.74</v>
      </c>
      <c r="AM34" s="480">
        <v>46.51</v>
      </c>
      <c r="AN34" s="646">
        <v>47.28</v>
      </c>
      <c r="AO34" s="52">
        <v>48.05</v>
      </c>
      <c r="AP34" s="52">
        <v>48.82</v>
      </c>
      <c r="AQ34" s="52">
        <v>49.59</v>
      </c>
      <c r="AR34" s="52">
        <v>50.36</v>
      </c>
      <c r="AS34" s="52">
        <v>51.13</v>
      </c>
      <c r="AT34" s="52">
        <v>30.22</v>
      </c>
      <c r="AU34" s="52">
        <v>29.45</v>
      </c>
    </row>
    <row r="35" spans="1:47">
      <c r="A35" s="478">
        <v>58.34</v>
      </c>
      <c r="B35" s="294">
        <v>70.66</v>
      </c>
      <c r="C35" s="295">
        <v>71.790000000000006</v>
      </c>
      <c r="D35" s="295">
        <v>72.92</v>
      </c>
      <c r="E35" s="621">
        <v>74.05</v>
      </c>
      <c r="F35" s="479">
        <v>63.98</v>
      </c>
      <c r="G35" s="479">
        <v>65.11</v>
      </c>
      <c r="H35" s="480">
        <v>66.23</v>
      </c>
      <c r="I35" s="52">
        <v>67.36</v>
      </c>
      <c r="J35" s="52">
        <v>68.489999999999995</v>
      </c>
      <c r="K35" s="52">
        <v>69.62</v>
      </c>
      <c r="L35" s="52">
        <v>70.75</v>
      </c>
      <c r="M35" s="52">
        <v>71.88</v>
      </c>
      <c r="N35" s="52">
        <v>73</v>
      </c>
      <c r="O35" s="52">
        <v>69.209999999999994</v>
      </c>
      <c r="P35" s="52">
        <v>70.34</v>
      </c>
      <c r="Q35" s="52">
        <v>71.47</v>
      </c>
      <c r="R35" s="52">
        <v>72.59</v>
      </c>
      <c r="S35" s="52">
        <v>52.28</v>
      </c>
      <c r="T35" s="52">
        <v>51.15</v>
      </c>
      <c r="U35" s="52">
        <v>50.03</v>
      </c>
      <c r="V35" s="52">
        <v>48.9</v>
      </c>
      <c r="W35" s="52">
        <v>47.77</v>
      </c>
      <c r="X35" s="485">
        <v>31</v>
      </c>
      <c r="Y35" s="478">
        <v>36.880000000000003</v>
      </c>
      <c r="Z35" s="478">
        <v>37.68</v>
      </c>
      <c r="AA35" s="478">
        <v>38.47</v>
      </c>
      <c r="AB35" s="478">
        <v>39.270000000000003</v>
      </c>
      <c r="AC35" s="478">
        <v>40.07</v>
      </c>
      <c r="AD35" s="293">
        <v>40.86</v>
      </c>
      <c r="AE35" s="293">
        <v>41.66</v>
      </c>
      <c r="AF35" s="293">
        <v>42.46</v>
      </c>
      <c r="AG35" s="294">
        <v>43.25</v>
      </c>
      <c r="AH35" s="295">
        <v>44.05</v>
      </c>
      <c r="AI35" s="295">
        <v>44.85</v>
      </c>
      <c r="AJ35" s="626">
        <v>45.64</v>
      </c>
      <c r="AK35" s="479">
        <v>46.44</v>
      </c>
      <c r="AL35" s="482">
        <v>47.24</v>
      </c>
      <c r="AM35" s="480">
        <v>48.03</v>
      </c>
      <c r="AN35" s="646">
        <v>48.83</v>
      </c>
      <c r="AO35" s="52">
        <v>49.63</v>
      </c>
      <c r="AP35" s="52">
        <v>50.42</v>
      </c>
      <c r="AQ35" s="52">
        <v>51.22</v>
      </c>
      <c r="AR35" s="52">
        <v>52.02</v>
      </c>
      <c r="AS35" s="52">
        <v>52.81</v>
      </c>
      <c r="AT35" s="52">
        <v>31.21</v>
      </c>
      <c r="AU35" s="52">
        <v>30.42</v>
      </c>
    </row>
    <row r="36" spans="1:47">
      <c r="A36" s="486">
        <v>60.2</v>
      </c>
      <c r="B36" s="297">
        <v>72.91</v>
      </c>
      <c r="C36" s="298">
        <v>74.08</v>
      </c>
      <c r="D36" s="298">
        <v>75.239999999999995</v>
      </c>
      <c r="E36" s="621">
        <v>76.41</v>
      </c>
      <c r="F36" s="487">
        <v>66.02</v>
      </c>
      <c r="G36" s="487">
        <v>67.19</v>
      </c>
      <c r="H36" s="488">
        <v>68.349999999999994</v>
      </c>
      <c r="I36" s="52">
        <v>69.52</v>
      </c>
      <c r="J36" s="52">
        <v>70.680000000000007</v>
      </c>
      <c r="K36" s="52">
        <v>71.84</v>
      </c>
      <c r="L36" s="52">
        <v>73.010000000000005</v>
      </c>
      <c r="M36" s="52">
        <v>74.17</v>
      </c>
      <c r="N36" s="52">
        <v>75.34</v>
      </c>
      <c r="O36" s="52">
        <v>71.430000000000007</v>
      </c>
      <c r="P36" s="52">
        <v>72.59</v>
      </c>
      <c r="Q36" s="52">
        <v>73.75</v>
      </c>
      <c r="R36" s="52">
        <v>74.92</v>
      </c>
      <c r="S36" s="52">
        <v>53.95</v>
      </c>
      <c r="T36" s="52">
        <v>52.79</v>
      </c>
      <c r="U36" s="52">
        <v>51.62</v>
      </c>
      <c r="V36" s="52">
        <v>50.46</v>
      </c>
      <c r="W36" s="52">
        <v>49.29</v>
      </c>
      <c r="X36" s="485">
        <v>32</v>
      </c>
      <c r="Y36" s="486">
        <v>38.049999999999997</v>
      </c>
      <c r="Z36" s="486">
        <v>38.869999999999997</v>
      </c>
      <c r="AA36" s="486">
        <v>39.69</v>
      </c>
      <c r="AB36" s="486">
        <v>40.520000000000003</v>
      </c>
      <c r="AC36" s="486">
        <v>41.34</v>
      </c>
      <c r="AD36" s="296">
        <v>42.16</v>
      </c>
      <c r="AE36" s="296">
        <v>42.98</v>
      </c>
      <c r="AF36" s="296">
        <v>43.81</v>
      </c>
      <c r="AG36" s="297">
        <v>44.63</v>
      </c>
      <c r="AH36" s="295">
        <v>45.45</v>
      </c>
      <c r="AI36" s="298">
        <v>46.27</v>
      </c>
      <c r="AJ36" s="626">
        <v>47.1</v>
      </c>
      <c r="AK36" s="487">
        <v>47.92</v>
      </c>
      <c r="AL36" s="482">
        <v>48.74</v>
      </c>
      <c r="AM36" s="488">
        <v>49.56</v>
      </c>
      <c r="AN36" s="646">
        <v>50.39</v>
      </c>
      <c r="AO36" s="52">
        <v>51.21</v>
      </c>
      <c r="AP36" s="52">
        <v>52.03</v>
      </c>
      <c r="AQ36" s="52">
        <v>52.85</v>
      </c>
      <c r="AR36" s="52">
        <v>53.68</v>
      </c>
      <c r="AS36" s="52">
        <v>54.5</v>
      </c>
      <c r="AT36" s="52">
        <v>32.21</v>
      </c>
      <c r="AU36" s="52">
        <v>31.38</v>
      </c>
    </row>
    <row r="37" spans="1:47">
      <c r="A37" s="489">
        <v>62.05</v>
      </c>
      <c r="B37" s="300">
        <v>75.150000000000006</v>
      </c>
      <c r="C37" s="301">
        <v>76.349999999999994</v>
      </c>
      <c r="D37" s="301">
        <v>77.55</v>
      </c>
      <c r="E37" s="621">
        <v>78.760000000000005</v>
      </c>
      <c r="F37" s="490">
        <v>68.05</v>
      </c>
      <c r="G37" s="490">
        <v>69.260000000000005</v>
      </c>
      <c r="H37" s="491">
        <v>70.459999999999994</v>
      </c>
      <c r="I37" s="52">
        <v>71.66</v>
      </c>
      <c r="J37" s="52">
        <v>72.86</v>
      </c>
      <c r="K37" s="52">
        <v>74.06</v>
      </c>
      <c r="L37" s="52">
        <v>75.260000000000005</v>
      </c>
      <c r="M37" s="52">
        <v>76.459999999999994</v>
      </c>
      <c r="N37" s="52">
        <v>77.66</v>
      </c>
      <c r="O37" s="52">
        <v>73.63</v>
      </c>
      <c r="P37" s="52">
        <v>74.84</v>
      </c>
      <c r="Q37" s="52">
        <v>76.040000000000006</v>
      </c>
      <c r="R37" s="52">
        <v>77.239999999999995</v>
      </c>
      <c r="S37" s="52">
        <v>55.62</v>
      </c>
      <c r="T37" s="52">
        <v>54.42</v>
      </c>
      <c r="U37" s="52">
        <v>53.21</v>
      </c>
      <c r="V37" s="52">
        <v>52.01</v>
      </c>
      <c r="W37" s="52">
        <v>50.81</v>
      </c>
      <c r="X37" s="485">
        <v>33</v>
      </c>
      <c r="Y37" s="489">
        <v>39.22</v>
      </c>
      <c r="Z37" s="489">
        <v>40.07</v>
      </c>
      <c r="AA37" s="489">
        <v>40.92</v>
      </c>
      <c r="AB37" s="489">
        <v>41.76</v>
      </c>
      <c r="AC37" s="489">
        <v>42.61</v>
      </c>
      <c r="AD37" s="299">
        <v>43.46</v>
      </c>
      <c r="AE37" s="299">
        <v>44.31</v>
      </c>
      <c r="AF37" s="299">
        <v>45.16</v>
      </c>
      <c r="AG37" s="300">
        <v>46</v>
      </c>
      <c r="AH37" s="298">
        <v>46.85</v>
      </c>
      <c r="AI37" s="301">
        <v>47.7</v>
      </c>
      <c r="AJ37" s="626">
        <v>48.55</v>
      </c>
      <c r="AK37" s="490">
        <v>49.4</v>
      </c>
      <c r="AL37" s="482">
        <v>50.24</v>
      </c>
      <c r="AM37" s="491">
        <v>51.09</v>
      </c>
      <c r="AN37" s="646">
        <v>51.94</v>
      </c>
      <c r="AO37" s="52">
        <v>52.79</v>
      </c>
      <c r="AP37" s="52">
        <v>53.64</v>
      </c>
      <c r="AQ37" s="52">
        <v>54.49</v>
      </c>
      <c r="AR37" s="52">
        <v>55.33</v>
      </c>
      <c r="AS37" s="52">
        <v>56.18</v>
      </c>
      <c r="AT37" s="52">
        <v>33.200000000000003</v>
      </c>
      <c r="AU37" s="52">
        <v>32.35</v>
      </c>
    </row>
    <row r="38" spans="1:47">
      <c r="A38" s="489">
        <v>63.9</v>
      </c>
      <c r="B38" s="300">
        <v>77.400000000000006</v>
      </c>
      <c r="C38" s="301">
        <v>78.63</v>
      </c>
      <c r="D38" s="301">
        <v>79.87</v>
      </c>
      <c r="E38" s="621">
        <v>81.11</v>
      </c>
      <c r="F38" s="490">
        <v>70.09</v>
      </c>
      <c r="G38" s="490">
        <v>71.33</v>
      </c>
      <c r="H38" s="491">
        <v>72.569999999999993</v>
      </c>
      <c r="I38" s="52">
        <v>73.8</v>
      </c>
      <c r="J38" s="52">
        <v>75.040000000000006</v>
      </c>
      <c r="K38" s="52">
        <v>76.28</v>
      </c>
      <c r="L38" s="52">
        <v>77.52</v>
      </c>
      <c r="M38" s="52">
        <v>78.760000000000005</v>
      </c>
      <c r="N38" s="52">
        <v>79.989999999999995</v>
      </c>
      <c r="O38" s="52">
        <v>75.849999999999994</v>
      </c>
      <c r="P38" s="52">
        <v>77.08</v>
      </c>
      <c r="Q38" s="52">
        <v>78.319999999999993</v>
      </c>
      <c r="R38" s="52">
        <v>79.56</v>
      </c>
      <c r="S38" s="52">
        <v>57.28</v>
      </c>
      <c r="T38" s="52">
        <v>56.04</v>
      </c>
      <c r="U38" s="52">
        <v>54.81</v>
      </c>
      <c r="V38" s="52">
        <v>53.57</v>
      </c>
      <c r="W38" s="52">
        <v>52.33</v>
      </c>
      <c r="X38" s="485">
        <v>34</v>
      </c>
      <c r="Y38" s="489">
        <v>40.39</v>
      </c>
      <c r="Z38" s="489">
        <v>41.26</v>
      </c>
      <c r="AA38" s="489">
        <v>42.14</v>
      </c>
      <c r="AB38" s="489">
        <v>43.01</v>
      </c>
      <c r="AC38" s="489">
        <v>43.88</v>
      </c>
      <c r="AD38" s="299">
        <v>44.76</v>
      </c>
      <c r="AE38" s="299">
        <v>45.63</v>
      </c>
      <c r="AF38" s="299">
        <v>46.51</v>
      </c>
      <c r="AG38" s="300">
        <v>47.38</v>
      </c>
      <c r="AH38" s="301">
        <v>48.25</v>
      </c>
      <c r="AI38" s="301">
        <v>49.13</v>
      </c>
      <c r="AJ38" s="626">
        <v>50</v>
      </c>
      <c r="AK38" s="490">
        <v>50.87</v>
      </c>
      <c r="AL38" s="482">
        <v>51.75</v>
      </c>
      <c r="AM38" s="491">
        <v>52.62</v>
      </c>
      <c r="AN38" s="646">
        <v>53.5</v>
      </c>
      <c r="AO38" s="52">
        <v>54.37</v>
      </c>
      <c r="AP38" s="52">
        <v>55.24</v>
      </c>
      <c r="AQ38" s="52">
        <v>56.12</v>
      </c>
      <c r="AR38" s="52">
        <v>56.99</v>
      </c>
      <c r="AS38" s="52">
        <v>57.86</v>
      </c>
      <c r="AT38" s="52">
        <v>34.19</v>
      </c>
      <c r="AU38" s="52">
        <v>33.32</v>
      </c>
    </row>
    <row r="39" spans="1:47">
      <c r="A39" s="489">
        <v>65.739999999999995</v>
      </c>
      <c r="B39" s="300">
        <v>79.62</v>
      </c>
      <c r="C39" s="301">
        <v>80.89</v>
      </c>
      <c r="D39" s="301">
        <v>82.17</v>
      </c>
      <c r="E39" s="621">
        <v>83.44</v>
      </c>
      <c r="F39" s="490">
        <v>72.11</v>
      </c>
      <c r="G39" s="490">
        <v>73.39</v>
      </c>
      <c r="H39" s="491">
        <v>74.66</v>
      </c>
      <c r="I39" s="52">
        <v>75.94</v>
      </c>
      <c r="J39" s="52">
        <v>77.209999999999994</v>
      </c>
      <c r="K39" s="52">
        <v>78.48</v>
      </c>
      <c r="L39" s="52">
        <v>79.760000000000005</v>
      </c>
      <c r="M39" s="52">
        <v>81.03</v>
      </c>
      <c r="N39" s="52">
        <v>82.31</v>
      </c>
      <c r="O39" s="52">
        <v>78.05</v>
      </c>
      <c r="P39" s="52">
        <v>79.319999999999993</v>
      </c>
      <c r="Q39" s="52">
        <v>80.59</v>
      </c>
      <c r="R39" s="52">
        <v>81.87</v>
      </c>
      <c r="S39" s="52">
        <v>58.94</v>
      </c>
      <c r="T39" s="52">
        <v>57.66</v>
      </c>
      <c r="U39" s="52">
        <v>56.39</v>
      </c>
      <c r="V39" s="52">
        <v>55.11</v>
      </c>
      <c r="W39" s="52">
        <v>53.84</v>
      </c>
      <c r="X39" s="485">
        <v>35</v>
      </c>
      <c r="Y39" s="489">
        <v>41.56</v>
      </c>
      <c r="Z39" s="489">
        <v>42.46</v>
      </c>
      <c r="AA39" s="489">
        <v>43.36</v>
      </c>
      <c r="AB39" s="489">
        <v>44.26</v>
      </c>
      <c r="AC39" s="489">
        <v>45.15</v>
      </c>
      <c r="AD39" s="299">
        <v>46.05</v>
      </c>
      <c r="AE39" s="299">
        <v>46.95</v>
      </c>
      <c r="AF39" s="299">
        <v>47.85</v>
      </c>
      <c r="AG39" s="300">
        <v>48.75</v>
      </c>
      <c r="AH39" s="301">
        <v>49.65</v>
      </c>
      <c r="AI39" s="301">
        <v>50.55</v>
      </c>
      <c r="AJ39" s="626">
        <v>51.45</v>
      </c>
      <c r="AK39" s="490">
        <v>52.35</v>
      </c>
      <c r="AL39" s="482">
        <v>53.25</v>
      </c>
      <c r="AM39" s="491">
        <v>54.15</v>
      </c>
      <c r="AN39" s="646">
        <v>55.05</v>
      </c>
      <c r="AO39" s="52">
        <v>55.95</v>
      </c>
      <c r="AP39" s="52">
        <v>56.85</v>
      </c>
      <c r="AQ39" s="52">
        <v>57.75</v>
      </c>
      <c r="AR39" s="52">
        <v>58.65</v>
      </c>
      <c r="AS39" s="52">
        <v>59.55</v>
      </c>
      <c r="AT39" s="52">
        <v>35.19</v>
      </c>
      <c r="AU39" s="52">
        <v>34.29</v>
      </c>
    </row>
    <row r="40" spans="1:47">
      <c r="A40" s="489">
        <v>67.599999999999994</v>
      </c>
      <c r="B40" s="300">
        <v>81.87</v>
      </c>
      <c r="C40" s="301">
        <v>83.18</v>
      </c>
      <c r="D40" s="301">
        <v>84.49</v>
      </c>
      <c r="E40" s="621">
        <v>85.8</v>
      </c>
      <c r="F40" s="490">
        <v>74.150000000000006</v>
      </c>
      <c r="G40" s="490">
        <v>75.459999999999994</v>
      </c>
      <c r="H40" s="491">
        <v>76.77</v>
      </c>
      <c r="I40" s="52">
        <v>78.08</v>
      </c>
      <c r="J40" s="52">
        <v>79.39</v>
      </c>
      <c r="K40" s="52">
        <v>80.709999999999994</v>
      </c>
      <c r="L40" s="52">
        <v>82.02</v>
      </c>
      <c r="M40" s="52">
        <v>83.33</v>
      </c>
      <c r="N40" s="52">
        <v>84.64</v>
      </c>
      <c r="O40" s="52">
        <v>80.260000000000005</v>
      </c>
      <c r="P40" s="52">
        <v>81.569999999999993</v>
      </c>
      <c r="Q40" s="52">
        <v>82.88</v>
      </c>
      <c r="R40" s="52">
        <v>84.19</v>
      </c>
      <c r="S40" s="52">
        <v>60.6</v>
      </c>
      <c r="T40" s="52">
        <v>59.29</v>
      </c>
      <c r="U40" s="52">
        <v>57.98</v>
      </c>
      <c r="V40" s="52">
        <v>56.67</v>
      </c>
      <c r="W40" s="52">
        <v>55.36</v>
      </c>
      <c r="X40" s="485">
        <v>36</v>
      </c>
      <c r="Y40" s="489">
        <v>42.73</v>
      </c>
      <c r="Z40" s="489">
        <v>43.66</v>
      </c>
      <c r="AA40" s="489">
        <v>44.58</v>
      </c>
      <c r="AB40" s="489">
        <v>45.51</v>
      </c>
      <c r="AC40" s="489">
        <v>46.43</v>
      </c>
      <c r="AD40" s="299">
        <v>47.36</v>
      </c>
      <c r="AE40" s="299">
        <v>48.28</v>
      </c>
      <c r="AF40" s="299">
        <v>49.21</v>
      </c>
      <c r="AG40" s="300">
        <v>50.13</v>
      </c>
      <c r="AH40" s="301">
        <v>51.06</v>
      </c>
      <c r="AI40" s="301">
        <v>51.98</v>
      </c>
      <c r="AJ40" s="626">
        <v>52.91</v>
      </c>
      <c r="AK40" s="490">
        <v>53.83</v>
      </c>
      <c r="AL40" s="482">
        <v>54.76</v>
      </c>
      <c r="AM40" s="491">
        <v>55.68</v>
      </c>
      <c r="AN40" s="646">
        <v>56.61</v>
      </c>
      <c r="AO40" s="52">
        <v>57.53</v>
      </c>
      <c r="AP40" s="52">
        <v>58.46</v>
      </c>
      <c r="AQ40" s="52">
        <v>59.38</v>
      </c>
      <c r="AR40" s="52">
        <v>60.31</v>
      </c>
      <c r="AS40" s="52">
        <v>61.23</v>
      </c>
      <c r="AT40" s="52">
        <v>36.19</v>
      </c>
      <c r="AU40" s="52">
        <v>35.26</v>
      </c>
    </row>
    <row r="41" spans="1:47">
      <c r="A41" s="489">
        <v>69.459999999999994</v>
      </c>
      <c r="B41" s="300">
        <v>84.11</v>
      </c>
      <c r="C41" s="301">
        <v>85.46</v>
      </c>
      <c r="D41" s="301">
        <v>86.81</v>
      </c>
      <c r="E41" s="621">
        <v>88.15</v>
      </c>
      <c r="F41" s="490">
        <v>76.19</v>
      </c>
      <c r="G41" s="490">
        <v>77.540000000000006</v>
      </c>
      <c r="H41" s="491">
        <v>78.89</v>
      </c>
      <c r="I41" s="52">
        <v>80.23</v>
      </c>
      <c r="J41" s="52">
        <v>81.58</v>
      </c>
      <c r="K41" s="52">
        <v>82.93</v>
      </c>
      <c r="L41" s="52">
        <v>84.27</v>
      </c>
      <c r="M41" s="52">
        <v>85.62</v>
      </c>
      <c r="N41" s="52">
        <v>86.97</v>
      </c>
      <c r="O41" s="52">
        <v>82.47</v>
      </c>
      <c r="P41" s="52">
        <v>83.82</v>
      </c>
      <c r="Q41" s="52">
        <v>85.17</v>
      </c>
      <c r="R41" s="52">
        <v>86.51</v>
      </c>
      <c r="S41" s="52">
        <v>62.27</v>
      </c>
      <c r="T41" s="52">
        <v>60.92</v>
      </c>
      <c r="U41" s="52">
        <v>59.58</v>
      </c>
      <c r="V41" s="52">
        <v>58.23</v>
      </c>
      <c r="W41" s="52">
        <v>56.88</v>
      </c>
      <c r="X41" s="485">
        <v>37</v>
      </c>
      <c r="Y41" s="489">
        <v>43.9</v>
      </c>
      <c r="Z41" s="489">
        <v>44.85</v>
      </c>
      <c r="AA41" s="489">
        <v>45.8</v>
      </c>
      <c r="AB41" s="489">
        <v>46.75</v>
      </c>
      <c r="AC41" s="489">
        <v>47.7</v>
      </c>
      <c r="AD41" s="299">
        <v>48.65</v>
      </c>
      <c r="AE41" s="299">
        <v>49.6</v>
      </c>
      <c r="AF41" s="299">
        <v>50.55</v>
      </c>
      <c r="AG41" s="300">
        <v>51.5</v>
      </c>
      <c r="AH41" s="301">
        <v>52.45</v>
      </c>
      <c r="AI41" s="301">
        <v>53.41</v>
      </c>
      <c r="AJ41" s="626">
        <v>54.36</v>
      </c>
      <c r="AK41" s="490">
        <v>55.31</v>
      </c>
      <c r="AL41" s="482">
        <v>56.26</v>
      </c>
      <c r="AM41" s="491">
        <v>57.21</v>
      </c>
      <c r="AN41" s="646">
        <v>58.16</v>
      </c>
      <c r="AO41" s="52">
        <v>59.11</v>
      </c>
      <c r="AP41" s="52">
        <v>60.06</v>
      </c>
      <c r="AQ41" s="52">
        <v>61.01</v>
      </c>
      <c r="AR41" s="52">
        <v>61.96</v>
      </c>
      <c r="AS41" s="52">
        <v>62.91</v>
      </c>
      <c r="AT41" s="52">
        <v>37.18</v>
      </c>
      <c r="AU41" s="52">
        <v>36.229999999999997</v>
      </c>
    </row>
    <row r="42" spans="1:47">
      <c r="A42" s="489">
        <v>71.31</v>
      </c>
      <c r="B42" s="300">
        <v>86.35</v>
      </c>
      <c r="C42" s="301">
        <v>87.74</v>
      </c>
      <c r="D42" s="301">
        <v>89.12</v>
      </c>
      <c r="E42" s="621">
        <v>90.5</v>
      </c>
      <c r="F42" s="490">
        <v>78.23</v>
      </c>
      <c r="G42" s="490">
        <v>79.61</v>
      </c>
      <c r="H42" s="491">
        <v>80.989999999999995</v>
      </c>
      <c r="I42" s="52">
        <v>82.38</v>
      </c>
      <c r="J42" s="52">
        <v>83.76</v>
      </c>
      <c r="K42" s="52">
        <v>85.14</v>
      </c>
      <c r="L42" s="52">
        <v>86.53</v>
      </c>
      <c r="M42" s="52">
        <v>87.91</v>
      </c>
      <c r="N42" s="52">
        <v>89.29</v>
      </c>
      <c r="O42" s="52">
        <v>84.68</v>
      </c>
      <c r="P42" s="52">
        <v>86.07</v>
      </c>
      <c r="Q42" s="52">
        <v>87.45</v>
      </c>
      <c r="R42" s="52">
        <v>88.83</v>
      </c>
      <c r="S42" s="52">
        <v>63.94</v>
      </c>
      <c r="T42" s="52">
        <v>62.55</v>
      </c>
      <c r="U42" s="52">
        <v>61.17</v>
      </c>
      <c r="V42" s="52">
        <v>59.79</v>
      </c>
      <c r="W42" s="52">
        <v>58.4</v>
      </c>
      <c r="X42" s="485">
        <v>38</v>
      </c>
      <c r="Y42" s="489">
        <v>45.07</v>
      </c>
      <c r="Z42" s="489">
        <v>46.04</v>
      </c>
      <c r="AA42" s="489">
        <v>47.02</v>
      </c>
      <c r="AB42" s="489">
        <v>48</v>
      </c>
      <c r="AC42" s="489">
        <v>48.97</v>
      </c>
      <c r="AD42" s="299">
        <v>49.95</v>
      </c>
      <c r="AE42" s="299">
        <v>50.93</v>
      </c>
      <c r="AF42" s="299">
        <v>51.9</v>
      </c>
      <c r="AG42" s="300">
        <v>52.88</v>
      </c>
      <c r="AH42" s="301">
        <v>53.86</v>
      </c>
      <c r="AI42" s="301">
        <v>54.83</v>
      </c>
      <c r="AJ42" s="626">
        <v>55.81</v>
      </c>
      <c r="AK42" s="490">
        <v>56.79</v>
      </c>
      <c r="AL42" s="482">
        <v>57.76</v>
      </c>
      <c r="AM42" s="491">
        <v>58.74</v>
      </c>
      <c r="AN42" s="646">
        <v>59.72</v>
      </c>
      <c r="AO42" s="52">
        <v>60.69</v>
      </c>
      <c r="AP42" s="52">
        <v>61.67</v>
      </c>
      <c r="AQ42" s="52">
        <v>62.65</v>
      </c>
      <c r="AR42" s="52">
        <v>63.62</v>
      </c>
      <c r="AS42" s="52">
        <v>64.599999999999994</v>
      </c>
      <c r="AT42" s="52">
        <v>38.17</v>
      </c>
      <c r="AU42" s="52">
        <v>37.200000000000003</v>
      </c>
    </row>
    <row r="43" spans="1:47">
      <c r="A43" s="489">
        <v>73.16</v>
      </c>
      <c r="B43" s="300">
        <v>88.59</v>
      </c>
      <c r="C43" s="301">
        <v>90.01</v>
      </c>
      <c r="D43" s="301">
        <v>91.43</v>
      </c>
      <c r="E43" s="621">
        <v>92.85</v>
      </c>
      <c r="F43" s="490">
        <v>80.260000000000005</v>
      </c>
      <c r="G43" s="490">
        <v>81.680000000000007</v>
      </c>
      <c r="H43" s="491">
        <v>83.1</v>
      </c>
      <c r="I43" s="52">
        <v>84.52</v>
      </c>
      <c r="J43" s="52">
        <v>85.94</v>
      </c>
      <c r="K43" s="52">
        <v>87.36</v>
      </c>
      <c r="L43" s="52">
        <v>88.78</v>
      </c>
      <c r="M43" s="52">
        <v>90.2</v>
      </c>
      <c r="N43" s="52">
        <v>91.62</v>
      </c>
      <c r="O43" s="52">
        <v>86.89</v>
      </c>
      <c r="P43" s="52">
        <v>88.31</v>
      </c>
      <c r="Q43" s="52">
        <v>89.73</v>
      </c>
      <c r="R43" s="52">
        <v>91.15</v>
      </c>
      <c r="S43" s="52">
        <v>95.6</v>
      </c>
      <c r="T43" s="52">
        <v>64.180000000000007</v>
      </c>
      <c r="U43" s="52">
        <v>62.76</v>
      </c>
      <c r="V43" s="52">
        <v>61.34</v>
      </c>
      <c r="W43" s="52">
        <v>59.92</v>
      </c>
      <c r="X43" s="485">
        <v>39</v>
      </c>
      <c r="Y43" s="489">
        <v>46.24</v>
      </c>
      <c r="Z43" s="489">
        <v>47.25</v>
      </c>
      <c r="AA43" s="489">
        <v>48.25</v>
      </c>
      <c r="AB43" s="489">
        <v>49.25</v>
      </c>
      <c r="AC43" s="489">
        <v>50.25</v>
      </c>
      <c r="AD43" s="299">
        <v>51.25</v>
      </c>
      <c r="AE43" s="299">
        <v>52.26</v>
      </c>
      <c r="AF43" s="299">
        <v>53.26</v>
      </c>
      <c r="AG43" s="300">
        <v>54.26</v>
      </c>
      <c r="AH43" s="301">
        <v>55.26</v>
      </c>
      <c r="AI43" s="301">
        <v>56.27</v>
      </c>
      <c r="AJ43" s="626">
        <v>57.27</v>
      </c>
      <c r="AK43" s="490">
        <v>58.27</v>
      </c>
      <c r="AL43" s="482">
        <v>59.27</v>
      </c>
      <c r="AM43" s="491">
        <v>60.28</v>
      </c>
      <c r="AN43" s="646">
        <v>61.28</v>
      </c>
      <c r="AO43" s="52">
        <v>62.28</v>
      </c>
      <c r="AP43" s="52">
        <v>63.28</v>
      </c>
      <c r="AQ43" s="52">
        <v>64.28</v>
      </c>
      <c r="AR43" s="52">
        <v>65.290000000000006</v>
      </c>
      <c r="AS43" s="52">
        <v>66.290000000000006</v>
      </c>
      <c r="AT43" s="52">
        <v>39.17</v>
      </c>
      <c r="AU43" s="52">
        <v>38.17</v>
      </c>
    </row>
    <row r="44" spans="1:47">
      <c r="A44" s="489">
        <v>75.010000000000005</v>
      </c>
      <c r="B44" s="300">
        <v>90.82</v>
      </c>
      <c r="C44" s="301">
        <v>92.28</v>
      </c>
      <c r="D44" s="301">
        <v>93.73</v>
      </c>
      <c r="E44" s="621">
        <v>95.16</v>
      </c>
      <c r="F44" s="490">
        <v>82.29</v>
      </c>
      <c r="G44" s="490">
        <v>83.74</v>
      </c>
      <c r="H44" s="491">
        <v>85.2</v>
      </c>
      <c r="I44" s="52">
        <v>86.66</v>
      </c>
      <c r="J44" s="52">
        <v>88.11</v>
      </c>
      <c r="K44" s="52">
        <v>89.57</v>
      </c>
      <c r="L44" s="52">
        <v>91.02</v>
      </c>
      <c r="M44" s="52">
        <v>92.48</v>
      </c>
      <c r="N44" s="52">
        <v>93.94</v>
      </c>
      <c r="O44" s="52">
        <v>89.1</v>
      </c>
      <c r="P44" s="52">
        <v>90.55</v>
      </c>
      <c r="Q44" s="52">
        <v>92.01</v>
      </c>
      <c r="R44" s="52">
        <v>93.46</v>
      </c>
      <c r="S44" s="52">
        <v>67.260000000000005</v>
      </c>
      <c r="T44" s="52">
        <v>65.8</v>
      </c>
      <c r="U44" s="52">
        <v>64.34</v>
      </c>
      <c r="V44" s="52">
        <v>62.89</v>
      </c>
      <c r="W44" s="52">
        <v>61.53</v>
      </c>
      <c r="X44" s="485">
        <v>40</v>
      </c>
      <c r="Y44" s="489">
        <v>47.41</v>
      </c>
      <c r="Z44" s="489">
        <v>48.44</v>
      </c>
      <c r="AA44" s="489">
        <v>49.46</v>
      </c>
      <c r="AB44" s="489">
        <v>50.49</v>
      </c>
      <c r="AC44" s="489">
        <v>51.52</v>
      </c>
      <c r="AD44" s="299">
        <v>52.55</v>
      </c>
      <c r="AE44" s="299">
        <v>53.58</v>
      </c>
      <c r="AF44" s="299">
        <v>54.6</v>
      </c>
      <c r="AG44" s="300">
        <v>55.63</v>
      </c>
      <c r="AH44" s="301">
        <v>56.66</v>
      </c>
      <c r="AI44" s="301">
        <v>57.69</v>
      </c>
      <c r="AJ44" s="626">
        <v>58.72</v>
      </c>
      <c r="AK44" s="490">
        <v>59.74</v>
      </c>
      <c r="AL44" s="482">
        <v>60.77</v>
      </c>
      <c r="AM44" s="491">
        <v>61.8</v>
      </c>
      <c r="AN44" s="646">
        <v>62.83</v>
      </c>
      <c r="AO44" s="52">
        <v>63.86</v>
      </c>
      <c r="AP44" s="52">
        <v>64.88</v>
      </c>
      <c r="AQ44" s="52">
        <v>65.91</v>
      </c>
      <c r="AR44" s="52">
        <v>66.94</v>
      </c>
      <c r="AS44" s="52">
        <v>67.97</v>
      </c>
      <c r="AT44" s="52">
        <v>40.159999999999997</v>
      </c>
      <c r="AU44" s="52">
        <v>39.130000000000003</v>
      </c>
    </row>
    <row r="45" spans="1:47">
      <c r="A45" s="489">
        <v>76.87</v>
      </c>
      <c r="B45" s="300">
        <v>93.07</v>
      </c>
      <c r="C45" s="301">
        <v>94.57</v>
      </c>
      <c r="D45" s="301">
        <v>96.06</v>
      </c>
      <c r="E45" s="621">
        <v>97.55</v>
      </c>
      <c r="F45" s="490">
        <v>84.33</v>
      </c>
      <c r="G45" s="490">
        <v>85.82</v>
      </c>
      <c r="H45" s="491">
        <v>87.32</v>
      </c>
      <c r="I45" s="52">
        <v>88.81</v>
      </c>
      <c r="J45" s="52">
        <v>90.3</v>
      </c>
      <c r="K45" s="52">
        <v>91.79</v>
      </c>
      <c r="L45" s="52">
        <v>93.28</v>
      </c>
      <c r="M45" s="52">
        <v>94.78</v>
      </c>
      <c r="N45" s="52">
        <v>96.27</v>
      </c>
      <c r="O45" s="52">
        <v>91.31</v>
      </c>
      <c r="P45" s="52">
        <v>92.8</v>
      </c>
      <c r="Q45" s="52">
        <v>94.3</v>
      </c>
      <c r="R45" s="52">
        <v>95.79</v>
      </c>
      <c r="S45" s="52">
        <v>68.930000000000007</v>
      </c>
      <c r="T45" s="52">
        <v>67.430000000000007</v>
      </c>
      <c r="U45" s="52">
        <v>65.94</v>
      </c>
      <c r="V45" s="52">
        <v>64.400000000000006</v>
      </c>
      <c r="W45" s="52">
        <v>62.96</v>
      </c>
      <c r="X45" s="485">
        <v>41</v>
      </c>
      <c r="Y45" s="489">
        <v>48.58</v>
      </c>
      <c r="Z45" s="489">
        <v>49.63</v>
      </c>
      <c r="AA45" s="489">
        <v>50.68</v>
      </c>
      <c r="AB45" s="489">
        <v>51.74</v>
      </c>
      <c r="AC45" s="489">
        <v>52.79</v>
      </c>
      <c r="AD45" s="299">
        <v>53.85</v>
      </c>
      <c r="AE45" s="299">
        <v>54.9</v>
      </c>
      <c r="AF45" s="299">
        <v>55.95</v>
      </c>
      <c r="AG45" s="300">
        <v>57.01</v>
      </c>
      <c r="AH45" s="301">
        <v>58.06</v>
      </c>
      <c r="AI45" s="301">
        <v>59.11</v>
      </c>
      <c r="AJ45" s="626">
        <v>60.17</v>
      </c>
      <c r="AK45" s="490">
        <v>61.22</v>
      </c>
      <c r="AL45" s="482">
        <v>62.28</v>
      </c>
      <c r="AM45" s="491">
        <v>63.33</v>
      </c>
      <c r="AN45" s="646">
        <v>64.38</v>
      </c>
      <c r="AO45" s="52">
        <v>65.44</v>
      </c>
      <c r="AP45" s="52">
        <v>66.489999999999995</v>
      </c>
      <c r="AQ45" s="52">
        <v>67.540000000000006</v>
      </c>
      <c r="AR45" s="52">
        <v>68.599999999999994</v>
      </c>
      <c r="AS45" s="52">
        <v>69.650000000000006</v>
      </c>
      <c r="AT45" s="52">
        <v>41.16</v>
      </c>
      <c r="AU45" s="52">
        <v>40.1</v>
      </c>
    </row>
    <row r="46" spans="1:47">
      <c r="A46" s="489">
        <v>78.72</v>
      </c>
      <c r="B46" s="300">
        <v>95.31</v>
      </c>
      <c r="C46" s="301">
        <v>96.84</v>
      </c>
      <c r="D46" s="301">
        <v>98.37</v>
      </c>
      <c r="E46" s="621">
        <v>99.9</v>
      </c>
      <c r="F46" s="490">
        <v>86.37</v>
      </c>
      <c r="G46" s="490">
        <v>87.89</v>
      </c>
      <c r="H46" s="491" t="s">
        <v>274</v>
      </c>
      <c r="I46" s="52">
        <v>90.95</v>
      </c>
      <c r="J46" s="52">
        <v>92.48</v>
      </c>
      <c r="K46" s="52">
        <v>94.01</v>
      </c>
      <c r="L46" s="52">
        <v>95.54</v>
      </c>
      <c r="M46" s="52">
        <v>97.07</v>
      </c>
      <c r="N46" s="52">
        <v>98.6</v>
      </c>
      <c r="O46" s="52">
        <v>93.52</v>
      </c>
      <c r="P46" s="52">
        <v>95.05</v>
      </c>
      <c r="Q46" s="52">
        <v>96.58</v>
      </c>
      <c r="R46" s="52">
        <v>98.11</v>
      </c>
      <c r="S46" s="52">
        <v>70.59</v>
      </c>
      <c r="T46" s="52">
        <v>69.06</v>
      </c>
      <c r="U46" s="52">
        <v>67.53</v>
      </c>
      <c r="V46" s="52">
        <v>66</v>
      </c>
      <c r="W46" s="52">
        <v>64.47</v>
      </c>
      <c r="X46" s="485">
        <v>42</v>
      </c>
      <c r="Y46" s="489">
        <v>49.75</v>
      </c>
      <c r="Z46" s="489">
        <v>50.83</v>
      </c>
      <c r="AA46" s="489">
        <v>51.91</v>
      </c>
      <c r="AB46" s="489">
        <v>52.99</v>
      </c>
      <c r="AC46" s="489">
        <v>54.07</v>
      </c>
      <c r="AD46" s="299">
        <v>55.15</v>
      </c>
      <c r="AE46" s="299">
        <v>56.23</v>
      </c>
      <c r="AF46" s="299">
        <v>57.31</v>
      </c>
      <c r="AG46" s="300">
        <v>58.39</v>
      </c>
      <c r="AH46" s="301">
        <v>59.47</v>
      </c>
      <c r="AI46" s="301">
        <v>60.55</v>
      </c>
      <c r="AJ46" s="626">
        <v>61.63</v>
      </c>
      <c r="AK46" s="490">
        <v>62.71</v>
      </c>
      <c r="AL46" s="482">
        <v>63.78</v>
      </c>
      <c r="AM46" s="491">
        <v>64.86</v>
      </c>
      <c r="AN46" s="646">
        <v>65.94</v>
      </c>
      <c r="AO46" s="52">
        <v>67.02</v>
      </c>
      <c r="AP46" s="52">
        <v>68.099999999999994</v>
      </c>
      <c r="AQ46" s="52">
        <v>69.180000000000007</v>
      </c>
      <c r="AR46" s="52">
        <v>70.260000000000005</v>
      </c>
      <c r="AS46" s="52">
        <v>71.34</v>
      </c>
      <c r="AT46" s="52">
        <v>42.15</v>
      </c>
      <c r="AU46" s="52">
        <v>41.07</v>
      </c>
    </row>
    <row r="47" spans="1:47">
      <c r="A47" s="489">
        <v>80.56</v>
      </c>
      <c r="B47" s="300">
        <v>97.54</v>
      </c>
      <c r="C47" s="301">
        <v>99.11</v>
      </c>
      <c r="D47" s="301">
        <v>100.67</v>
      </c>
      <c r="E47" s="621">
        <v>102.24</v>
      </c>
      <c r="F47" s="490">
        <v>88.39</v>
      </c>
      <c r="G47" s="490">
        <v>89.96</v>
      </c>
      <c r="H47" s="491">
        <v>91.52</v>
      </c>
      <c r="I47" s="52">
        <v>93.09</v>
      </c>
      <c r="J47" s="52">
        <v>94.65</v>
      </c>
      <c r="K47" s="52">
        <v>96.22</v>
      </c>
      <c r="L47" s="52">
        <v>97.78</v>
      </c>
      <c r="M47" s="52">
        <v>99.35</v>
      </c>
      <c r="N47" s="52">
        <v>100.91</v>
      </c>
      <c r="O47" s="52">
        <v>95.72</v>
      </c>
      <c r="P47" s="52">
        <v>97.29</v>
      </c>
      <c r="Q47" s="52">
        <v>98.85</v>
      </c>
      <c r="R47" s="52">
        <v>100.42</v>
      </c>
      <c r="S47" s="52">
        <v>72.25</v>
      </c>
      <c r="T47" s="52">
        <v>70.680000000000007</v>
      </c>
      <c r="U47" s="52">
        <v>69.12</v>
      </c>
      <c r="V47" s="52">
        <v>67.55</v>
      </c>
      <c r="W47" s="52">
        <v>65.989999999999995</v>
      </c>
      <c r="X47" s="485">
        <v>43</v>
      </c>
      <c r="Y47" s="489">
        <v>50.71</v>
      </c>
      <c r="Z47" s="489">
        <v>52.02</v>
      </c>
      <c r="AA47" s="489">
        <v>53.12</v>
      </c>
      <c r="AB47" s="489">
        <v>54.23</v>
      </c>
      <c r="AC47" s="489">
        <v>55.33</v>
      </c>
      <c r="AD47" s="299">
        <v>56.44</v>
      </c>
      <c r="AE47" s="299">
        <v>57.54</v>
      </c>
      <c r="AF47" s="299">
        <v>58.65</v>
      </c>
      <c r="AG47" s="300">
        <v>59.75</v>
      </c>
      <c r="AH47" s="301">
        <v>60.86</v>
      </c>
      <c r="AI47" s="301">
        <v>61.96</v>
      </c>
      <c r="AJ47" s="626">
        <v>63.07</v>
      </c>
      <c r="AK47" s="490">
        <v>64.17</v>
      </c>
      <c r="AL47" s="482">
        <v>65.28</v>
      </c>
      <c r="AM47" s="491">
        <v>66.38</v>
      </c>
      <c r="AN47" s="646" t="s">
        <v>343</v>
      </c>
      <c r="AO47" s="52">
        <v>68.59</v>
      </c>
      <c r="AP47" s="52">
        <v>69.7</v>
      </c>
      <c r="AQ47" s="52">
        <v>70.81</v>
      </c>
      <c r="AR47" s="52">
        <v>71.91</v>
      </c>
      <c r="AS47" s="52">
        <v>73.02</v>
      </c>
      <c r="AT47" s="52">
        <v>43.14</v>
      </c>
      <c r="AU47" s="52">
        <v>42.04</v>
      </c>
    </row>
    <row r="48" spans="1:47">
      <c r="A48" s="489">
        <v>82.42</v>
      </c>
      <c r="B48" s="300">
        <v>99.79</v>
      </c>
      <c r="C48" s="301">
        <v>101.39</v>
      </c>
      <c r="D48" s="301">
        <v>102.99</v>
      </c>
      <c r="E48" s="621">
        <v>104.59</v>
      </c>
      <c r="F48" s="490">
        <v>90.43</v>
      </c>
      <c r="G48" s="490">
        <v>92.03</v>
      </c>
      <c r="H48" s="491">
        <v>93.63</v>
      </c>
      <c r="I48" s="52">
        <v>95.23</v>
      </c>
      <c r="J48" s="52">
        <v>96.84</v>
      </c>
      <c r="K48" s="52">
        <v>98.44</v>
      </c>
      <c r="L48" s="52">
        <v>100.04</v>
      </c>
      <c r="M48" s="52">
        <v>101.64</v>
      </c>
      <c r="N48" s="52">
        <v>103.24</v>
      </c>
      <c r="O48" s="52">
        <v>97.94</v>
      </c>
      <c r="P48" s="52">
        <v>99.54</v>
      </c>
      <c r="Q48" s="52">
        <v>101.14</v>
      </c>
      <c r="R48" s="52">
        <v>102.74</v>
      </c>
      <c r="S48" s="52">
        <v>73.91</v>
      </c>
      <c r="T48" s="52">
        <v>72.31</v>
      </c>
      <c r="U48" s="52">
        <v>70.709999999999994</v>
      </c>
      <c r="V48" s="52">
        <v>69.11</v>
      </c>
      <c r="W48" s="52">
        <v>67.510000000000005</v>
      </c>
      <c r="X48" s="485">
        <v>44</v>
      </c>
      <c r="Y48" s="489">
        <v>52.09</v>
      </c>
      <c r="Z48" s="489">
        <v>53.22</v>
      </c>
      <c r="AA48" s="489">
        <v>54.35</v>
      </c>
      <c r="AB48" s="489">
        <v>55.48</v>
      </c>
      <c r="AC48" s="489">
        <v>56.61</v>
      </c>
      <c r="AD48" s="299">
        <v>57.74</v>
      </c>
      <c r="AE48" s="299">
        <v>58.87</v>
      </c>
      <c r="AF48" s="299">
        <v>60</v>
      </c>
      <c r="AG48" s="300">
        <v>61.13</v>
      </c>
      <c r="AH48" s="301">
        <v>62.27</v>
      </c>
      <c r="AI48" s="301">
        <v>63.4</v>
      </c>
      <c r="AJ48" s="626">
        <v>64.53</v>
      </c>
      <c r="AK48" s="490">
        <v>65.66</v>
      </c>
      <c r="AL48" s="482">
        <v>66.790000000000006</v>
      </c>
      <c r="AM48" s="491">
        <v>67.92</v>
      </c>
      <c r="AN48" s="646">
        <v>69.05</v>
      </c>
      <c r="AO48" s="52">
        <v>70.180000000000007</v>
      </c>
      <c r="AP48" s="52">
        <v>71.31</v>
      </c>
      <c r="AQ48" s="52">
        <v>72.44</v>
      </c>
      <c r="AR48" s="52">
        <v>73.569999999999993</v>
      </c>
      <c r="AS48" s="52">
        <v>74.7</v>
      </c>
      <c r="AT48" s="52">
        <v>44.14</v>
      </c>
      <c r="AU48" s="52">
        <v>43.01</v>
      </c>
    </row>
    <row r="49" spans="1:47">
      <c r="A49" s="489">
        <v>84.27</v>
      </c>
      <c r="B49" s="300">
        <v>102.02</v>
      </c>
      <c r="C49" s="301">
        <v>103.66</v>
      </c>
      <c r="D49" s="301">
        <v>105.3</v>
      </c>
      <c r="E49" s="621">
        <v>106.93</v>
      </c>
      <c r="F49" s="490">
        <v>92.46</v>
      </c>
      <c r="G49" s="490">
        <v>94.09</v>
      </c>
      <c r="H49" s="491">
        <v>95.73</v>
      </c>
      <c r="I49" s="52">
        <v>97.37</v>
      </c>
      <c r="J49" s="52">
        <v>99.01</v>
      </c>
      <c r="K49" s="52">
        <v>100.65</v>
      </c>
      <c r="L49" s="52">
        <v>102.28</v>
      </c>
      <c r="M49" s="52">
        <v>103.92</v>
      </c>
      <c r="N49" s="52">
        <v>105.56</v>
      </c>
      <c r="O49" s="52">
        <v>100.14</v>
      </c>
      <c r="P49" s="52">
        <v>101.78</v>
      </c>
      <c r="Q49" s="52">
        <v>103.42</v>
      </c>
      <c r="R49" s="52">
        <v>105.06</v>
      </c>
      <c r="S49" s="52">
        <v>75.569999999999993</v>
      </c>
      <c r="T49" s="52">
        <v>73.930000000000007</v>
      </c>
      <c r="U49" s="52">
        <v>72.3</v>
      </c>
      <c r="V49" s="52">
        <v>70.66</v>
      </c>
      <c r="W49" s="52">
        <v>69.02</v>
      </c>
      <c r="X49" s="485">
        <v>45</v>
      </c>
      <c r="Y49" s="489">
        <v>53.26</v>
      </c>
      <c r="Z49" s="489">
        <v>54.41</v>
      </c>
      <c r="AA49" s="489">
        <v>55.57</v>
      </c>
      <c r="AB49" s="489">
        <v>45.73</v>
      </c>
      <c r="AC49" s="489">
        <v>57.88</v>
      </c>
      <c r="AD49" s="299">
        <v>59.04</v>
      </c>
      <c r="AE49" s="299">
        <v>60.2</v>
      </c>
      <c r="AF49" s="299">
        <v>61.35</v>
      </c>
      <c r="AG49" s="300">
        <v>62.51</v>
      </c>
      <c r="AH49" s="301">
        <v>63.67</v>
      </c>
      <c r="AI49" s="301">
        <v>64.819999999999993</v>
      </c>
      <c r="AJ49" s="626">
        <v>65.98</v>
      </c>
      <c r="AK49" s="490">
        <v>67.14</v>
      </c>
      <c r="AL49" s="482">
        <v>68.290000000000006</v>
      </c>
      <c r="AM49" s="491">
        <v>69.45</v>
      </c>
      <c r="AN49" s="646">
        <v>70.61</v>
      </c>
      <c r="AO49" s="52">
        <v>71.760000000000005</v>
      </c>
      <c r="AP49" s="52">
        <v>72.92</v>
      </c>
      <c r="AQ49" s="52">
        <v>74.08</v>
      </c>
      <c r="AR49" s="52">
        <v>75.23</v>
      </c>
      <c r="AS49" s="52">
        <v>76.39</v>
      </c>
      <c r="AT49" s="52">
        <v>45.13</v>
      </c>
      <c r="AU49" s="52">
        <v>43.98</v>
      </c>
    </row>
    <row r="50" spans="1:47">
      <c r="A50" s="489">
        <v>86.13</v>
      </c>
      <c r="B50" s="300">
        <v>104.27</v>
      </c>
      <c r="C50" s="301">
        <v>105.94</v>
      </c>
      <c r="D50" s="301">
        <v>107.62</v>
      </c>
      <c r="E50" s="621">
        <v>109.29</v>
      </c>
      <c r="F50" s="490">
        <v>94.5</v>
      </c>
      <c r="G50" s="490">
        <v>96.17</v>
      </c>
      <c r="H50" s="491">
        <v>97.85</v>
      </c>
      <c r="I50" s="52">
        <v>99.52</v>
      </c>
      <c r="J50" s="52">
        <v>101.2</v>
      </c>
      <c r="K50" s="52">
        <v>102.87</v>
      </c>
      <c r="L50" s="52">
        <v>104.54</v>
      </c>
      <c r="M50" s="52">
        <v>106.22</v>
      </c>
      <c r="N50" s="52">
        <v>107.89</v>
      </c>
      <c r="O50" s="52">
        <v>102.36</v>
      </c>
      <c r="P50" s="52">
        <v>104.03</v>
      </c>
      <c r="Q50" s="52">
        <v>105.71</v>
      </c>
      <c r="R50" s="52">
        <v>107.38</v>
      </c>
      <c r="S50" s="52">
        <v>77.239999999999995</v>
      </c>
      <c r="T50" s="52">
        <v>75.569999999999993</v>
      </c>
      <c r="U50" s="52">
        <v>73.89</v>
      </c>
      <c r="V50" s="52">
        <v>72.22</v>
      </c>
      <c r="W50" s="52">
        <v>70.540000000000006</v>
      </c>
      <c r="X50" s="485">
        <v>46</v>
      </c>
      <c r="Y50" s="489">
        <v>54.43</v>
      </c>
      <c r="Z50" s="489">
        <v>55.61</v>
      </c>
      <c r="AA50" s="489">
        <v>56.8</v>
      </c>
      <c r="AB50" s="489">
        <v>57.98</v>
      </c>
      <c r="AC50" s="489">
        <v>59.16</v>
      </c>
      <c r="AD50" s="299">
        <v>60.34</v>
      </c>
      <c r="AE50" s="299">
        <v>61.53</v>
      </c>
      <c r="AF50" s="299">
        <v>62.71</v>
      </c>
      <c r="AG50" s="300">
        <v>63.89</v>
      </c>
      <c r="AH50" s="301">
        <v>65.069999999999993</v>
      </c>
      <c r="AI50" s="301">
        <v>66.25</v>
      </c>
      <c r="AJ50" s="626">
        <v>67.44</v>
      </c>
      <c r="AK50" s="490">
        <v>68.62</v>
      </c>
      <c r="AL50" s="482">
        <v>69.8</v>
      </c>
      <c r="AM50" s="491">
        <v>70.98</v>
      </c>
      <c r="AN50" s="646">
        <v>72.17</v>
      </c>
      <c r="AO50" s="52">
        <v>73.349999999999994</v>
      </c>
      <c r="AP50" s="52">
        <v>74.53</v>
      </c>
      <c r="AQ50" s="52">
        <v>75.709999999999994</v>
      </c>
      <c r="AR50" s="52">
        <v>76.89</v>
      </c>
      <c r="AS50" s="52">
        <v>78.08</v>
      </c>
      <c r="AT50" s="52">
        <v>46.13</v>
      </c>
      <c r="AU50" s="52">
        <v>44.95</v>
      </c>
    </row>
    <row r="51" spans="1:47">
      <c r="A51" s="489">
        <v>87.97</v>
      </c>
      <c r="B51" s="300">
        <v>106.5</v>
      </c>
      <c r="C51" s="301">
        <v>108.21</v>
      </c>
      <c r="D51" s="301">
        <v>109.92</v>
      </c>
      <c r="E51" s="621">
        <v>111.63</v>
      </c>
      <c r="F51" s="490">
        <v>96.52</v>
      </c>
      <c r="G51" s="490">
        <v>98.23</v>
      </c>
      <c r="H51" s="491">
        <v>99.94</v>
      </c>
      <c r="I51" s="52">
        <v>101.66</v>
      </c>
      <c r="J51" s="52">
        <v>103.37</v>
      </c>
      <c r="K51" s="52">
        <v>105.08</v>
      </c>
      <c r="L51" s="52">
        <v>106.79</v>
      </c>
      <c r="M51" s="52">
        <v>108.5</v>
      </c>
      <c r="N51" s="52">
        <v>110.21</v>
      </c>
      <c r="O51" s="52">
        <v>104.56</v>
      </c>
      <c r="P51" s="52">
        <v>106.27</v>
      </c>
      <c r="Q51" s="52">
        <v>107.98</v>
      </c>
      <c r="R51" s="52">
        <v>109.69</v>
      </c>
      <c r="S51" s="52">
        <v>78.900000000000006</v>
      </c>
      <c r="T51" s="52">
        <v>77.19</v>
      </c>
      <c r="U51" s="52">
        <v>75.48</v>
      </c>
      <c r="V51" s="52">
        <v>73.760000000000005</v>
      </c>
      <c r="W51" s="52">
        <v>72.05</v>
      </c>
      <c r="X51" s="485">
        <v>47</v>
      </c>
      <c r="Y51" s="489">
        <v>55.6</v>
      </c>
      <c r="Z51" s="489">
        <v>56.81</v>
      </c>
      <c r="AA51" s="489">
        <v>58.02</v>
      </c>
      <c r="AB51" s="489">
        <v>9.2200000000000006</v>
      </c>
      <c r="AC51" s="489">
        <v>60.43</v>
      </c>
      <c r="AD51" s="299">
        <v>61.64</v>
      </c>
      <c r="AE51" s="299">
        <v>62.85</v>
      </c>
      <c r="AF51" s="299">
        <v>64.06</v>
      </c>
      <c r="AG51" s="300">
        <v>65.260000000000005</v>
      </c>
      <c r="AH51" s="301">
        <v>66.47</v>
      </c>
      <c r="AI51" s="301">
        <v>67.680000000000007</v>
      </c>
      <c r="AJ51" s="626">
        <v>68.89</v>
      </c>
      <c r="AK51" s="490">
        <v>70.099999999999994</v>
      </c>
      <c r="AL51" s="482">
        <v>71.3</v>
      </c>
      <c r="AM51" s="491">
        <v>72.510000000000005</v>
      </c>
      <c r="AN51" s="646">
        <v>73.72</v>
      </c>
      <c r="AO51" s="52">
        <v>74.930000000000007</v>
      </c>
      <c r="AP51" s="52">
        <v>76.13</v>
      </c>
      <c r="AQ51" s="52">
        <v>77.34</v>
      </c>
      <c r="AR51" s="52">
        <v>78.55</v>
      </c>
      <c r="AS51" s="52">
        <v>79.760000000000005</v>
      </c>
      <c r="AT51" s="52">
        <v>47.13</v>
      </c>
      <c r="AU51" s="52">
        <v>45.92</v>
      </c>
    </row>
    <row r="52" spans="1:47">
      <c r="A52" s="489">
        <v>89.83</v>
      </c>
      <c r="B52" s="300">
        <v>108.74</v>
      </c>
      <c r="C52" s="301">
        <v>110.49</v>
      </c>
      <c r="D52" s="301">
        <v>112.24</v>
      </c>
      <c r="E52" s="621">
        <v>113.98</v>
      </c>
      <c r="F52" s="490">
        <v>98.56</v>
      </c>
      <c r="G52" s="490">
        <v>100.31</v>
      </c>
      <c r="H52" s="491">
        <v>102.06</v>
      </c>
      <c r="I52" s="52">
        <v>103.8</v>
      </c>
      <c r="J52" s="52">
        <v>105.55</v>
      </c>
      <c r="K52" s="52">
        <v>107.3</v>
      </c>
      <c r="L52" s="52">
        <v>109.04</v>
      </c>
      <c r="M52" s="52">
        <v>110.79</v>
      </c>
      <c r="N52" s="52">
        <v>112.54</v>
      </c>
      <c r="O52" s="52">
        <v>106.77</v>
      </c>
      <c r="P52" s="52">
        <v>108.52</v>
      </c>
      <c r="Q52" s="52">
        <v>110.27</v>
      </c>
      <c r="R52" s="52">
        <v>112.01</v>
      </c>
      <c r="S52" s="52">
        <v>80.56</v>
      </c>
      <c r="T52" s="52">
        <v>78.819999999999993</v>
      </c>
      <c r="U52" s="52">
        <v>77.069999999999993</v>
      </c>
      <c r="V52" s="52">
        <v>75.319999999999993</v>
      </c>
      <c r="W52" s="52">
        <v>73.58</v>
      </c>
      <c r="X52" s="485">
        <v>48</v>
      </c>
      <c r="Y52" s="489">
        <v>56.76</v>
      </c>
      <c r="Z52" s="489">
        <v>57.99</v>
      </c>
      <c r="AA52" s="489">
        <v>59.23</v>
      </c>
      <c r="AB52" s="489">
        <v>60.46</v>
      </c>
      <c r="AC52" s="489">
        <v>61.7</v>
      </c>
      <c r="AD52" s="299">
        <v>62.93</v>
      </c>
      <c r="AE52" s="299">
        <v>64.16</v>
      </c>
      <c r="AF52" s="299">
        <v>65.400000000000006</v>
      </c>
      <c r="AG52" s="300">
        <v>66.63</v>
      </c>
      <c r="AH52" s="301">
        <v>67.86</v>
      </c>
      <c r="AI52" s="301">
        <v>69.099999999999994</v>
      </c>
      <c r="AJ52" s="626">
        <v>70.33</v>
      </c>
      <c r="AK52" s="490">
        <v>71.56</v>
      </c>
      <c r="AL52" s="482">
        <v>72.8</v>
      </c>
      <c r="AM52" s="491">
        <v>74.03</v>
      </c>
      <c r="AN52" s="646">
        <v>75.27</v>
      </c>
      <c r="AO52" s="52">
        <v>76.5</v>
      </c>
      <c r="AP52" s="52">
        <v>77.73</v>
      </c>
      <c r="AQ52" s="52">
        <v>78.97</v>
      </c>
      <c r="AR52" s="52">
        <v>80.2</v>
      </c>
      <c r="AS52" s="52">
        <v>81.430000000000007</v>
      </c>
      <c r="AT52" s="52">
        <v>48.11</v>
      </c>
      <c r="AU52" s="52">
        <v>46.88</v>
      </c>
    </row>
    <row r="53" spans="1:47">
      <c r="A53" s="489">
        <v>91.66</v>
      </c>
      <c r="B53" s="300">
        <v>110.96</v>
      </c>
      <c r="C53" s="301">
        <v>112.75</v>
      </c>
      <c r="D53" s="301">
        <v>114.53</v>
      </c>
      <c r="E53" s="621">
        <v>116.31</v>
      </c>
      <c r="F53" s="490">
        <v>100.58</v>
      </c>
      <c r="G53" s="490">
        <v>102.37</v>
      </c>
      <c r="H53" s="491">
        <v>104.15</v>
      </c>
      <c r="I53" s="52">
        <v>105.93</v>
      </c>
      <c r="J53" s="52">
        <v>107.72</v>
      </c>
      <c r="K53" s="52">
        <v>109.5</v>
      </c>
      <c r="L53" s="52">
        <v>111.28</v>
      </c>
      <c r="M53" s="52">
        <v>113.07</v>
      </c>
      <c r="N53" s="52">
        <v>114.85</v>
      </c>
      <c r="O53" s="52">
        <v>108.97</v>
      </c>
      <c r="P53" s="52">
        <v>110.75</v>
      </c>
      <c r="Q53" s="52">
        <v>112.54</v>
      </c>
      <c r="R53" s="52">
        <v>114.32</v>
      </c>
      <c r="S53" s="52">
        <v>82.22</v>
      </c>
      <c r="T53" s="52">
        <v>80.430000000000007</v>
      </c>
      <c r="U53" s="52">
        <v>78.650000000000006</v>
      </c>
      <c r="V53" s="52">
        <v>76.87</v>
      </c>
      <c r="W53" s="52">
        <v>75.08</v>
      </c>
      <c r="X53" s="485">
        <v>49</v>
      </c>
      <c r="Y53" s="489">
        <v>57.94</v>
      </c>
      <c r="Z53" s="489">
        <v>59.2</v>
      </c>
      <c r="AA53" s="489">
        <v>60.46</v>
      </c>
      <c r="AB53" s="489">
        <v>61.72</v>
      </c>
      <c r="AC53" s="489">
        <v>62.97</v>
      </c>
      <c r="AD53" s="299">
        <v>64.23</v>
      </c>
      <c r="AE53" s="299">
        <v>65.489999999999995</v>
      </c>
      <c r="AF53" s="299">
        <v>66.75</v>
      </c>
      <c r="AG53" s="300">
        <v>68.010000000000005</v>
      </c>
      <c r="AH53" s="301">
        <v>69.27</v>
      </c>
      <c r="AI53" s="301">
        <v>70.53</v>
      </c>
      <c r="AJ53" s="626">
        <v>71.790000000000006</v>
      </c>
      <c r="AK53" s="490">
        <v>73.5</v>
      </c>
      <c r="AL53" s="482">
        <v>74.31</v>
      </c>
      <c r="AM53" s="491">
        <v>75.569999999999993</v>
      </c>
      <c r="AN53" s="646">
        <v>76.83</v>
      </c>
      <c r="AO53" s="52">
        <v>78.09</v>
      </c>
      <c r="AP53" s="52">
        <v>79.349999999999994</v>
      </c>
      <c r="AQ53" s="52">
        <v>80.599999999999994</v>
      </c>
      <c r="AR53" s="52">
        <v>81.86</v>
      </c>
      <c r="AS53" s="52">
        <v>83.12</v>
      </c>
      <c r="AT53" s="52">
        <v>49.11</v>
      </c>
      <c r="AU53" s="52">
        <v>47.85</v>
      </c>
    </row>
    <row r="54" spans="1:47">
      <c r="A54" s="489">
        <v>93.51</v>
      </c>
      <c r="B54" s="300">
        <v>113.2</v>
      </c>
      <c r="C54" s="301">
        <v>115.02</v>
      </c>
      <c r="D54" s="301">
        <v>116.84</v>
      </c>
      <c r="E54" s="621">
        <v>118.66</v>
      </c>
      <c r="F54" s="490">
        <v>102.61</v>
      </c>
      <c r="G54" s="490">
        <v>104.43</v>
      </c>
      <c r="H54" s="491">
        <v>106.25</v>
      </c>
      <c r="I54" s="52">
        <v>108.07</v>
      </c>
      <c r="J54" s="52">
        <v>109.89</v>
      </c>
      <c r="K54" s="52">
        <v>111.71</v>
      </c>
      <c r="L54" s="52">
        <v>113.53</v>
      </c>
      <c r="M54" s="52">
        <v>115.35</v>
      </c>
      <c r="N54" s="52">
        <v>117.17</v>
      </c>
      <c r="O54" s="52">
        <v>111.18</v>
      </c>
      <c r="P54" s="52">
        <v>113</v>
      </c>
      <c r="Q54" s="52">
        <v>114.82</v>
      </c>
      <c r="R54" s="52">
        <v>116.64</v>
      </c>
      <c r="S54" s="52">
        <v>83.88</v>
      </c>
      <c r="T54" s="52">
        <v>82.06</v>
      </c>
      <c r="U54" s="52">
        <v>80.239999999999995</v>
      </c>
      <c r="V54" s="52">
        <v>78.42</v>
      </c>
      <c r="W54" s="52">
        <v>76.599999999999994</v>
      </c>
      <c r="X54" s="485">
        <v>50</v>
      </c>
      <c r="Y54" s="489">
        <v>59.11</v>
      </c>
      <c r="Z54" s="489">
        <v>60.39</v>
      </c>
      <c r="AA54" s="489">
        <v>61.68</v>
      </c>
      <c r="AB54" s="489">
        <v>62.96</v>
      </c>
      <c r="AC54" s="489">
        <v>64.25</v>
      </c>
      <c r="AD54" s="299">
        <v>65.53</v>
      </c>
      <c r="AE54" s="299">
        <v>66.819999999999993</v>
      </c>
      <c r="AF54" s="299">
        <v>68.099999999999994</v>
      </c>
      <c r="AG54" s="300">
        <v>69.39</v>
      </c>
      <c r="AH54" s="301">
        <v>70.67</v>
      </c>
      <c r="AI54" s="301">
        <v>71.959999999999994</v>
      </c>
      <c r="AJ54" s="626">
        <v>73.239999999999995</v>
      </c>
      <c r="AK54" s="490">
        <v>74.53</v>
      </c>
      <c r="AL54" s="482">
        <v>75.81</v>
      </c>
      <c r="AM54" s="491">
        <v>77.099999999999994</v>
      </c>
      <c r="AN54" s="646">
        <v>78.38</v>
      </c>
      <c r="AO54" s="52">
        <v>79.67</v>
      </c>
      <c r="AP54" s="52">
        <v>80.95</v>
      </c>
      <c r="AQ54" s="52">
        <v>82.24</v>
      </c>
      <c r="AR54" s="52">
        <v>83.52</v>
      </c>
      <c r="AS54" s="52">
        <v>84.81</v>
      </c>
      <c r="AT54" s="52">
        <v>50.11</v>
      </c>
      <c r="AU54" s="52">
        <v>48.82</v>
      </c>
    </row>
    <row r="55" spans="1:47">
      <c r="A55" s="489">
        <v>95.38</v>
      </c>
      <c r="B55" s="300">
        <v>115.46</v>
      </c>
      <c r="C55" s="301">
        <v>117.31</v>
      </c>
      <c r="D55" s="301">
        <v>119.17</v>
      </c>
      <c r="E55" s="621">
        <v>121.03</v>
      </c>
      <c r="F55" s="490">
        <v>104.66</v>
      </c>
      <c r="G55" s="490">
        <v>106.52</v>
      </c>
      <c r="H55" s="491">
        <v>108.37</v>
      </c>
      <c r="I55" s="52">
        <v>110.23</v>
      </c>
      <c r="J55" s="52">
        <v>112.09</v>
      </c>
      <c r="K55" s="52">
        <v>113.94</v>
      </c>
      <c r="L55" s="52">
        <v>115.8</v>
      </c>
      <c r="M55" s="52">
        <v>117.65</v>
      </c>
      <c r="N55" s="52">
        <v>119.51</v>
      </c>
      <c r="O55" s="52">
        <v>113.4</v>
      </c>
      <c r="P55" s="52">
        <v>115.25</v>
      </c>
      <c r="Q55" s="52">
        <v>117.11</v>
      </c>
      <c r="R55" s="52">
        <v>118.97</v>
      </c>
      <c r="S55" s="52">
        <v>85.55</v>
      </c>
      <c r="T55" s="52">
        <v>83.7</v>
      </c>
      <c r="U55" s="52">
        <v>81.84</v>
      </c>
      <c r="V55" s="52">
        <v>79.98</v>
      </c>
      <c r="W55" s="52">
        <v>78.13</v>
      </c>
      <c r="X55" s="485">
        <v>51</v>
      </c>
      <c r="Y55" s="489">
        <v>60.28</v>
      </c>
      <c r="Z55" s="489">
        <v>61.59</v>
      </c>
      <c r="AA55" s="489">
        <v>62.9</v>
      </c>
      <c r="AB55" s="489">
        <v>64.209999999999994</v>
      </c>
      <c r="AC55" s="489">
        <v>65.52</v>
      </c>
      <c r="AD55" s="299">
        <v>66.83</v>
      </c>
      <c r="AE55" s="299">
        <v>68.14</v>
      </c>
      <c r="AF55" s="299">
        <v>69.45</v>
      </c>
      <c r="AG55" s="300">
        <v>70.760000000000005</v>
      </c>
      <c r="AH55" s="301">
        <v>72.08</v>
      </c>
      <c r="AI55" s="301">
        <v>73.39</v>
      </c>
      <c r="AJ55" s="626">
        <v>74.7</v>
      </c>
      <c r="AK55" s="490">
        <v>76.010000000000005</v>
      </c>
      <c r="AL55" s="482">
        <v>77.319999999999993</v>
      </c>
      <c r="AM55" s="491">
        <v>78.63</v>
      </c>
      <c r="AN55" s="646">
        <v>79.94</v>
      </c>
      <c r="AO55" s="52">
        <v>81.25</v>
      </c>
      <c r="AP55" s="52">
        <v>82.56</v>
      </c>
      <c r="AQ55" s="52">
        <v>83.87</v>
      </c>
      <c r="AR55" s="52">
        <v>85.18</v>
      </c>
      <c r="AS55" s="52">
        <v>86.49</v>
      </c>
      <c r="AT55" s="52">
        <v>51.1</v>
      </c>
      <c r="AU55" s="52">
        <v>49.79</v>
      </c>
    </row>
    <row r="56" spans="1:47">
      <c r="A56" s="489">
        <v>97.22</v>
      </c>
      <c r="B56" s="300">
        <v>117.68</v>
      </c>
      <c r="C56" s="301">
        <v>119.57</v>
      </c>
      <c r="D56" s="301">
        <v>121.47</v>
      </c>
      <c r="E56" s="621">
        <v>123.36</v>
      </c>
      <c r="F56" s="490">
        <v>106.68</v>
      </c>
      <c r="G56" s="490">
        <v>108.58</v>
      </c>
      <c r="H56" s="491">
        <v>110.47</v>
      </c>
      <c r="I56" s="52">
        <v>112.36</v>
      </c>
      <c r="J56" s="52">
        <v>114.25</v>
      </c>
      <c r="K56" s="52">
        <v>116.15</v>
      </c>
      <c r="L56" s="52">
        <v>118.04</v>
      </c>
      <c r="M56" s="52">
        <v>119.93</v>
      </c>
      <c r="N56" s="52">
        <v>121.83</v>
      </c>
      <c r="O56" s="52">
        <v>115.6</v>
      </c>
      <c r="P56" s="52">
        <v>117.49</v>
      </c>
      <c r="Q56" s="52">
        <v>119.38</v>
      </c>
      <c r="R56" s="52">
        <v>121.28</v>
      </c>
      <c r="S56" s="52">
        <v>87.21</v>
      </c>
      <c r="T56" s="52">
        <v>85.31</v>
      </c>
      <c r="U56" s="52">
        <v>83.42</v>
      </c>
      <c r="V56" s="52">
        <v>81.53</v>
      </c>
      <c r="W56" s="52">
        <v>79.63</v>
      </c>
      <c r="X56" s="485">
        <v>52</v>
      </c>
      <c r="Y56" s="489">
        <v>41.44</v>
      </c>
      <c r="Z56" s="489">
        <v>62.78</v>
      </c>
      <c r="AA56" s="489">
        <v>64.12</v>
      </c>
      <c r="AB56" s="489">
        <v>65.45</v>
      </c>
      <c r="AC56" s="489">
        <v>66.790000000000006</v>
      </c>
      <c r="AD56" s="299">
        <v>68.12</v>
      </c>
      <c r="AE56" s="299">
        <v>69.459999999999994</v>
      </c>
      <c r="AF56" s="299">
        <v>70.8</v>
      </c>
      <c r="AG56" s="300">
        <v>72.13</v>
      </c>
      <c r="AH56" s="301">
        <v>73.47</v>
      </c>
      <c r="AI56" s="301">
        <v>74.81</v>
      </c>
      <c r="AJ56" s="626">
        <v>76.14</v>
      </c>
      <c r="AK56" s="490">
        <v>77.48</v>
      </c>
      <c r="AL56" s="482">
        <v>78.819999999999993</v>
      </c>
      <c r="AM56" s="491">
        <v>80.150000000000006</v>
      </c>
      <c r="AN56" s="646">
        <v>81.489999999999995</v>
      </c>
      <c r="AO56" s="52">
        <v>82.82</v>
      </c>
      <c r="AP56" s="52">
        <v>84.16</v>
      </c>
      <c r="AQ56" s="52">
        <v>85.5</v>
      </c>
      <c r="AR56" s="52">
        <v>86.83</v>
      </c>
      <c r="AS56" s="52">
        <v>88.17</v>
      </c>
      <c r="AT56" s="52">
        <v>52.09</v>
      </c>
      <c r="AU56" s="52">
        <v>50.76</v>
      </c>
    </row>
    <row r="57" spans="1:47">
      <c r="A57" s="489">
        <v>99.07</v>
      </c>
      <c r="B57" s="300">
        <v>119.92</v>
      </c>
      <c r="C57" s="301">
        <v>121.85</v>
      </c>
      <c r="D57" s="301">
        <v>123.78</v>
      </c>
      <c r="E57" s="621">
        <v>125.71</v>
      </c>
      <c r="F57" s="490">
        <v>108.72</v>
      </c>
      <c r="G57" s="490">
        <v>110.65</v>
      </c>
      <c r="H57" s="491">
        <v>112.58</v>
      </c>
      <c r="I57" s="52">
        <v>114.51</v>
      </c>
      <c r="J57" s="52">
        <v>116.43</v>
      </c>
      <c r="K57" s="52">
        <v>118.36</v>
      </c>
      <c r="L57" s="52">
        <v>120.29</v>
      </c>
      <c r="M57" s="52">
        <v>122.22</v>
      </c>
      <c r="N57" s="52">
        <v>124.15</v>
      </c>
      <c r="O57" s="52">
        <v>117.81</v>
      </c>
      <c r="P57" s="52">
        <v>119.74</v>
      </c>
      <c r="Q57" s="52">
        <v>121.67</v>
      </c>
      <c r="R57" s="52">
        <v>123.6</v>
      </c>
      <c r="S57" s="52">
        <v>88.87</v>
      </c>
      <c r="T57" s="52">
        <v>86.94</v>
      </c>
      <c r="U57" s="52">
        <v>85.01</v>
      </c>
      <c r="V57" s="52">
        <v>83.08</v>
      </c>
      <c r="W57" s="52">
        <v>81.150000000000006</v>
      </c>
      <c r="X57" s="485">
        <v>53</v>
      </c>
      <c r="Y57" s="489">
        <v>62.61</v>
      </c>
      <c r="Z57" s="489">
        <v>63.97</v>
      </c>
      <c r="AA57" s="489">
        <v>65.33</v>
      </c>
      <c r="AB57" s="489">
        <v>66.7</v>
      </c>
      <c r="AC57" s="489">
        <v>68.06</v>
      </c>
      <c r="AD57" s="299">
        <v>69.42</v>
      </c>
      <c r="AE57" s="299">
        <v>70.78</v>
      </c>
      <c r="AF57" s="299">
        <v>72.14</v>
      </c>
      <c r="AG57" s="300">
        <v>73.510000000000005</v>
      </c>
      <c r="AH57" s="301">
        <v>74.87</v>
      </c>
      <c r="AI57" s="301">
        <v>76.23</v>
      </c>
      <c r="AJ57" s="626">
        <v>77.59</v>
      </c>
      <c r="AK57" s="490">
        <v>78.95</v>
      </c>
      <c r="AL57" s="482">
        <v>80.319999999999993</v>
      </c>
      <c r="AM57" s="491">
        <v>81.680000000000007</v>
      </c>
      <c r="AN57" s="646">
        <v>83.04</v>
      </c>
      <c r="AO57" s="52">
        <v>84.4</v>
      </c>
      <c r="AP57" s="52">
        <v>85.77</v>
      </c>
      <c r="AQ57" s="52">
        <v>87.13</v>
      </c>
      <c r="AR57" s="52">
        <v>88.49</v>
      </c>
      <c r="AS57" s="52">
        <v>89.85</v>
      </c>
      <c r="AT57" s="52">
        <v>53.09</v>
      </c>
      <c r="AU57" s="52">
        <v>51.72</v>
      </c>
    </row>
    <row r="58" spans="1:47">
      <c r="A58" s="489">
        <v>100.94</v>
      </c>
      <c r="B58" s="300">
        <v>122.18</v>
      </c>
      <c r="C58" s="301">
        <v>124.14</v>
      </c>
      <c r="D58" s="301">
        <v>126.11</v>
      </c>
      <c r="E58" s="621">
        <v>128.08000000000001</v>
      </c>
      <c r="F58" s="490">
        <v>110.76</v>
      </c>
      <c r="G58" s="490">
        <v>112.73</v>
      </c>
      <c r="H58" s="491">
        <v>114.7</v>
      </c>
      <c r="I58" s="52">
        <v>116.66</v>
      </c>
      <c r="J58" s="52">
        <v>118.63</v>
      </c>
      <c r="K58" s="52">
        <v>120.59</v>
      </c>
      <c r="L58" s="52">
        <v>122.56</v>
      </c>
      <c r="M58" s="52">
        <v>124.52</v>
      </c>
      <c r="N58" s="52">
        <v>126.49</v>
      </c>
      <c r="O58" s="52">
        <v>120.03</v>
      </c>
      <c r="P58" s="52">
        <v>121.99</v>
      </c>
      <c r="Q58" s="52">
        <v>123.96</v>
      </c>
      <c r="R58" s="52">
        <v>125.92</v>
      </c>
      <c r="S58" s="52">
        <v>90.54</v>
      </c>
      <c r="T58" s="52">
        <v>88.58</v>
      </c>
      <c r="U58" s="52">
        <v>86.61</v>
      </c>
      <c r="V58" s="52">
        <v>84.65</v>
      </c>
      <c r="W58" s="52">
        <v>82.68</v>
      </c>
      <c r="X58" s="485">
        <v>54</v>
      </c>
      <c r="Y58" s="489">
        <v>63.78</v>
      </c>
      <c r="Z58" s="489">
        <v>65.17</v>
      </c>
      <c r="AA58" s="489">
        <v>66.56</v>
      </c>
      <c r="AB58" s="489">
        <v>67.94</v>
      </c>
      <c r="AC58" s="489">
        <v>69.33</v>
      </c>
      <c r="AD58" s="299">
        <v>70.72</v>
      </c>
      <c r="AE58" s="299">
        <v>72.11</v>
      </c>
      <c r="AF58" s="299">
        <v>73.5</v>
      </c>
      <c r="AG58" s="300">
        <v>74.88</v>
      </c>
      <c r="AH58" s="301">
        <v>76.27</v>
      </c>
      <c r="AI58" s="301">
        <v>77.66</v>
      </c>
      <c r="AJ58" s="626">
        <v>79.05</v>
      </c>
      <c r="AK58" s="490">
        <v>80.430000000000007</v>
      </c>
      <c r="AL58" s="482">
        <v>81.819999999999993</v>
      </c>
      <c r="AM58" s="491">
        <v>83.21</v>
      </c>
      <c r="AN58" s="646">
        <v>84.6</v>
      </c>
      <c r="AO58" s="52">
        <v>85.99</v>
      </c>
      <c r="AP58" s="52">
        <v>87.37</v>
      </c>
      <c r="AQ58" s="52">
        <v>88.76</v>
      </c>
      <c r="AR58" s="52">
        <v>90.15</v>
      </c>
      <c r="AS58" s="52">
        <v>91.54</v>
      </c>
      <c r="AT58" s="52">
        <v>54.08</v>
      </c>
      <c r="AU58" s="52">
        <v>52.69</v>
      </c>
    </row>
    <row r="59" spans="1:47">
      <c r="A59" s="489">
        <v>102.77</v>
      </c>
      <c r="B59" s="300">
        <v>124.4</v>
      </c>
      <c r="C59" s="301">
        <v>126.4</v>
      </c>
      <c r="D59" s="301">
        <v>128.4</v>
      </c>
      <c r="E59" s="621">
        <v>130.41</v>
      </c>
      <c r="F59" s="631">
        <v>132.41</v>
      </c>
      <c r="G59" s="490">
        <v>114.79</v>
      </c>
      <c r="H59" s="491">
        <v>116.79</v>
      </c>
      <c r="I59" s="52">
        <v>118.79</v>
      </c>
      <c r="J59" s="52">
        <v>120.79</v>
      </c>
      <c r="K59" s="52">
        <v>122.79</v>
      </c>
      <c r="L59" s="52">
        <v>124.8</v>
      </c>
      <c r="M59" s="52">
        <v>126.8</v>
      </c>
      <c r="N59" s="52">
        <v>128.80000000000001</v>
      </c>
      <c r="O59" s="52">
        <v>122.23</v>
      </c>
      <c r="P59" s="52">
        <v>124.23</v>
      </c>
      <c r="Q59" s="52">
        <v>126.23</v>
      </c>
      <c r="R59" s="52">
        <v>128.22999999999999</v>
      </c>
      <c r="S59" s="52">
        <v>92.2</v>
      </c>
      <c r="T59" s="52">
        <v>90.19</v>
      </c>
      <c r="U59" s="52">
        <v>88.19</v>
      </c>
      <c r="V59" s="52">
        <v>86.19</v>
      </c>
      <c r="W59" s="52">
        <v>84.19</v>
      </c>
      <c r="X59" s="485">
        <v>55</v>
      </c>
      <c r="Y59" s="489">
        <v>64.959999999999994</v>
      </c>
      <c r="Z59" s="489">
        <v>66.37</v>
      </c>
      <c r="AA59" s="489">
        <v>67.78</v>
      </c>
      <c r="AB59" s="489">
        <v>69.2</v>
      </c>
      <c r="AC59" s="489">
        <v>70.61</v>
      </c>
      <c r="AD59" s="299">
        <v>72.02</v>
      </c>
      <c r="AE59" s="299">
        <v>73.44</v>
      </c>
      <c r="AF59" s="299">
        <v>74.849999999999994</v>
      </c>
      <c r="AG59" s="300">
        <v>76.260000000000005</v>
      </c>
      <c r="AH59" s="301">
        <v>77.680000000000007</v>
      </c>
      <c r="AI59" s="301">
        <v>79.09</v>
      </c>
      <c r="AJ59" s="626">
        <v>80.5</v>
      </c>
      <c r="AK59" s="490">
        <v>81.92</v>
      </c>
      <c r="AL59" s="482">
        <v>83.33</v>
      </c>
      <c r="AM59" s="491">
        <v>84.74</v>
      </c>
      <c r="AN59" s="646">
        <v>86.16</v>
      </c>
      <c r="AO59" s="52">
        <v>87.57</v>
      </c>
      <c r="AP59" s="52">
        <v>88.99</v>
      </c>
      <c r="AQ59" s="52">
        <v>90.4</v>
      </c>
      <c r="AR59" s="52">
        <v>91.81</v>
      </c>
      <c r="AS59" s="52">
        <v>93.23</v>
      </c>
      <c r="AT59" s="52">
        <v>55.08</v>
      </c>
      <c r="AU59" s="52">
        <v>53.67</v>
      </c>
    </row>
    <row r="60" spans="1:47">
      <c r="A60" s="489">
        <v>104.62</v>
      </c>
      <c r="B60" s="300">
        <v>126.63</v>
      </c>
      <c r="C60" s="301">
        <v>128.66999999999999</v>
      </c>
      <c r="D60" s="301">
        <v>130.71</v>
      </c>
      <c r="E60" s="621">
        <v>132.75</v>
      </c>
      <c r="F60" s="490">
        <v>114.81</v>
      </c>
      <c r="G60" s="490">
        <v>116.85</v>
      </c>
      <c r="H60" s="491">
        <v>118.89</v>
      </c>
      <c r="I60" s="52">
        <v>120.93</v>
      </c>
      <c r="J60" s="52">
        <v>122.97</v>
      </c>
      <c r="K60" s="52">
        <v>125.01</v>
      </c>
      <c r="L60" s="52">
        <v>127.05</v>
      </c>
      <c r="M60" s="52">
        <v>129.08000000000001</v>
      </c>
      <c r="N60" s="52">
        <v>131.12</v>
      </c>
      <c r="O60" s="52">
        <v>124.43</v>
      </c>
      <c r="P60" s="52">
        <v>126.47</v>
      </c>
      <c r="Q60" s="52">
        <v>128.51</v>
      </c>
      <c r="R60" s="52">
        <v>130.55000000000001</v>
      </c>
      <c r="S60" s="52">
        <v>93.86</v>
      </c>
      <c r="T60" s="52">
        <v>91.82</v>
      </c>
      <c r="U60" s="52">
        <v>89.78</v>
      </c>
      <c r="V60" s="52">
        <v>87.74</v>
      </c>
      <c r="W60" s="52">
        <v>85.7</v>
      </c>
      <c r="X60" s="485">
        <v>56</v>
      </c>
      <c r="Y60" s="489">
        <v>66.12</v>
      </c>
      <c r="Z60" s="489">
        <v>67.56</v>
      </c>
      <c r="AA60" s="489">
        <v>69</v>
      </c>
      <c r="AB60" s="489">
        <v>70.44</v>
      </c>
      <c r="AC60" s="489">
        <v>72.88</v>
      </c>
      <c r="AD60" s="299">
        <v>73.319999999999993</v>
      </c>
      <c r="AE60" s="299">
        <v>74.75</v>
      </c>
      <c r="AF60" s="299">
        <v>76.19</v>
      </c>
      <c r="AG60" s="300">
        <v>77.63</v>
      </c>
      <c r="AH60" s="301">
        <v>79.069999999999993</v>
      </c>
      <c r="AI60" s="301">
        <v>80.510000000000005</v>
      </c>
      <c r="AJ60" s="626">
        <v>81.95</v>
      </c>
      <c r="AK60" s="490">
        <v>83.39</v>
      </c>
      <c r="AL60" s="482">
        <v>84.83</v>
      </c>
      <c r="AM60" s="491">
        <v>86.27</v>
      </c>
      <c r="AN60" s="646">
        <v>87.71</v>
      </c>
      <c r="AO60" s="52">
        <v>89.15</v>
      </c>
      <c r="AP60" s="52">
        <v>90.59</v>
      </c>
      <c r="AQ60" s="52">
        <v>92.03</v>
      </c>
      <c r="AR60" s="52">
        <v>93.46</v>
      </c>
      <c r="AS60" s="52">
        <v>94.9</v>
      </c>
      <c r="AT60" s="52">
        <v>56.07</v>
      </c>
      <c r="AU60" s="52">
        <v>54.63</v>
      </c>
    </row>
    <row r="61" spans="1:47">
      <c r="A61" s="489">
        <v>106.48</v>
      </c>
      <c r="B61" s="300">
        <v>128.88</v>
      </c>
      <c r="C61" s="301">
        <v>130.96</v>
      </c>
      <c r="D61" s="301">
        <v>133.03</v>
      </c>
      <c r="E61" s="621">
        <v>135.11000000000001</v>
      </c>
      <c r="F61" s="490">
        <v>116.86</v>
      </c>
      <c r="G61" s="490">
        <v>118.93</v>
      </c>
      <c r="H61" s="491">
        <v>121.01</v>
      </c>
      <c r="I61" s="52">
        <v>123.08</v>
      </c>
      <c r="J61" s="52">
        <v>125.16</v>
      </c>
      <c r="K61" s="52">
        <v>127.23</v>
      </c>
      <c r="L61" s="52">
        <v>129.31</v>
      </c>
      <c r="M61" s="52">
        <v>131.38</v>
      </c>
      <c r="N61" s="52">
        <v>133.44999999999999</v>
      </c>
      <c r="O61" s="52">
        <v>126.65</v>
      </c>
      <c r="P61" s="52">
        <v>128.72</v>
      </c>
      <c r="Q61" s="52">
        <v>130.80000000000001</v>
      </c>
      <c r="R61" s="52">
        <v>132.87</v>
      </c>
      <c r="S61" s="52">
        <v>95.53</v>
      </c>
      <c r="T61" s="52">
        <v>93.45</v>
      </c>
      <c r="U61" s="52">
        <v>91.38</v>
      </c>
      <c r="V61" s="52">
        <v>89.3</v>
      </c>
      <c r="W61" s="52">
        <v>87.23</v>
      </c>
      <c r="X61" s="485">
        <v>57</v>
      </c>
      <c r="Y61" s="489">
        <v>67.290000000000006</v>
      </c>
      <c r="Z61" s="489">
        <v>68.75</v>
      </c>
      <c r="AA61" s="489">
        <v>70.22</v>
      </c>
      <c r="AB61" s="489">
        <v>71.680000000000007</v>
      </c>
      <c r="AC61" s="489">
        <v>73.150000000000006</v>
      </c>
      <c r="AD61" s="299">
        <v>74.61</v>
      </c>
      <c r="AE61" s="299">
        <v>76.08</v>
      </c>
      <c r="AF61" s="299">
        <v>77.540000000000006</v>
      </c>
      <c r="AG61" s="300">
        <v>79.010000000000005</v>
      </c>
      <c r="AH61" s="301">
        <v>80.47</v>
      </c>
      <c r="AI61" s="301">
        <v>81.94</v>
      </c>
      <c r="AJ61" s="626">
        <v>83.4</v>
      </c>
      <c r="AK61" s="490">
        <v>84.87</v>
      </c>
      <c r="AL61" s="482">
        <v>86.33</v>
      </c>
      <c r="AM61" s="491">
        <v>87.8</v>
      </c>
      <c r="AN61" s="646">
        <v>89.26</v>
      </c>
      <c r="AO61" s="52">
        <v>90.73</v>
      </c>
      <c r="AP61" s="52">
        <v>92.19</v>
      </c>
      <c r="AQ61" s="52">
        <v>93.65</v>
      </c>
      <c r="AR61" s="52">
        <v>95.12</v>
      </c>
      <c r="AS61" s="52">
        <v>96.58</v>
      </c>
      <c r="AT61" s="52">
        <v>57.06</v>
      </c>
      <c r="AU61" s="52">
        <v>55.6</v>
      </c>
    </row>
    <row r="62" spans="1:47">
      <c r="A62" s="489">
        <v>108.35</v>
      </c>
      <c r="B62" s="300">
        <v>131.15</v>
      </c>
      <c r="C62" s="301">
        <v>133.26</v>
      </c>
      <c r="D62" s="301">
        <v>135.37</v>
      </c>
      <c r="E62" s="621">
        <v>137.47999999999999</v>
      </c>
      <c r="F62" s="490">
        <v>118.91</v>
      </c>
      <c r="G62" s="490">
        <v>121.02</v>
      </c>
      <c r="H62" s="491">
        <v>123.13</v>
      </c>
      <c r="I62" s="52">
        <v>125.24</v>
      </c>
      <c r="J62" s="52">
        <v>127.36</v>
      </c>
      <c r="K62" s="52">
        <v>129.47</v>
      </c>
      <c r="L62" s="52">
        <v>131.58000000000001</v>
      </c>
      <c r="M62" s="52">
        <v>133.69</v>
      </c>
      <c r="N62" s="52">
        <v>135.80000000000001</v>
      </c>
      <c r="O62" s="52">
        <v>128.87</v>
      </c>
      <c r="P62" s="52">
        <v>130.97999999999999</v>
      </c>
      <c r="Q62" s="52">
        <v>133.1</v>
      </c>
      <c r="R62" s="52">
        <v>135.21</v>
      </c>
      <c r="S62" s="52">
        <v>97.2</v>
      </c>
      <c r="T62" s="52">
        <v>95.09</v>
      </c>
      <c r="U62" s="52">
        <v>92.98</v>
      </c>
      <c r="V62" s="52">
        <v>90.87</v>
      </c>
      <c r="W62" s="52">
        <v>88.76</v>
      </c>
      <c r="X62" s="485">
        <v>58</v>
      </c>
      <c r="Y62" s="489">
        <v>68.459999999999994</v>
      </c>
      <c r="Z62" s="489">
        <v>69.95</v>
      </c>
      <c r="AA62" s="489">
        <v>71.44</v>
      </c>
      <c r="AB62" s="489">
        <v>72.930000000000007</v>
      </c>
      <c r="AC62" s="489">
        <v>74.42</v>
      </c>
      <c r="AD62" s="299">
        <v>75.91</v>
      </c>
      <c r="AE62" s="299">
        <v>77.400000000000006</v>
      </c>
      <c r="AF62" s="299">
        <v>78.89</v>
      </c>
      <c r="AG62" s="300">
        <v>80.38</v>
      </c>
      <c r="AH62" s="301">
        <v>81.87</v>
      </c>
      <c r="AI62" s="301">
        <v>83.36</v>
      </c>
      <c r="AJ62" s="626">
        <v>84.85</v>
      </c>
      <c r="AK62" s="490">
        <v>86.34</v>
      </c>
      <c r="AL62" s="482">
        <v>87.84</v>
      </c>
      <c r="AM62" s="491">
        <v>89.33</v>
      </c>
      <c r="AN62" s="646">
        <v>90.82</v>
      </c>
      <c r="AO62" s="52">
        <v>92.31</v>
      </c>
      <c r="AP62" s="52">
        <v>93.8</v>
      </c>
      <c r="AQ62" s="52">
        <v>95.29</v>
      </c>
      <c r="AR62" s="52">
        <v>96.78</v>
      </c>
      <c r="AS62" s="52">
        <v>98.27</v>
      </c>
      <c r="AT62" s="52">
        <v>58.06</v>
      </c>
      <c r="AU62" s="52">
        <v>56.57</v>
      </c>
    </row>
    <row r="63" spans="1:47">
      <c r="A63" s="489">
        <v>110.19</v>
      </c>
      <c r="B63" s="300">
        <v>133.37</v>
      </c>
      <c r="C63" s="301">
        <v>135.52000000000001</v>
      </c>
      <c r="D63" s="301">
        <v>137.66999999999999</v>
      </c>
      <c r="E63" s="621">
        <v>139.82</v>
      </c>
      <c r="F63" s="490">
        <v>120.93</v>
      </c>
      <c r="G63" s="490">
        <v>123.08</v>
      </c>
      <c r="H63" s="491">
        <v>125.23</v>
      </c>
      <c r="I63" s="52">
        <v>127.37</v>
      </c>
      <c r="J63" s="52">
        <v>129.52000000000001</v>
      </c>
      <c r="K63" s="52">
        <v>131.66999999999999</v>
      </c>
      <c r="L63" s="52">
        <v>133.82</v>
      </c>
      <c r="M63" s="52">
        <v>135.96</v>
      </c>
      <c r="N63" s="52">
        <v>138.11000000000001</v>
      </c>
      <c r="O63" s="52">
        <v>131.07</v>
      </c>
      <c r="P63" s="52">
        <v>133.22</v>
      </c>
      <c r="Q63" s="52">
        <v>135.37</v>
      </c>
      <c r="R63" s="52">
        <v>137.51</v>
      </c>
      <c r="S63" s="52">
        <v>98.86</v>
      </c>
      <c r="T63" s="52">
        <v>96.71</v>
      </c>
      <c r="U63" s="52">
        <v>94.56</v>
      </c>
      <c r="V63" s="52">
        <v>92.41</v>
      </c>
      <c r="W63" s="52">
        <v>90.27</v>
      </c>
      <c r="X63" s="485">
        <v>59</v>
      </c>
      <c r="Y63" s="489">
        <v>69.63</v>
      </c>
      <c r="Z63" s="489">
        <v>71.150000000000006</v>
      </c>
      <c r="AA63" s="489">
        <v>72.66</v>
      </c>
      <c r="AB63" s="489">
        <v>94.18</v>
      </c>
      <c r="AC63" s="489">
        <v>75.7</v>
      </c>
      <c r="AD63" s="299">
        <v>77.209999999999994</v>
      </c>
      <c r="AE63" s="299">
        <v>78.73</v>
      </c>
      <c r="AF63" s="299">
        <v>80.25</v>
      </c>
      <c r="AG63" s="300">
        <v>81.760000000000005</v>
      </c>
      <c r="AH63" s="301">
        <v>83.28</v>
      </c>
      <c r="AI63" s="301">
        <v>84.79</v>
      </c>
      <c r="AJ63" s="626">
        <v>86.31</v>
      </c>
      <c r="AK63" s="490">
        <v>87.83</v>
      </c>
      <c r="AL63" s="482">
        <v>89.34</v>
      </c>
      <c r="AM63" s="491">
        <v>90.86</v>
      </c>
      <c r="AN63" s="646">
        <v>92.38</v>
      </c>
      <c r="AO63" s="52">
        <v>93.89</v>
      </c>
      <c r="AP63" s="52">
        <v>95.41</v>
      </c>
      <c r="AQ63" s="52">
        <v>96.93</v>
      </c>
      <c r="AR63" s="52">
        <v>98.44</v>
      </c>
      <c r="AS63" s="52">
        <v>99.96</v>
      </c>
      <c r="AT63" s="52">
        <v>59.05</v>
      </c>
      <c r="AU63" s="52">
        <v>57.54</v>
      </c>
    </row>
    <row r="64" spans="1:47">
      <c r="A64" s="489">
        <v>112.04</v>
      </c>
      <c r="B64" s="300">
        <v>135.61000000000001</v>
      </c>
      <c r="C64" s="301">
        <v>137.79</v>
      </c>
      <c r="D64" s="301">
        <v>139.97999999999999</v>
      </c>
      <c r="E64" s="621">
        <v>142.16</v>
      </c>
      <c r="F64" s="490">
        <v>122.96</v>
      </c>
      <c r="G64" s="490">
        <v>125.15</v>
      </c>
      <c r="H64" s="491">
        <v>127.33</v>
      </c>
      <c r="I64" s="52">
        <v>129.51</v>
      </c>
      <c r="J64" s="52">
        <v>131.69999999999999</v>
      </c>
      <c r="K64" s="52">
        <v>133.88</v>
      </c>
      <c r="L64" s="52">
        <v>136.07</v>
      </c>
      <c r="M64" s="52">
        <v>138.25</v>
      </c>
      <c r="N64" s="52">
        <v>140.43</v>
      </c>
      <c r="O64" s="52">
        <v>133.28</v>
      </c>
      <c r="P64" s="52">
        <v>135.46</v>
      </c>
      <c r="Q64" s="52">
        <v>137.65</v>
      </c>
      <c r="R64" s="52">
        <v>139.83000000000001</v>
      </c>
      <c r="S64" s="52">
        <v>100.52</v>
      </c>
      <c r="T64" s="52">
        <v>98.33</v>
      </c>
      <c r="U64" s="52">
        <v>96.15</v>
      </c>
      <c r="V64" s="52">
        <v>93.97</v>
      </c>
      <c r="W64" s="52">
        <v>91.78</v>
      </c>
      <c r="X64" s="485">
        <v>60</v>
      </c>
      <c r="Y64" s="489">
        <v>70.81</v>
      </c>
      <c r="Z64" s="489">
        <v>72.349999999999994</v>
      </c>
      <c r="AA64" s="489">
        <v>73.89</v>
      </c>
      <c r="AB64" s="489">
        <v>75.44</v>
      </c>
      <c r="AC64" s="489">
        <v>76.98</v>
      </c>
      <c r="AD64" s="299">
        <v>78.52</v>
      </c>
      <c r="AE64" s="299">
        <v>80.06</v>
      </c>
      <c r="AF64" s="299">
        <v>81.599999999999994</v>
      </c>
      <c r="AG64" s="300">
        <v>83.15</v>
      </c>
      <c r="AH64" s="301">
        <v>84.69</v>
      </c>
      <c r="AI64" s="301">
        <v>86.23</v>
      </c>
      <c r="AJ64" s="626">
        <v>87.77</v>
      </c>
      <c r="AK64" s="490">
        <v>89.31</v>
      </c>
      <c r="AL64" s="482">
        <v>90.86</v>
      </c>
      <c r="AM64" s="491">
        <v>92.4</v>
      </c>
      <c r="AN64" s="646">
        <v>93.94</v>
      </c>
      <c r="AO64" s="52">
        <v>95.48</v>
      </c>
      <c r="AP64" s="52">
        <v>97.02</v>
      </c>
      <c r="AQ64" s="52">
        <v>98.57</v>
      </c>
      <c r="AR64" s="52">
        <v>100.11</v>
      </c>
      <c r="AS64" s="52">
        <v>101.65</v>
      </c>
      <c r="AT64" s="52">
        <v>60.05</v>
      </c>
      <c r="AU64" s="52">
        <v>58.51</v>
      </c>
    </row>
    <row r="65" spans="1:47">
      <c r="A65" s="489">
        <v>113.9</v>
      </c>
      <c r="B65" s="300">
        <v>137.86000000000001</v>
      </c>
      <c r="C65" s="301">
        <v>140.08000000000001</v>
      </c>
      <c r="D65" s="301">
        <v>142.30000000000001</v>
      </c>
      <c r="E65" s="621">
        <v>144.52000000000001</v>
      </c>
      <c r="F65" s="490">
        <v>125</v>
      </c>
      <c r="G65" s="490">
        <v>127.22</v>
      </c>
      <c r="H65" s="491">
        <v>129.44</v>
      </c>
      <c r="I65" s="52">
        <v>131.66</v>
      </c>
      <c r="J65" s="52">
        <v>133.88</v>
      </c>
      <c r="K65" s="52">
        <v>136.1</v>
      </c>
      <c r="L65" s="52">
        <v>138.33000000000001</v>
      </c>
      <c r="M65" s="52">
        <v>140.55000000000001</v>
      </c>
      <c r="N65" s="52">
        <v>142.77000000000001</v>
      </c>
      <c r="O65" s="52">
        <v>135.49</v>
      </c>
      <c r="P65" s="52">
        <v>137.71</v>
      </c>
      <c r="Q65" s="52">
        <v>139.93</v>
      </c>
      <c r="R65" s="52">
        <v>142.15</v>
      </c>
      <c r="S65" s="52">
        <v>102.19</v>
      </c>
      <c r="T65" s="52">
        <v>99.97</v>
      </c>
      <c r="U65" s="52">
        <v>97.75</v>
      </c>
      <c r="V65" s="52">
        <v>95.53</v>
      </c>
      <c r="W65" s="52">
        <v>93.31</v>
      </c>
      <c r="X65" s="485">
        <v>61</v>
      </c>
      <c r="Y65" s="489">
        <v>71.97</v>
      </c>
      <c r="Z65" s="489">
        <v>73.540000000000006</v>
      </c>
      <c r="AA65" s="489">
        <v>75.11</v>
      </c>
      <c r="AB65" s="489">
        <v>76.680000000000007</v>
      </c>
      <c r="AC65" s="489">
        <v>78.25</v>
      </c>
      <c r="AD65" s="299">
        <v>79.81</v>
      </c>
      <c r="AE65" s="299">
        <v>81.38</v>
      </c>
      <c r="AF65" s="299">
        <v>82.95</v>
      </c>
      <c r="AG65" s="300">
        <v>84.52</v>
      </c>
      <c r="AH65" s="301">
        <v>86.08</v>
      </c>
      <c r="AI65" s="301">
        <v>87.65</v>
      </c>
      <c r="AJ65" s="626">
        <v>89.22</v>
      </c>
      <c r="AK65" s="490">
        <v>90.79</v>
      </c>
      <c r="AL65" s="482">
        <v>92.35</v>
      </c>
      <c r="AM65" s="491">
        <v>93.92</v>
      </c>
      <c r="AN65" s="646">
        <v>95.49</v>
      </c>
      <c r="AO65" s="52">
        <v>97.06</v>
      </c>
      <c r="AP65" s="52">
        <v>98.63</v>
      </c>
      <c r="AQ65" s="52">
        <v>100.19</v>
      </c>
      <c r="AR65" s="52">
        <v>101.76</v>
      </c>
      <c r="AS65" s="52">
        <v>103.33</v>
      </c>
      <c r="AT65" s="52">
        <v>61.05</v>
      </c>
      <c r="AU65" s="52">
        <v>59.48</v>
      </c>
    </row>
    <row r="66" spans="1:47">
      <c r="A66" s="489">
        <v>115.77</v>
      </c>
      <c r="B66" s="300">
        <v>140.12</v>
      </c>
      <c r="C66" s="301">
        <v>142.38</v>
      </c>
      <c r="D66" s="301">
        <v>144.63</v>
      </c>
      <c r="E66" s="621">
        <v>146.88999999999999</v>
      </c>
      <c r="F66" s="490">
        <v>127.06</v>
      </c>
      <c r="G66" s="490">
        <v>129.31</v>
      </c>
      <c r="H66" s="491">
        <v>131.57</v>
      </c>
      <c r="I66" s="52">
        <v>133.83000000000001</v>
      </c>
      <c r="J66" s="52">
        <v>136.08000000000001</v>
      </c>
      <c r="K66" s="52">
        <v>138.34</v>
      </c>
      <c r="L66" s="52">
        <v>140.6</v>
      </c>
      <c r="M66" s="52">
        <v>142.85</v>
      </c>
      <c r="N66" s="52">
        <v>145.11000000000001</v>
      </c>
      <c r="O66" s="52">
        <v>137.72</v>
      </c>
      <c r="P66" s="52">
        <v>139.97</v>
      </c>
      <c r="Q66" s="52">
        <v>142.22999999999999</v>
      </c>
      <c r="R66" s="52">
        <v>144.49</v>
      </c>
      <c r="S66" s="52">
        <v>103.87</v>
      </c>
      <c r="T66" s="52">
        <v>101.61</v>
      </c>
      <c r="U66" s="52">
        <v>99.35</v>
      </c>
      <c r="V66" s="52">
        <v>97.09</v>
      </c>
      <c r="W66" s="52">
        <v>94.84</v>
      </c>
      <c r="X66" s="485">
        <v>62</v>
      </c>
      <c r="Y66" s="489">
        <v>73.14</v>
      </c>
      <c r="Z66" s="489">
        <v>74.739999999999995</v>
      </c>
      <c r="AA66" s="489">
        <v>76.33</v>
      </c>
      <c r="AB66" s="489">
        <v>77.92</v>
      </c>
      <c r="AC66" s="489">
        <v>79.52</v>
      </c>
      <c r="AD66" s="299">
        <v>81.11</v>
      </c>
      <c r="AE66" s="299">
        <v>82.7</v>
      </c>
      <c r="AF66" s="299">
        <v>84.3</v>
      </c>
      <c r="AG66" s="300">
        <v>85.89</v>
      </c>
      <c r="AH66" s="301">
        <v>87.48</v>
      </c>
      <c r="AI66" s="301">
        <v>89.08</v>
      </c>
      <c r="AJ66" s="626">
        <v>90.67</v>
      </c>
      <c r="AK66" s="490">
        <v>92.26</v>
      </c>
      <c r="AL66" s="482">
        <v>93.86</v>
      </c>
      <c r="AM66" s="491">
        <v>95.45</v>
      </c>
      <c r="AN66" s="646">
        <v>97.04</v>
      </c>
      <c r="AO66" s="52">
        <v>98.64</v>
      </c>
      <c r="AP66" s="52">
        <v>100.23</v>
      </c>
      <c r="AQ66" s="52">
        <v>101.82</v>
      </c>
      <c r="AR66" s="52">
        <v>103.42</v>
      </c>
      <c r="AS66" s="52">
        <v>105.01</v>
      </c>
      <c r="AT66" s="52">
        <v>62.04</v>
      </c>
      <c r="AU66" s="52">
        <v>60.44</v>
      </c>
    </row>
    <row r="67" spans="1:47">
      <c r="A67" s="489">
        <v>117.6</v>
      </c>
      <c r="B67" s="300">
        <v>142.33000000000001</v>
      </c>
      <c r="C67" s="301">
        <v>144.62</v>
      </c>
      <c r="D67" s="301">
        <v>146.91999999999999</v>
      </c>
      <c r="E67" s="621">
        <v>149.21</v>
      </c>
      <c r="F67" s="490">
        <v>129.07</v>
      </c>
      <c r="G67" s="490">
        <v>131.36000000000001</v>
      </c>
      <c r="H67" s="491">
        <v>133.65</v>
      </c>
      <c r="I67" s="52">
        <v>135.94999999999999</v>
      </c>
      <c r="J67" s="52">
        <v>138.24</v>
      </c>
      <c r="K67" s="52">
        <v>140.53</v>
      </c>
      <c r="L67" s="52">
        <v>142.83000000000001</v>
      </c>
      <c r="M67" s="52">
        <v>145.12</v>
      </c>
      <c r="N67" s="52">
        <v>147.41</v>
      </c>
      <c r="O67" s="52">
        <v>139.91</v>
      </c>
      <c r="P67" s="52">
        <v>142.19999999999999</v>
      </c>
      <c r="Q67" s="52">
        <v>144.5</v>
      </c>
      <c r="R67" s="52">
        <v>146.79</v>
      </c>
      <c r="S67" s="52">
        <v>105.51</v>
      </c>
      <c r="T67" s="52">
        <v>103.22</v>
      </c>
      <c r="U67" s="52">
        <v>100.92</v>
      </c>
      <c r="V67" s="52">
        <v>98.63</v>
      </c>
      <c r="W67" s="52">
        <v>96.34</v>
      </c>
      <c r="X67" s="485">
        <v>63</v>
      </c>
      <c r="Y67" s="489">
        <v>74.31</v>
      </c>
      <c r="Z67" s="489">
        <v>75.930000000000007</v>
      </c>
      <c r="AA67" s="489">
        <v>77.55</v>
      </c>
      <c r="AB67" s="489">
        <v>79.17</v>
      </c>
      <c r="AC67" s="489">
        <v>80.790000000000006</v>
      </c>
      <c r="AD67" s="299">
        <v>82.41</v>
      </c>
      <c r="AE67" s="299">
        <v>84.03</v>
      </c>
      <c r="AF67" s="299">
        <v>85.65</v>
      </c>
      <c r="AG67" s="300">
        <v>87.27</v>
      </c>
      <c r="AH67" s="301">
        <v>88.88</v>
      </c>
      <c r="AI67" s="301">
        <v>90.5</v>
      </c>
      <c r="AJ67" s="626">
        <v>92.12</v>
      </c>
      <c r="AK67" s="490">
        <v>93.74</v>
      </c>
      <c r="AL67" s="482">
        <v>95.36</v>
      </c>
      <c r="AM67" s="491">
        <v>96.98</v>
      </c>
      <c r="AN67" s="646">
        <v>98.6</v>
      </c>
      <c r="AO67" s="52">
        <v>100.22</v>
      </c>
      <c r="AP67" s="52">
        <v>101.84</v>
      </c>
      <c r="AQ67" s="52">
        <v>103.46</v>
      </c>
      <c r="AR67" s="52">
        <v>105.08</v>
      </c>
      <c r="AS67" s="52">
        <v>106.69</v>
      </c>
      <c r="AT67" s="52">
        <v>63.03</v>
      </c>
      <c r="AU67" s="52">
        <v>61.41</v>
      </c>
    </row>
    <row r="68" spans="1:47">
      <c r="A68" s="489">
        <v>119.44</v>
      </c>
      <c r="B68" s="300">
        <v>144.55000000000001</v>
      </c>
      <c r="C68" s="301">
        <v>146.88</v>
      </c>
      <c r="D68" s="301">
        <v>149.21</v>
      </c>
      <c r="E68" s="621">
        <v>151.54</v>
      </c>
      <c r="F68" s="490">
        <v>131.09</v>
      </c>
      <c r="G68" s="490">
        <v>133.41999999999999</v>
      </c>
      <c r="H68" s="491">
        <v>135.75</v>
      </c>
      <c r="I68" s="52">
        <v>138.08000000000001</v>
      </c>
      <c r="J68" s="52">
        <v>140.41</v>
      </c>
      <c r="K68" s="52">
        <v>142.74</v>
      </c>
      <c r="L68" s="52">
        <v>145.07</v>
      </c>
      <c r="M68" s="52">
        <v>147.4</v>
      </c>
      <c r="N68" s="52">
        <v>149.72999999999999</v>
      </c>
      <c r="O68" s="52">
        <v>142.11000000000001</v>
      </c>
      <c r="P68" s="52">
        <v>144.44</v>
      </c>
      <c r="Q68" s="52">
        <v>146.77000000000001</v>
      </c>
      <c r="R68" s="52">
        <v>149.1</v>
      </c>
      <c r="S68" s="52">
        <v>107.16</v>
      </c>
      <c r="T68" s="52">
        <v>104.83</v>
      </c>
      <c r="U68" s="52">
        <v>102.51</v>
      </c>
      <c r="V68" s="52">
        <v>100.18</v>
      </c>
      <c r="W68" s="52">
        <v>97.85</v>
      </c>
      <c r="X68" s="485">
        <v>64</v>
      </c>
      <c r="Y68" s="489">
        <v>75.489999999999995</v>
      </c>
      <c r="Z68" s="489">
        <v>77.13</v>
      </c>
      <c r="AA68" s="489">
        <v>78.78</v>
      </c>
      <c r="AB68" s="489">
        <v>8.42</v>
      </c>
      <c r="AC68" s="489">
        <v>82.07</v>
      </c>
      <c r="AD68" s="299">
        <v>83.71</v>
      </c>
      <c r="AE68" s="299">
        <v>85.36</v>
      </c>
      <c r="AF68" s="299">
        <v>87</v>
      </c>
      <c r="AG68" s="300">
        <v>88.65</v>
      </c>
      <c r="AH68" s="301">
        <v>90.29</v>
      </c>
      <c r="AI68" s="301">
        <v>91.94</v>
      </c>
      <c r="AJ68" s="626">
        <v>93.58</v>
      </c>
      <c r="AK68" s="490">
        <v>95.22</v>
      </c>
      <c r="AL68" s="482">
        <v>96.87</v>
      </c>
      <c r="AM68" s="491">
        <v>98.51</v>
      </c>
      <c r="AN68" s="646">
        <v>100.16</v>
      </c>
      <c r="AO68" s="52">
        <v>101.8</v>
      </c>
      <c r="AP68" s="52">
        <v>103.45</v>
      </c>
      <c r="AQ68" s="52">
        <v>105.09</v>
      </c>
      <c r="AR68" s="52">
        <v>106.74</v>
      </c>
      <c r="AS68" s="52">
        <v>108.38</v>
      </c>
      <c r="AT68" s="52">
        <v>64.03</v>
      </c>
      <c r="AU68" s="52">
        <v>62.39</v>
      </c>
    </row>
    <row r="69" spans="1:47">
      <c r="A69" s="489">
        <v>121.29</v>
      </c>
      <c r="B69" s="300">
        <v>146.79</v>
      </c>
      <c r="C69" s="301">
        <v>149.15</v>
      </c>
      <c r="D69" s="301">
        <v>151.52000000000001</v>
      </c>
      <c r="E69" s="621">
        <v>153.88999999999999</v>
      </c>
      <c r="F69" s="490">
        <v>133.12</v>
      </c>
      <c r="G69" s="490">
        <v>135.47999999999999</v>
      </c>
      <c r="H69" s="491">
        <v>137.85</v>
      </c>
      <c r="I69" s="52">
        <v>140.22</v>
      </c>
      <c r="J69" s="52">
        <v>142.58000000000001</v>
      </c>
      <c r="K69" s="52">
        <v>144.94999999999999</v>
      </c>
      <c r="L69" s="52">
        <v>147.31</v>
      </c>
      <c r="M69" s="52">
        <v>149.68</v>
      </c>
      <c r="N69" s="52">
        <v>152.05000000000001</v>
      </c>
      <c r="O69" s="52">
        <v>144.31</v>
      </c>
      <c r="P69" s="52">
        <v>146.68</v>
      </c>
      <c r="Q69" s="52">
        <v>149.05000000000001</v>
      </c>
      <c r="R69" s="52">
        <v>151.41</v>
      </c>
      <c r="S69" s="52">
        <v>108.82</v>
      </c>
      <c r="T69" s="52">
        <v>106.46</v>
      </c>
      <c r="U69" s="52">
        <v>104.09</v>
      </c>
      <c r="V69" s="52">
        <v>101.73</v>
      </c>
      <c r="W69" s="52">
        <v>99.36</v>
      </c>
      <c r="X69" s="485">
        <v>65</v>
      </c>
      <c r="Y69" s="489">
        <v>76.64</v>
      </c>
      <c r="Z69" s="489">
        <v>78.31</v>
      </c>
      <c r="AA69" s="489">
        <v>79.989999999999995</v>
      </c>
      <c r="AB69" s="489">
        <v>81.66</v>
      </c>
      <c r="AC69" s="489">
        <v>83.33</v>
      </c>
      <c r="AD69" s="299">
        <v>85</v>
      </c>
      <c r="AE69" s="299">
        <v>86.67</v>
      </c>
      <c r="AF69" s="299">
        <v>88.34</v>
      </c>
      <c r="AG69" s="300">
        <v>90.01</v>
      </c>
      <c r="AH69" s="301">
        <v>91.68</v>
      </c>
      <c r="AI69" s="301">
        <v>93.35</v>
      </c>
      <c r="AJ69" s="626">
        <v>95.02</v>
      </c>
      <c r="AK69" s="490">
        <v>96.69</v>
      </c>
      <c r="AL69" s="482">
        <v>98.36</v>
      </c>
      <c r="AM69" s="491">
        <v>100.03</v>
      </c>
      <c r="AN69" s="646">
        <v>101.7</v>
      </c>
      <c r="AO69" s="52">
        <v>103.37</v>
      </c>
      <c r="AP69" s="52">
        <v>105.04</v>
      </c>
      <c r="AQ69" s="52">
        <v>106.71</v>
      </c>
      <c r="AR69" s="52">
        <v>108.38</v>
      </c>
      <c r="AS69" s="52">
        <v>110.05</v>
      </c>
      <c r="AT69" s="52">
        <v>65.02</v>
      </c>
      <c r="AU69" s="52">
        <v>63.35</v>
      </c>
    </row>
    <row r="70" spans="1:47">
      <c r="A70" s="489">
        <v>123.15</v>
      </c>
      <c r="B70" s="300">
        <v>149.04</v>
      </c>
      <c r="C70" s="301">
        <v>151.44</v>
      </c>
      <c r="D70" s="301">
        <v>153.84</v>
      </c>
      <c r="E70" s="621">
        <v>156.24</v>
      </c>
      <c r="F70" s="490">
        <v>135.16</v>
      </c>
      <c r="G70" s="490">
        <v>137.56</v>
      </c>
      <c r="H70" s="491">
        <v>139.96</v>
      </c>
      <c r="I70" s="52">
        <v>142.37</v>
      </c>
      <c r="J70" s="52">
        <v>144.77000000000001</v>
      </c>
      <c r="K70" s="52">
        <v>147.16999999999999</v>
      </c>
      <c r="L70" s="52">
        <v>149.57</v>
      </c>
      <c r="M70" s="52">
        <v>151.97999999999999</v>
      </c>
      <c r="N70" s="52">
        <v>154.38</v>
      </c>
      <c r="O70" s="52">
        <v>146.53</v>
      </c>
      <c r="P70" s="52">
        <v>148.93</v>
      </c>
      <c r="Q70" s="52">
        <v>151.33000000000001</v>
      </c>
      <c r="R70" s="52">
        <v>153.74</v>
      </c>
      <c r="S70" s="52">
        <v>110.49</v>
      </c>
      <c r="T70" s="52">
        <v>108.09</v>
      </c>
      <c r="U70" s="52">
        <v>105.69</v>
      </c>
      <c r="V70" s="52">
        <v>103.29</v>
      </c>
      <c r="W70" s="52">
        <v>100.88</v>
      </c>
      <c r="X70" s="485">
        <v>66</v>
      </c>
      <c r="Y70" s="489">
        <v>77.83</v>
      </c>
      <c r="Z70" s="489">
        <v>79.52</v>
      </c>
      <c r="AA70" s="489">
        <v>81.22</v>
      </c>
      <c r="AB70" s="489">
        <v>82.91</v>
      </c>
      <c r="AC70" s="489">
        <v>84.61</v>
      </c>
      <c r="AD70" s="299">
        <v>86.31</v>
      </c>
      <c r="AE70" s="299">
        <v>88</v>
      </c>
      <c r="AF70" s="299">
        <v>89.7</v>
      </c>
      <c r="AG70" s="300">
        <v>91.4</v>
      </c>
      <c r="AH70" s="301">
        <v>93.09</v>
      </c>
      <c r="AI70" s="301">
        <v>94.79</v>
      </c>
      <c r="AJ70" s="626">
        <v>96.48</v>
      </c>
      <c r="AK70" s="490">
        <v>98.18</v>
      </c>
      <c r="AL70" s="482">
        <v>99.88</v>
      </c>
      <c r="AM70" s="491">
        <v>101.57</v>
      </c>
      <c r="AN70" s="646">
        <v>103.27</v>
      </c>
      <c r="AO70" s="52">
        <v>104.96</v>
      </c>
      <c r="AP70" s="52">
        <v>106.66</v>
      </c>
      <c r="AQ70" s="52">
        <v>108.36</v>
      </c>
      <c r="AR70" s="52">
        <v>110.05</v>
      </c>
      <c r="AS70" s="52">
        <v>111.75</v>
      </c>
      <c r="AT70" s="52">
        <v>66.02</v>
      </c>
      <c r="AU70" s="52">
        <v>64.319999999999993</v>
      </c>
    </row>
    <row r="71" spans="1:47">
      <c r="A71" s="489">
        <v>125.02</v>
      </c>
      <c r="B71" s="300">
        <v>151.30000000000001</v>
      </c>
      <c r="C71" s="301">
        <v>153.74</v>
      </c>
      <c r="D71" s="301">
        <v>156.18</v>
      </c>
      <c r="E71" s="621">
        <v>158.61000000000001</v>
      </c>
      <c r="F71" s="490">
        <v>137.21</v>
      </c>
      <c r="G71" s="490">
        <v>139.65</v>
      </c>
      <c r="H71" s="491">
        <v>142.09</v>
      </c>
      <c r="I71" s="52">
        <v>144.53</v>
      </c>
      <c r="J71" s="52">
        <v>146.96</v>
      </c>
      <c r="K71" s="52">
        <v>149.4</v>
      </c>
      <c r="L71" s="52">
        <v>151.84</v>
      </c>
      <c r="M71" s="52">
        <v>154.28</v>
      </c>
      <c r="N71" s="52">
        <v>156.72</v>
      </c>
      <c r="O71" s="52">
        <v>148.75</v>
      </c>
      <c r="P71" s="52">
        <v>151.19</v>
      </c>
      <c r="Q71" s="52">
        <v>153.63</v>
      </c>
      <c r="R71" s="52">
        <v>156.07</v>
      </c>
      <c r="S71" s="52">
        <v>112.17</v>
      </c>
      <c r="T71" s="52">
        <v>109.73</v>
      </c>
      <c r="U71" s="52">
        <v>107.29</v>
      </c>
      <c r="V71" s="52">
        <v>104.85</v>
      </c>
      <c r="W71" s="52">
        <v>102.41</v>
      </c>
      <c r="X71" s="485">
        <v>67</v>
      </c>
      <c r="Y71" s="489">
        <v>78.989999999999995</v>
      </c>
      <c r="Z71" s="489">
        <v>80.709999999999994</v>
      </c>
      <c r="AA71" s="489">
        <v>82.43</v>
      </c>
      <c r="AB71" s="489">
        <v>84.15</v>
      </c>
      <c r="AC71" s="489">
        <v>85.88</v>
      </c>
      <c r="AD71" s="299">
        <v>87.6</v>
      </c>
      <c r="AE71" s="299">
        <v>89.32</v>
      </c>
      <c r="AF71" s="299">
        <v>91.04</v>
      </c>
      <c r="AG71" s="300">
        <v>92.76</v>
      </c>
      <c r="AH71" s="301">
        <v>94.49</v>
      </c>
      <c r="AI71" s="301">
        <v>96.21</v>
      </c>
      <c r="AJ71" s="626">
        <v>97.93</v>
      </c>
      <c r="AK71" s="490">
        <v>99.65</v>
      </c>
      <c r="AL71" s="482">
        <v>101.37</v>
      </c>
      <c r="AM71" s="491">
        <v>103.01</v>
      </c>
      <c r="AN71" s="646">
        <v>104.82</v>
      </c>
      <c r="AO71" s="52">
        <v>106.54</v>
      </c>
      <c r="AP71" s="52">
        <v>108.26</v>
      </c>
      <c r="AQ71" s="52">
        <v>109.98</v>
      </c>
      <c r="AR71" s="52">
        <v>111.7</v>
      </c>
      <c r="AS71" s="52">
        <v>113.43</v>
      </c>
      <c r="AT71" s="52">
        <v>67.010000000000005</v>
      </c>
      <c r="AU71" s="52">
        <v>35.29</v>
      </c>
    </row>
    <row r="72" spans="1:47">
      <c r="A72" s="489">
        <v>126.83</v>
      </c>
      <c r="B72" s="300">
        <v>153.49</v>
      </c>
      <c r="C72" s="301">
        <v>155.97</v>
      </c>
      <c r="D72" s="301">
        <v>158.44</v>
      </c>
      <c r="E72" s="621">
        <v>160.91999999999999</v>
      </c>
      <c r="F72" s="490">
        <v>139.21</v>
      </c>
      <c r="G72" s="490">
        <v>141.69</v>
      </c>
      <c r="H72" s="491">
        <v>144.16</v>
      </c>
      <c r="I72" s="52">
        <v>146.63999999999999</v>
      </c>
      <c r="J72" s="52">
        <v>149.11000000000001</v>
      </c>
      <c r="K72" s="52">
        <v>151.59</v>
      </c>
      <c r="L72" s="52">
        <v>154.06</v>
      </c>
      <c r="M72" s="52">
        <v>156.54</v>
      </c>
      <c r="N72" s="52">
        <v>159.01</v>
      </c>
      <c r="O72" s="52">
        <v>150.93</v>
      </c>
      <c r="P72" s="52">
        <v>153.41</v>
      </c>
      <c r="Q72" s="52">
        <v>155.88999999999999</v>
      </c>
      <c r="R72" s="52">
        <v>158.36000000000001</v>
      </c>
      <c r="S72" s="52">
        <v>113.81</v>
      </c>
      <c r="T72" s="52">
        <v>111.33</v>
      </c>
      <c r="U72" s="52">
        <v>108.86</v>
      </c>
      <c r="V72" s="52">
        <v>106.38</v>
      </c>
      <c r="W72" s="52">
        <v>103.91</v>
      </c>
      <c r="X72" s="485">
        <v>68</v>
      </c>
      <c r="Y72" s="489">
        <v>80.16</v>
      </c>
      <c r="Z72" s="489">
        <v>81.900000000000006</v>
      </c>
      <c r="AA72" s="489">
        <v>83.65</v>
      </c>
      <c r="AB72" s="489">
        <v>85.4</v>
      </c>
      <c r="AC72" s="489">
        <v>87.15</v>
      </c>
      <c r="AD72" s="299">
        <v>88.89</v>
      </c>
      <c r="AE72" s="299">
        <v>90.64</v>
      </c>
      <c r="AF72" s="299">
        <v>92.39</v>
      </c>
      <c r="AG72" s="300">
        <v>94.14</v>
      </c>
      <c r="AH72" s="301">
        <v>95.88</v>
      </c>
      <c r="AI72" s="301">
        <v>97.63</v>
      </c>
      <c r="AJ72" s="626">
        <v>99.38</v>
      </c>
      <c r="AK72" s="490">
        <v>101.13</v>
      </c>
      <c r="AL72" s="482">
        <v>102.87</v>
      </c>
      <c r="AM72" s="491">
        <v>104.62</v>
      </c>
      <c r="AN72" s="646">
        <v>106.37</v>
      </c>
      <c r="AO72" s="52">
        <v>108.12</v>
      </c>
      <c r="AP72" s="52">
        <v>109.86</v>
      </c>
      <c r="AQ72" s="52">
        <v>111.61</v>
      </c>
      <c r="AR72" s="52">
        <v>113.36</v>
      </c>
      <c r="AS72" s="52">
        <v>115.11</v>
      </c>
      <c r="AT72" s="52">
        <v>68</v>
      </c>
      <c r="AU72" s="52">
        <v>66.25</v>
      </c>
    </row>
    <row r="73" spans="1:47">
      <c r="A73" s="489">
        <v>128.72</v>
      </c>
      <c r="B73" s="300">
        <v>155.78</v>
      </c>
      <c r="C73" s="301">
        <v>158.29</v>
      </c>
      <c r="D73" s="301">
        <v>160.81</v>
      </c>
      <c r="E73" s="621">
        <v>163.32</v>
      </c>
      <c r="F73" s="490">
        <v>141.28</v>
      </c>
      <c r="G73" s="490">
        <v>143.79</v>
      </c>
      <c r="H73" s="491">
        <v>146.30000000000001</v>
      </c>
      <c r="I73" s="52">
        <v>148.82</v>
      </c>
      <c r="J73" s="52">
        <v>151.33000000000001</v>
      </c>
      <c r="K73" s="52">
        <v>153.84</v>
      </c>
      <c r="L73" s="52">
        <v>156.35</v>
      </c>
      <c r="M73" s="52">
        <v>158.86000000000001</v>
      </c>
      <c r="N73" s="52">
        <v>161.37</v>
      </c>
      <c r="O73" s="52">
        <v>153.16999999999999</v>
      </c>
      <c r="P73" s="52">
        <v>155.68</v>
      </c>
      <c r="Q73" s="52">
        <v>158.19999999999999</v>
      </c>
      <c r="R73" s="52">
        <v>160.71</v>
      </c>
      <c r="S73" s="52">
        <v>115.5</v>
      </c>
      <c r="T73" s="52">
        <v>112.99</v>
      </c>
      <c r="U73" s="52">
        <v>110.48</v>
      </c>
      <c r="V73" s="52">
        <v>107.96</v>
      </c>
      <c r="W73" s="52">
        <v>105.45</v>
      </c>
      <c r="X73" s="485">
        <v>69</v>
      </c>
      <c r="Y73" s="489">
        <v>81.319999999999993</v>
      </c>
      <c r="Z73" s="489">
        <v>83.1</v>
      </c>
      <c r="AA73" s="489">
        <v>84.87</v>
      </c>
      <c r="AB73" s="489">
        <v>86.64</v>
      </c>
      <c r="AC73" s="489">
        <v>88.42</v>
      </c>
      <c r="AD73" s="299">
        <v>90.19</v>
      </c>
      <c r="AE73" s="299">
        <v>91.96</v>
      </c>
      <c r="AF73" s="299">
        <v>93.74</v>
      </c>
      <c r="AG73" s="300">
        <v>95.51</v>
      </c>
      <c r="AH73" s="301">
        <v>97.28</v>
      </c>
      <c r="AI73" s="301">
        <v>99.06</v>
      </c>
      <c r="AJ73" s="626">
        <v>100.83</v>
      </c>
      <c r="AK73" s="490">
        <v>102.6</v>
      </c>
      <c r="AL73" s="482">
        <v>104.38</v>
      </c>
      <c r="AM73" s="491">
        <v>106.15</v>
      </c>
      <c r="AN73" s="646">
        <v>107.92</v>
      </c>
      <c r="AO73" s="52">
        <v>109.7</v>
      </c>
      <c r="AP73" s="52">
        <v>111.47</v>
      </c>
      <c r="AQ73" s="52">
        <v>113.24</v>
      </c>
      <c r="AR73" s="52">
        <v>115.02</v>
      </c>
      <c r="AS73" s="52">
        <v>116.79</v>
      </c>
      <c r="AT73" s="52">
        <v>69</v>
      </c>
      <c r="AU73" s="52">
        <v>67.22</v>
      </c>
    </row>
    <row r="74" spans="1:47">
      <c r="A74" s="489">
        <v>130.56</v>
      </c>
      <c r="B74" s="300">
        <v>158</v>
      </c>
      <c r="C74" s="301">
        <v>160.55000000000001</v>
      </c>
      <c r="D74" s="301">
        <v>163.1</v>
      </c>
      <c r="E74" s="621">
        <v>165.64</v>
      </c>
      <c r="F74" s="490">
        <v>143.30000000000001</v>
      </c>
      <c r="G74" s="490">
        <v>145.85</v>
      </c>
      <c r="H74" s="491">
        <v>148.38999999999999</v>
      </c>
      <c r="I74" s="52">
        <v>150.94</v>
      </c>
      <c r="J74" s="52">
        <v>153.49</v>
      </c>
      <c r="K74" s="52">
        <v>156.04</v>
      </c>
      <c r="L74" s="52">
        <v>158.59</v>
      </c>
      <c r="M74" s="52">
        <v>161.13</v>
      </c>
      <c r="N74" s="52">
        <v>163.68</v>
      </c>
      <c r="O74" s="52">
        <v>155.37</v>
      </c>
      <c r="P74" s="52">
        <v>157.91999999999999</v>
      </c>
      <c r="Q74" s="52">
        <v>160.47</v>
      </c>
      <c r="R74" s="52">
        <v>163.01</v>
      </c>
      <c r="S74" s="52">
        <v>117.15</v>
      </c>
      <c r="T74" s="52">
        <v>114.6</v>
      </c>
      <c r="U74" s="52">
        <v>112.05</v>
      </c>
      <c r="V74" s="52">
        <v>109.51</v>
      </c>
      <c r="W74" s="52">
        <v>106.96</v>
      </c>
      <c r="X74" s="485">
        <v>70</v>
      </c>
      <c r="Y74" s="489">
        <v>82.5</v>
      </c>
      <c r="Z74" s="489">
        <v>84.3</v>
      </c>
      <c r="AA74" s="489">
        <v>86.09</v>
      </c>
      <c r="AB74" s="489">
        <v>87.89</v>
      </c>
      <c r="AC74" s="489">
        <v>89.69</v>
      </c>
      <c r="AD74" s="299">
        <v>91.49</v>
      </c>
      <c r="AE74" s="299">
        <v>93.29</v>
      </c>
      <c r="AF74" s="299">
        <v>95.09</v>
      </c>
      <c r="AG74" s="300">
        <v>96.89</v>
      </c>
      <c r="AH74" s="301">
        <v>98.69</v>
      </c>
      <c r="AI74" s="301">
        <v>100.49</v>
      </c>
      <c r="AJ74" s="626">
        <v>102.29</v>
      </c>
      <c r="AK74" s="490">
        <v>104.08</v>
      </c>
      <c r="AL74" s="482">
        <v>105.88</v>
      </c>
      <c r="AM74" s="491">
        <v>107.68</v>
      </c>
      <c r="AN74" s="646">
        <v>109.48</v>
      </c>
      <c r="AO74" s="52">
        <v>111.28</v>
      </c>
      <c r="AP74" s="52">
        <v>113.08</v>
      </c>
      <c r="AQ74" s="52">
        <v>114.88</v>
      </c>
      <c r="AR74" s="52">
        <v>116.68</v>
      </c>
      <c r="AS74" s="52">
        <v>118.48</v>
      </c>
      <c r="AT74" s="52">
        <v>69.989999999999995</v>
      </c>
      <c r="AU74" s="52">
        <v>68.19</v>
      </c>
    </row>
    <row r="75" spans="1:47">
      <c r="A75" s="489">
        <v>132.4</v>
      </c>
      <c r="B75" s="300">
        <v>160.22999999999999</v>
      </c>
      <c r="C75" s="301">
        <v>162.82</v>
      </c>
      <c r="D75" s="301">
        <v>165.4</v>
      </c>
      <c r="E75" s="621">
        <v>167.98</v>
      </c>
      <c r="F75" s="490">
        <v>145.33000000000001</v>
      </c>
      <c r="G75" s="490">
        <v>147.91</v>
      </c>
      <c r="H75" s="491">
        <v>150.49</v>
      </c>
      <c r="I75" s="52">
        <v>153.08000000000001</v>
      </c>
      <c r="J75" s="52">
        <v>155.66</v>
      </c>
      <c r="K75" s="52">
        <v>158.25</v>
      </c>
      <c r="L75" s="52">
        <v>160.83000000000001</v>
      </c>
      <c r="M75" s="52">
        <v>163.41999999999999</v>
      </c>
      <c r="N75" s="52">
        <v>166</v>
      </c>
      <c r="O75" s="52">
        <v>157.57</v>
      </c>
      <c r="P75" s="52">
        <v>160.16</v>
      </c>
      <c r="Q75" s="52">
        <v>162.74</v>
      </c>
      <c r="R75" s="52">
        <v>165.33</v>
      </c>
      <c r="S75" s="52">
        <v>118.81</v>
      </c>
      <c r="T75" s="52">
        <v>116.22</v>
      </c>
      <c r="U75" s="52">
        <v>113.64</v>
      </c>
      <c r="V75" s="52">
        <v>111.05</v>
      </c>
      <c r="W75" s="52">
        <v>108.47</v>
      </c>
      <c r="X75" s="485">
        <v>71</v>
      </c>
      <c r="Y75" s="489">
        <v>83.67</v>
      </c>
      <c r="Z75" s="489">
        <v>85.5</v>
      </c>
      <c r="AA75" s="489">
        <v>87.32</v>
      </c>
      <c r="AB75" s="489">
        <v>89.15</v>
      </c>
      <c r="AC75" s="489">
        <v>90.97</v>
      </c>
      <c r="AD75" s="299">
        <v>92.8</v>
      </c>
      <c r="AE75" s="299">
        <v>94.62</v>
      </c>
      <c r="AF75" s="299">
        <v>96.44</v>
      </c>
      <c r="AG75" s="300">
        <v>98.27</v>
      </c>
      <c r="AH75" s="301">
        <v>100.09</v>
      </c>
      <c r="AI75" s="301">
        <v>101.92</v>
      </c>
      <c r="AJ75" s="626">
        <v>103.74</v>
      </c>
      <c r="AK75" s="490">
        <v>105.57</v>
      </c>
      <c r="AL75" s="482">
        <v>107.39</v>
      </c>
      <c r="AM75" s="491">
        <v>109.22</v>
      </c>
      <c r="AN75" s="646">
        <v>111.04</v>
      </c>
      <c r="AO75" s="52">
        <v>112.87</v>
      </c>
      <c r="AP75" s="52">
        <v>114.69</v>
      </c>
      <c r="AQ75" s="52">
        <v>116.52</v>
      </c>
      <c r="AR75" s="52">
        <v>118.34</v>
      </c>
      <c r="AS75" s="52">
        <v>120.17</v>
      </c>
      <c r="AT75" s="52">
        <v>70.989999999999995</v>
      </c>
      <c r="AU75" s="52">
        <v>69.16</v>
      </c>
    </row>
    <row r="76" spans="1:47">
      <c r="A76" s="489">
        <v>134.26</v>
      </c>
      <c r="B76" s="300">
        <v>162.47</v>
      </c>
      <c r="C76" s="301">
        <v>165.09</v>
      </c>
      <c r="D76" s="301">
        <v>167.71</v>
      </c>
      <c r="E76" s="621">
        <v>170.33</v>
      </c>
      <c r="F76" s="490">
        <v>147.36000000000001</v>
      </c>
      <c r="G76" s="490">
        <v>149.97999999999999</v>
      </c>
      <c r="H76" s="491">
        <v>152.6</v>
      </c>
      <c r="I76" s="52">
        <v>155.22</v>
      </c>
      <c r="J76" s="52">
        <v>157.84</v>
      </c>
      <c r="K76" s="52">
        <v>160.47</v>
      </c>
      <c r="L76" s="52">
        <v>163.09</v>
      </c>
      <c r="M76" s="52">
        <v>165.71</v>
      </c>
      <c r="N76" s="52">
        <v>168.33</v>
      </c>
      <c r="O76" s="52">
        <v>159.78</v>
      </c>
      <c r="P76" s="52">
        <v>162.4</v>
      </c>
      <c r="Q76" s="52">
        <v>165.03</v>
      </c>
      <c r="R76" s="52">
        <v>167.65</v>
      </c>
      <c r="S76" s="52">
        <v>120.47</v>
      </c>
      <c r="T76" s="52">
        <v>117.85</v>
      </c>
      <c r="U76" s="52">
        <v>115.23</v>
      </c>
      <c r="V76" s="52">
        <v>112.61</v>
      </c>
      <c r="W76" s="52">
        <v>109.99</v>
      </c>
      <c r="X76" s="485">
        <v>72</v>
      </c>
      <c r="Y76" s="489">
        <v>84.85</v>
      </c>
      <c r="Z76" s="489">
        <v>86.7</v>
      </c>
      <c r="AA76" s="489">
        <v>88.55</v>
      </c>
      <c r="AB76" s="489">
        <v>90.4</v>
      </c>
      <c r="AC76" s="489">
        <v>92.25</v>
      </c>
      <c r="AD76" s="299">
        <v>94.1</v>
      </c>
      <c r="AE76" s="299">
        <v>95.95</v>
      </c>
      <c r="AF76" s="299">
        <v>97.8</v>
      </c>
      <c r="AG76" s="300">
        <v>99.65</v>
      </c>
      <c r="AH76" s="301">
        <v>101.5</v>
      </c>
      <c r="AI76" s="301">
        <v>103.35</v>
      </c>
      <c r="AJ76" s="626">
        <v>105.21</v>
      </c>
      <c r="AK76" s="490">
        <v>107.06</v>
      </c>
      <c r="AL76" s="482">
        <v>108.91</v>
      </c>
      <c r="AM76" s="491">
        <v>110.76</v>
      </c>
      <c r="AN76" s="646">
        <v>112.61</v>
      </c>
      <c r="AO76" s="52">
        <v>114.46</v>
      </c>
      <c r="AP76" s="52">
        <v>116.31</v>
      </c>
      <c r="AQ76" s="52">
        <v>118.16</v>
      </c>
      <c r="AR76" s="52">
        <v>120.01</v>
      </c>
      <c r="AS76" s="52">
        <v>121.86</v>
      </c>
      <c r="AT76" s="52">
        <v>71.989999999999995</v>
      </c>
      <c r="AU76" s="52">
        <v>70.14</v>
      </c>
    </row>
    <row r="77" spans="1:47">
      <c r="A77" s="489">
        <v>136.12</v>
      </c>
      <c r="B77" s="300">
        <v>164.73</v>
      </c>
      <c r="C77" s="301">
        <v>167.38</v>
      </c>
      <c r="D77" s="301">
        <v>170.04</v>
      </c>
      <c r="E77" s="621">
        <v>172.7</v>
      </c>
      <c r="F77" s="490">
        <v>149.41</v>
      </c>
      <c r="G77" s="490">
        <v>12.06</v>
      </c>
      <c r="H77" s="491">
        <v>154.72</v>
      </c>
      <c r="I77" s="52">
        <v>157.38</v>
      </c>
      <c r="J77" s="52">
        <v>160.03</v>
      </c>
      <c r="K77" s="52">
        <v>162.69</v>
      </c>
      <c r="L77" s="52">
        <v>165.35</v>
      </c>
      <c r="M77" s="52">
        <v>168.01</v>
      </c>
      <c r="N77" s="52">
        <v>170.66</v>
      </c>
      <c r="O77" s="52">
        <v>162</v>
      </c>
      <c r="P77" s="52">
        <v>164.66</v>
      </c>
      <c r="Q77" s="52">
        <v>167.32</v>
      </c>
      <c r="R77" s="52">
        <v>169.97</v>
      </c>
      <c r="S77" s="52">
        <v>122.14</v>
      </c>
      <c r="T77" s="52">
        <v>119.49</v>
      </c>
      <c r="U77" s="52">
        <v>116.83</v>
      </c>
      <c r="V77" s="52">
        <v>114.17</v>
      </c>
      <c r="W77" s="52">
        <v>111.52</v>
      </c>
      <c r="X77" s="485">
        <v>73</v>
      </c>
      <c r="Y77" s="489">
        <v>86.01</v>
      </c>
      <c r="Z77" s="489">
        <v>87.88</v>
      </c>
      <c r="AA77" s="489">
        <v>89.76</v>
      </c>
      <c r="AB77" s="489">
        <v>91.64</v>
      </c>
      <c r="AC77" s="489">
        <v>93.51</v>
      </c>
      <c r="AD77" s="299">
        <v>95.39</v>
      </c>
      <c r="AE77" s="299">
        <v>97.26</v>
      </c>
      <c r="AF77" s="299">
        <v>99.14</v>
      </c>
      <c r="AG77" s="300">
        <v>101.02</v>
      </c>
      <c r="AH77" s="301">
        <v>102.89</v>
      </c>
      <c r="AI77" s="301">
        <v>104.77</v>
      </c>
      <c r="AJ77" s="626">
        <v>106.64</v>
      </c>
      <c r="AK77" s="490">
        <v>108.52</v>
      </c>
      <c r="AL77" s="482">
        <v>110.4</v>
      </c>
      <c r="AM77" s="491">
        <v>112.27</v>
      </c>
      <c r="AN77" s="646">
        <v>114.15</v>
      </c>
      <c r="AO77" s="52">
        <v>116.03</v>
      </c>
      <c r="AP77" s="52">
        <v>117.9</v>
      </c>
      <c r="AQ77" s="52">
        <v>119.78</v>
      </c>
      <c r="AR77" s="52">
        <v>121.65</v>
      </c>
      <c r="AS77" s="52">
        <v>123.53</v>
      </c>
      <c r="AT77" s="52">
        <v>72.98</v>
      </c>
      <c r="AU77" s="52">
        <v>71.099999999999994</v>
      </c>
    </row>
    <row r="78" spans="1:47">
      <c r="A78" s="489">
        <v>137.99</v>
      </c>
      <c r="B78" s="300">
        <v>166.99</v>
      </c>
      <c r="C78" s="301">
        <v>169.69</v>
      </c>
      <c r="D78" s="301">
        <v>172.38</v>
      </c>
      <c r="E78" s="621">
        <v>175.07</v>
      </c>
      <c r="F78" s="490">
        <v>151.46</v>
      </c>
      <c r="G78" s="490">
        <v>154.15</v>
      </c>
      <c r="H78" s="491">
        <v>156.85</v>
      </c>
      <c r="I78" s="52">
        <v>159.54</v>
      </c>
      <c r="J78" s="52">
        <v>162.22999999999999</v>
      </c>
      <c r="K78" s="52">
        <v>164.93</v>
      </c>
      <c r="L78" s="52">
        <v>167.62</v>
      </c>
      <c r="M78" s="52">
        <v>170.32</v>
      </c>
      <c r="N78" s="52">
        <v>173.01</v>
      </c>
      <c r="O78" s="52">
        <v>164.23</v>
      </c>
      <c r="P78" s="52">
        <v>166.92</v>
      </c>
      <c r="Q78" s="52">
        <v>169.61</v>
      </c>
      <c r="R78" s="52">
        <v>172.31</v>
      </c>
      <c r="S78" s="52">
        <v>123.82</v>
      </c>
      <c r="T78" s="52">
        <v>121.13</v>
      </c>
      <c r="U78" s="52">
        <v>118.44</v>
      </c>
      <c r="V78" s="52">
        <v>115.74</v>
      </c>
      <c r="W78" s="52">
        <v>113.05</v>
      </c>
      <c r="X78" s="485">
        <v>74</v>
      </c>
      <c r="Y78" s="489">
        <v>87.19</v>
      </c>
      <c r="Z78" s="489">
        <v>89.09</v>
      </c>
      <c r="AA78" s="489">
        <v>91</v>
      </c>
      <c r="AB78" s="489">
        <v>92.9</v>
      </c>
      <c r="AC78" s="489">
        <v>94.8</v>
      </c>
      <c r="AD78" s="299">
        <v>96.7</v>
      </c>
      <c r="AE78" s="299">
        <v>98.6</v>
      </c>
      <c r="AF78" s="299">
        <v>100.51</v>
      </c>
      <c r="AG78" s="300">
        <v>102.41</v>
      </c>
      <c r="AH78" s="301">
        <v>104.31</v>
      </c>
      <c r="AI78" s="301">
        <v>106.21</v>
      </c>
      <c r="AJ78" s="626">
        <v>108.11</v>
      </c>
      <c r="AK78" s="490">
        <v>110.01</v>
      </c>
      <c r="AL78" s="482">
        <v>111.92</v>
      </c>
      <c r="AM78" s="491">
        <v>113.82</v>
      </c>
      <c r="AN78" s="646">
        <v>115.72</v>
      </c>
      <c r="AO78" s="52">
        <v>117.62</v>
      </c>
      <c r="AP78" s="52">
        <v>119.52</v>
      </c>
      <c r="AQ78" s="52">
        <v>121.43</v>
      </c>
      <c r="AR78" s="52">
        <v>123.33</v>
      </c>
      <c r="AS78" s="52">
        <v>125.23</v>
      </c>
      <c r="AT78" s="52">
        <v>73.98</v>
      </c>
      <c r="AU78" s="52">
        <v>72.08</v>
      </c>
    </row>
    <row r="79" spans="1:47">
      <c r="A79" s="489">
        <v>139.80000000000001</v>
      </c>
      <c r="B79" s="300">
        <v>169.18</v>
      </c>
      <c r="C79" s="301">
        <v>171.91</v>
      </c>
      <c r="D79" s="301">
        <v>174.64</v>
      </c>
      <c r="E79" s="621">
        <v>177.37</v>
      </c>
      <c r="F79" s="490">
        <v>153.44999999999999</v>
      </c>
      <c r="G79" s="490">
        <v>156.18</v>
      </c>
      <c r="H79" s="491">
        <v>158.91</v>
      </c>
      <c r="I79" s="52">
        <v>161.63999999999999</v>
      </c>
      <c r="J79" s="52">
        <v>164.37</v>
      </c>
      <c r="K79" s="52">
        <v>167.1</v>
      </c>
      <c r="L79" s="52">
        <v>169.83</v>
      </c>
      <c r="M79" s="52">
        <v>172.56</v>
      </c>
      <c r="N79" s="52">
        <v>175.29</v>
      </c>
      <c r="O79" s="52">
        <v>166.4</v>
      </c>
      <c r="P79" s="52">
        <v>169.13</v>
      </c>
      <c r="Q79" s="52">
        <v>171.86</v>
      </c>
      <c r="R79" s="52">
        <v>174.59</v>
      </c>
      <c r="S79" s="52">
        <v>125.45</v>
      </c>
      <c r="T79" s="52">
        <v>122.72</v>
      </c>
      <c r="U79" s="52">
        <v>119.99</v>
      </c>
      <c r="V79" s="52">
        <v>117.26</v>
      </c>
      <c r="W79" s="52">
        <v>114.53</v>
      </c>
      <c r="X79" s="485">
        <v>75</v>
      </c>
      <c r="Y79" s="489">
        <v>88.35</v>
      </c>
      <c r="Z79" s="489">
        <v>90.8</v>
      </c>
      <c r="AA79" s="489">
        <v>92.21</v>
      </c>
      <c r="AB79" s="489">
        <v>94.14</v>
      </c>
      <c r="AC79" s="489">
        <v>96.06</v>
      </c>
      <c r="AD79" s="299">
        <v>97.99</v>
      </c>
      <c r="AE79" s="299">
        <v>99.92</v>
      </c>
      <c r="AF79" s="299">
        <v>101.85</v>
      </c>
      <c r="AG79" s="300">
        <v>103.77</v>
      </c>
      <c r="AH79" s="301">
        <v>105.7</v>
      </c>
      <c r="AI79" s="301">
        <v>107.63</v>
      </c>
      <c r="AJ79" s="626">
        <v>109.56</v>
      </c>
      <c r="AK79" s="490">
        <v>111.48</v>
      </c>
      <c r="AL79" s="482">
        <v>113.41</v>
      </c>
      <c r="AM79" s="491">
        <v>115.34</v>
      </c>
      <c r="AN79" s="646">
        <v>117.27</v>
      </c>
      <c r="AO79" s="52">
        <v>119.19</v>
      </c>
      <c r="AP79" s="52">
        <v>121.12</v>
      </c>
      <c r="AQ79" s="52">
        <v>123.05</v>
      </c>
      <c r="AR79" s="52">
        <v>124.98</v>
      </c>
      <c r="AS79" s="52">
        <v>126.9</v>
      </c>
      <c r="AT79" s="52">
        <v>74.97</v>
      </c>
      <c r="AU79" s="52">
        <v>73.040000000000006</v>
      </c>
    </row>
    <row r="80" spans="1:47">
      <c r="A80" s="489">
        <v>141.69</v>
      </c>
      <c r="B80" s="300">
        <v>171.47</v>
      </c>
      <c r="C80" s="301">
        <v>174.23</v>
      </c>
      <c r="D80" s="301">
        <v>177</v>
      </c>
      <c r="E80" s="621">
        <v>179.77</v>
      </c>
      <c r="F80" s="490">
        <v>155.52000000000001</v>
      </c>
      <c r="G80" s="490">
        <v>158.29</v>
      </c>
      <c r="H80" s="491">
        <v>161.06</v>
      </c>
      <c r="I80" s="52">
        <v>163.82</v>
      </c>
      <c r="J80" s="52">
        <v>166.59</v>
      </c>
      <c r="K80" s="52">
        <v>169.36</v>
      </c>
      <c r="L80" s="52">
        <v>172.12</v>
      </c>
      <c r="M80" s="52">
        <v>174.89</v>
      </c>
      <c r="N80" s="52">
        <v>177.66</v>
      </c>
      <c r="O80" s="52">
        <v>168.64</v>
      </c>
      <c r="P80" s="52">
        <v>171.41</v>
      </c>
      <c r="Q80" s="52">
        <v>174.18</v>
      </c>
      <c r="R80" s="52">
        <v>176.94</v>
      </c>
      <c r="S80" s="52">
        <v>127.15</v>
      </c>
      <c r="T80" s="52">
        <v>124.38</v>
      </c>
      <c r="U80" s="52">
        <v>121.61</v>
      </c>
      <c r="V80" s="52">
        <v>118.85</v>
      </c>
      <c r="W80" s="52">
        <v>116.08</v>
      </c>
      <c r="X80" s="485">
        <v>76</v>
      </c>
      <c r="Y80" s="489">
        <v>89.52</v>
      </c>
      <c r="Z80" s="489">
        <v>91.47</v>
      </c>
      <c r="AA80" s="489">
        <v>93.43</v>
      </c>
      <c r="AB80" s="489">
        <v>95.38</v>
      </c>
      <c r="AC80" s="489">
        <v>97.33</v>
      </c>
      <c r="AD80" s="299">
        <v>99.29</v>
      </c>
      <c r="AE80" s="299">
        <v>101.24</v>
      </c>
      <c r="AF80" s="299">
        <v>103.19</v>
      </c>
      <c r="AG80" s="300">
        <v>105.15</v>
      </c>
      <c r="AH80" s="301">
        <v>107.1</v>
      </c>
      <c r="AI80" s="301">
        <v>109.05</v>
      </c>
      <c r="AJ80" s="626">
        <v>111</v>
      </c>
      <c r="AK80" s="490">
        <v>112.96</v>
      </c>
      <c r="AL80" s="482">
        <v>114.91</v>
      </c>
      <c r="AM80" s="491">
        <v>116.86</v>
      </c>
      <c r="AN80" s="646">
        <v>118.82</v>
      </c>
      <c r="AO80" s="52">
        <v>120.77</v>
      </c>
      <c r="AP80" s="52">
        <v>122.72</v>
      </c>
      <c r="AQ80" s="52">
        <v>124.68</v>
      </c>
      <c r="AR80" s="52">
        <v>126.63</v>
      </c>
      <c r="AS80" s="52">
        <v>128.58000000000001</v>
      </c>
      <c r="AT80" s="52">
        <v>75.959999999999994</v>
      </c>
      <c r="AU80" s="52">
        <v>74.010000000000005</v>
      </c>
    </row>
    <row r="81" spans="1:47">
      <c r="A81" s="489">
        <v>143.52000000000001</v>
      </c>
      <c r="B81" s="300">
        <v>173.67</v>
      </c>
      <c r="C81" s="301">
        <v>176.47</v>
      </c>
      <c r="D81" s="301">
        <v>179.28</v>
      </c>
      <c r="E81" s="621">
        <v>182.08</v>
      </c>
      <c r="F81" s="490">
        <v>157.53</v>
      </c>
      <c r="G81" s="490">
        <v>160.33000000000001</v>
      </c>
      <c r="H81" s="491">
        <v>163.13999999999999</v>
      </c>
      <c r="I81" s="52">
        <v>165.94</v>
      </c>
      <c r="J81" s="52">
        <v>168.74</v>
      </c>
      <c r="K81" s="52">
        <v>171.54</v>
      </c>
      <c r="L81" s="52">
        <v>174.35</v>
      </c>
      <c r="M81" s="52">
        <v>177.15</v>
      </c>
      <c r="N81" s="52">
        <v>179.95</v>
      </c>
      <c r="O81" s="52">
        <v>170.83</v>
      </c>
      <c r="P81" s="52">
        <v>173.63</v>
      </c>
      <c r="Q81" s="52">
        <v>176.44</v>
      </c>
      <c r="R81" s="52">
        <v>179.24</v>
      </c>
      <c r="S81" s="52">
        <v>128.79</v>
      </c>
      <c r="T81" s="52">
        <v>125.99</v>
      </c>
      <c r="U81" s="52">
        <v>123.18</v>
      </c>
      <c r="V81" s="52">
        <v>120.38</v>
      </c>
      <c r="W81" s="52">
        <v>117.58</v>
      </c>
      <c r="X81" s="485">
        <v>77</v>
      </c>
      <c r="Y81" s="489">
        <v>90.69</v>
      </c>
      <c r="Z81" s="489">
        <v>92.67</v>
      </c>
      <c r="AA81" s="489">
        <v>94.64</v>
      </c>
      <c r="AB81" s="489">
        <v>96.62</v>
      </c>
      <c r="AC81" s="489">
        <v>98.6</v>
      </c>
      <c r="AD81" s="299">
        <v>100.58</v>
      </c>
      <c r="AE81" s="299">
        <v>102.56</v>
      </c>
      <c r="AF81" s="299">
        <v>104.54</v>
      </c>
      <c r="AG81" s="300">
        <v>106.52</v>
      </c>
      <c r="AH81" s="301">
        <v>108.5</v>
      </c>
      <c r="AI81" s="301">
        <v>110.48</v>
      </c>
      <c r="AJ81" s="626">
        <v>112.45</v>
      </c>
      <c r="AK81" s="490">
        <v>114.43</v>
      </c>
      <c r="AL81" s="482">
        <v>116.41</v>
      </c>
      <c r="AM81" s="491">
        <v>118.39</v>
      </c>
      <c r="AN81" s="646">
        <v>120.37</v>
      </c>
      <c r="AO81" s="52">
        <v>122.35</v>
      </c>
      <c r="AP81" s="52">
        <v>124.33</v>
      </c>
      <c r="AQ81" s="52">
        <v>126.31</v>
      </c>
      <c r="AR81" s="52">
        <v>128.29</v>
      </c>
      <c r="AS81" s="52">
        <v>130.26</v>
      </c>
      <c r="AT81" s="52">
        <v>76.95</v>
      </c>
      <c r="AU81" s="52">
        <v>74.97</v>
      </c>
    </row>
    <row r="82" spans="1:47">
      <c r="A82" s="489">
        <v>145.35</v>
      </c>
      <c r="B82" s="300">
        <v>175.88</v>
      </c>
      <c r="C82" s="301">
        <v>178.72</v>
      </c>
      <c r="D82" s="301">
        <v>181.56</v>
      </c>
      <c r="E82" s="621">
        <v>184.4</v>
      </c>
      <c r="F82" s="490">
        <v>159.54</v>
      </c>
      <c r="G82" s="490">
        <v>162.38</v>
      </c>
      <c r="H82" s="491">
        <v>165.22</v>
      </c>
      <c r="I82" s="52">
        <v>168.06</v>
      </c>
      <c r="J82" s="52">
        <v>170.9</v>
      </c>
      <c r="K82" s="52">
        <v>173.74</v>
      </c>
      <c r="L82" s="52">
        <v>176.58</v>
      </c>
      <c r="M82" s="52">
        <v>179.42</v>
      </c>
      <c r="N82" s="52">
        <v>182.26</v>
      </c>
      <c r="O82" s="52">
        <v>173.02</v>
      </c>
      <c r="P82" s="52">
        <v>175.86</v>
      </c>
      <c r="Q82" s="52">
        <v>178.7</v>
      </c>
      <c r="R82" s="52">
        <v>181.54</v>
      </c>
      <c r="S82" s="52">
        <v>130.44</v>
      </c>
      <c r="T82" s="52">
        <v>127.6</v>
      </c>
      <c r="U82" s="52">
        <v>124.76</v>
      </c>
      <c r="V82" s="52">
        <v>121.92</v>
      </c>
      <c r="W82" s="52">
        <v>119.08</v>
      </c>
      <c r="X82" s="485">
        <v>78</v>
      </c>
      <c r="Y82" s="489">
        <v>91.69</v>
      </c>
      <c r="Z82" s="489">
        <v>93.86</v>
      </c>
      <c r="AA82" s="489">
        <v>95.87</v>
      </c>
      <c r="AB82" s="489">
        <v>97.87</v>
      </c>
      <c r="AC82" s="489">
        <v>99.88</v>
      </c>
      <c r="AD82" s="299">
        <v>101.88</v>
      </c>
      <c r="AE82" s="299">
        <v>103.88</v>
      </c>
      <c r="AF82" s="299">
        <v>105.89</v>
      </c>
      <c r="AG82" s="300">
        <v>107.89</v>
      </c>
      <c r="AH82" s="301">
        <v>109.9</v>
      </c>
      <c r="AI82" s="301">
        <v>111.9</v>
      </c>
      <c r="AJ82" s="626">
        <v>113.91</v>
      </c>
      <c r="AK82" s="490">
        <v>115.91</v>
      </c>
      <c r="AL82" s="482">
        <v>117.92</v>
      </c>
      <c r="AM82" s="491">
        <v>119.92</v>
      </c>
      <c r="AN82" s="646">
        <v>121.93</v>
      </c>
      <c r="AO82" s="52">
        <v>123.93</v>
      </c>
      <c r="AP82" s="52">
        <v>125.94</v>
      </c>
      <c r="AQ82" s="52">
        <v>127.94</v>
      </c>
      <c r="AR82" s="52">
        <v>129.94</v>
      </c>
      <c r="AS82" s="52">
        <v>131.94999999999999</v>
      </c>
      <c r="AT82" s="52">
        <v>77.95</v>
      </c>
      <c r="AU82" s="52">
        <v>75.94</v>
      </c>
    </row>
    <row r="83" spans="1:47">
      <c r="A83" s="489">
        <v>147.27000000000001</v>
      </c>
      <c r="B83" s="300">
        <v>178.21</v>
      </c>
      <c r="C83" s="301">
        <v>181.09</v>
      </c>
      <c r="D83" s="301">
        <v>183.96</v>
      </c>
      <c r="E83" s="621">
        <v>186.84</v>
      </c>
      <c r="F83" s="490">
        <v>161.65</v>
      </c>
      <c r="G83" s="490">
        <v>164.52</v>
      </c>
      <c r="H83" s="491">
        <v>167.4</v>
      </c>
      <c r="I83" s="52">
        <v>170.27</v>
      </c>
      <c r="J83" s="52">
        <v>173.15</v>
      </c>
      <c r="K83" s="52">
        <v>176.02</v>
      </c>
      <c r="L83" s="52">
        <v>178.9</v>
      </c>
      <c r="M83" s="52">
        <v>181.78</v>
      </c>
      <c r="N83" s="52">
        <v>184.65</v>
      </c>
      <c r="O83" s="52">
        <v>175.29</v>
      </c>
      <c r="P83" s="52">
        <v>178.16</v>
      </c>
      <c r="Q83" s="52">
        <v>181.04</v>
      </c>
      <c r="R83" s="52">
        <v>183.91</v>
      </c>
      <c r="S83" s="52">
        <v>132.15</v>
      </c>
      <c r="T83" s="52">
        <v>129.28</v>
      </c>
      <c r="U83" s="52">
        <v>126.4</v>
      </c>
      <c r="V83" s="52">
        <v>123.53</v>
      </c>
      <c r="W83" s="52">
        <v>120.65</v>
      </c>
      <c r="X83" s="485">
        <v>79</v>
      </c>
      <c r="Y83" s="489">
        <v>93.03</v>
      </c>
      <c r="Z83" s="489">
        <v>95.06</v>
      </c>
      <c r="AA83" s="489">
        <v>97.09</v>
      </c>
      <c r="AB83" s="489">
        <v>99.12</v>
      </c>
      <c r="AC83" s="489">
        <v>101.15</v>
      </c>
      <c r="AD83" s="299">
        <v>103.18</v>
      </c>
      <c r="AE83" s="299">
        <v>105.21</v>
      </c>
      <c r="AF83" s="299">
        <v>107.24</v>
      </c>
      <c r="AG83" s="300">
        <v>109.27</v>
      </c>
      <c r="AH83" s="301">
        <v>111.3</v>
      </c>
      <c r="AI83" s="301">
        <v>113.33</v>
      </c>
      <c r="AJ83" s="626">
        <v>115.36</v>
      </c>
      <c r="AK83" s="490">
        <v>117.39</v>
      </c>
      <c r="AL83" s="482">
        <v>119.42</v>
      </c>
      <c r="AM83" s="491">
        <v>121.45</v>
      </c>
      <c r="AN83" s="646">
        <v>123.48</v>
      </c>
      <c r="AO83" s="52">
        <v>125.51</v>
      </c>
      <c r="AP83" s="52">
        <v>127.54</v>
      </c>
      <c r="AQ83" s="52">
        <v>129.58000000000001</v>
      </c>
      <c r="AR83" s="52">
        <v>131.61000000000001</v>
      </c>
      <c r="AS83" s="52">
        <v>133.63999999999999</v>
      </c>
      <c r="AT83" s="52">
        <v>78.94</v>
      </c>
      <c r="AU83" s="52">
        <v>76.91</v>
      </c>
    </row>
    <row r="84" spans="1:47">
      <c r="A84" s="489">
        <v>149.12</v>
      </c>
      <c r="B84" s="300">
        <v>180.45</v>
      </c>
      <c r="C84" s="301">
        <v>183.36</v>
      </c>
      <c r="D84" s="301">
        <v>186.27</v>
      </c>
      <c r="E84" s="621">
        <v>189.18</v>
      </c>
      <c r="F84" s="490">
        <v>163.68</v>
      </c>
      <c r="G84" s="490">
        <v>166.59</v>
      </c>
      <c r="H84" s="491">
        <v>169.5</v>
      </c>
      <c r="I84" s="52">
        <v>172.41</v>
      </c>
      <c r="J84" s="52">
        <v>175.32</v>
      </c>
      <c r="K84" s="52">
        <v>178.24</v>
      </c>
      <c r="L84" s="52">
        <v>181.15</v>
      </c>
      <c r="M84" s="52">
        <v>184.06</v>
      </c>
      <c r="N84" s="52">
        <v>186.97</v>
      </c>
      <c r="O84" s="52">
        <v>177.49</v>
      </c>
      <c r="P84" s="52">
        <v>180.4</v>
      </c>
      <c r="Q84" s="52">
        <v>183.32</v>
      </c>
      <c r="R84" s="52">
        <v>186.23</v>
      </c>
      <c r="S84" s="52">
        <v>133.81</v>
      </c>
      <c r="T84" s="52">
        <v>130.9</v>
      </c>
      <c r="U84" s="52">
        <v>127.99</v>
      </c>
      <c r="V84" s="52">
        <v>125.08</v>
      </c>
      <c r="W84" s="52">
        <v>122.16</v>
      </c>
      <c r="X84" s="485">
        <v>80</v>
      </c>
      <c r="Y84" s="489">
        <v>94.21</v>
      </c>
      <c r="Z84" s="489">
        <v>96.26</v>
      </c>
      <c r="AA84" s="489">
        <v>98.32</v>
      </c>
      <c r="AB84" s="489">
        <v>100.37</v>
      </c>
      <c r="AC84" s="489">
        <v>102.43</v>
      </c>
      <c r="AD84" s="299">
        <v>104.49</v>
      </c>
      <c r="AE84" s="299">
        <v>106.54</v>
      </c>
      <c r="AF84" s="299">
        <v>108.6</v>
      </c>
      <c r="AG84" s="300">
        <v>110.65</v>
      </c>
      <c r="AH84" s="301">
        <v>112.71</v>
      </c>
      <c r="AI84" s="301">
        <v>114.77</v>
      </c>
      <c r="AJ84" s="626">
        <v>116.82</v>
      </c>
      <c r="AK84" s="490">
        <v>118.88</v>
      </c>
      <c r="AL84" s="482">
        <v>120.93</v>
      </c>
      <c r="AM84" s="491">
        <v>122.19</v>
      </c>
      <c r="AN84" s="646">
        <v>125.05</v>
      </c>
      <c r="AO84" s="52">
        <v>127.1</v>
      </c>
      <c r="AP84" s="52">
        <v>129.16</v>
      </c>
      <c r="AQ84" s="52">
        <v>131.21</v>
      </c>
      <c r="AR84" s="52">
        <v>133.27000000000001</v>
      </c>
      <c r="AS84" s="52">
        <v>135.33000000000001</v>
      </c>
      <c r="AT84" s="52">
        <v>79.94</v>
      </c>
      <c r="AU84" s="52">
        <v>77.89</v>
      </c>
    </row>
    <row r="85" spans="1:47">
      <c r="A85" s="489">
        <v>150.97</v>
      </c>
      <c r="B85" s="300">
        <v>182.69</v>
      </c>
      <c r="C85" s="301">
        <v>185.64</v>
      </c>
      <c r="D85" s="301">
        <v>188.59</v>
      </c>
      <c r="E85" s="621">
        <v>191.54</v>
      </c>
      <c r="F85" s="490">
        <v>165.72</v>
      </c>
      <c r="G85" s="490">
        <v>168.66</v>
      </c>
      <c r="H85" s="491">
        <v>171.61</v>
      </c>
      <c r="I85" s="52">
        <v>174.56</v>
      </c>
      <c r="J85" s="52">
        <v>177.51</v>
      </c>
      <c r="K85" s="52">
        <v>180.46</v>
      </c>
      <c r="L85" s="52">
        <v>183.41</v>
      </c>
      <c r="M85" s="52">
        <v>186.35</v>
      </c>
      <c r="N85" s="52">
        <v>189.3</v>
      </c>
      <c r="O85" s="52">
        <v>179.71</v>
      </c>
      <c r="P85" s="52">
        <v>182.65</v>
      </c>
      <c r="Q85" s="52">
        <v>185.6</v>
      </c>
      <c r="R85" s="52">
        <v>188.55</v>
      </c>
      <c r="S85" s="52">
        <v>135.47999999999999</v>
      </c>
      <c r="T85" s="52">
        <v>132.53</v>
      </c>
      <c r="U85" s="52">
        <v>129.58000000000001</v>
      </c>
      <c r="V85" s="52">
        <v>126.63</v>
      </c>
      <c r="W85" s="52">
        <v>123.69</v>
      </c>
      <c r="X85" s="485">
        <v>81</v>
      </c>
      <c r="Y85" s="489">
        <v>95.38</v>
      </c>
      <c r="Z85" s="489">
        <v>97.47</v>
      </c>
      <c r="AA85" s="489">
        <v>99.55</v>
      </c>
      <c r="AB85" s="489">
        <v>101.63</v>
      </c>
      <c r="AC85" s="489">
        <v>103.71</v>
      </c>
      <c r="AD85" s="299">
        <v>105.79</v>
      </c>
      <c r="AE85" s="299">
        <v>107.87</v>
      </c>
      <c r="AF85" s="299">
        <v>109.96</v>
      </c>
      <c r="AG85" s="300">
        <v>112.04</v>
      </c>
      <c r="AH85" s="301">
        <v>114.12</v>
      </c>
      <c r="AI85" s="301">
        <v>116.2</v>
      </c>
      <c r="AJ85" s="626">
        <v>118.28</v>
      </c>
      <c r="AK85" s="490">
        <v>120.36</v>
      </c>
      <c r="AL85" s="482">
        <v>122.45</v>
      </c>
      <c r="AM85" s="491">
        <v>124.53</v>
      </c>
      <c r="AN85" s="646">
        <v>126.61</v>
      </c>
      <c r="AO85" s="52">
        <v>128.69</v>
      </c>
      <c r="AP85" s="52">
        <v>130.77000000000001</v>
      </c>
      <c r="AQ85" s="52">
        <v>132.85</v>
      </c>
      <c r="AR85" s="52">
        <v>134.94</v>
      </c>
      <c r="AS85" s="52">
        <v>137.02000000000001</v>
      </c>
      <c r="AT85" s="52">
        <v>80.94</v>
      </c>
      <c r="AU85" s="52">
        <v>78.86</v>
      </c>
    </row>
    <row r="86" spans="1:47">
      <c r="A86" s="489">
        <v>152.75</v>
      </c>
      <c r="B86" s="300">
        <v>184.83</v>
      </c>
      <c r="C86" s="301">
        <v>187.82</v>
      </c>
      <c r="D86" s="301">
        <v>190.8</v>
      </c>
      <c r="E86" s="621">
        <v>193.79</v>
      </c>
      <c r="F86" s="490">
        <v>167.68</v>
      </c>
      <c r="G86" s="490">
        <v>170.66</v>
      </c>
      <c r="H86" s="491">
        <v>173.65</v>
      </c>
      <c r="I86" s="52">
        <v>176.63</v>
      </c>
      <c r="J86" s="52">
        <v>179.61</v>
      </c>
      <c r="K86" s="52">
        <v>182.6</v>
      </c>
      <c r="L86" s="52">
        <v>185.58</v>
      </c>
      <c r="M86" s="52">
        <v>188.57</v>
      </c>
      <c r="N86" s="52">
        <v>191.55</v>
      </c>
      <c r="O86" s="52">
        <v>181.86</v>
      </c>
      <c r="P86" s="52">
        <v>184.84</v>
      </c>
      <c r="Q86" s="52">
        <v>187.83</v>
      </c>
      <c r="R86" s="52">
        <v>190.81</v>
      </c>
      <c r="S86" s="52">
        <v>137.09</v>
      </c>
      <c r="T86" s="52">
        <v>134.1</v>
      </c>
      <c r="U86" s="52">
        <v>131.12</v>
      </c>
      <c r="V86" s="52">
        <v>128.13</v>
      </c>
      <c r="W86" s="52">
        <v>125.15</v>
      </c>
      <c r="X86" s="485">
        <v>82</v>
      </c>
      <c r="Y86" s="489">
        <v>96.53</v>
      </c>
      <c r="Z86" s="489">
        <v>98.64</v>
      </c>
      <c r="AA86" s="489">
        <v>100.75</v>
      </c>
      <c r="AB86" s="489">
        <v>102.86</v>
      </c>
      <c r="AC86" s="489">
        <v>104.96</v>
      </c>
      <c r="AD86" s="299">
        <v>107.07</v>
      </c>
      <c r="AE86" s="299">
        <v>109.18</v>
      </c>
      <c r="AF86" s="299">
        <v>111.29</v>
      </c>
      <c r="AG86" s="300">
        <v>113.39</v>
      </c>
      <c r="AH86" s="301">
        <v>115.5</v>
      </c>
      <c r="AI86" s="301">
        <v>117.61</v>
      </c>
      <c r="AJ86" s="626">
        <v>119.72</v>
      </c>
      <c r="AK86" s="490">
        <v>121.82</v>
      </c>
      <c r="AL86" s="482">
        <v>123.93</v>
      </c>
      <c r="AM86" s="491">
        <v>126.04</v>
      </c>
      <c r="AN86" s="646">
        <v>128.15</v>
      </c>
      <c r="AO86" s="52">
        <v>130.25</v>
      </c>
      <c r="AP86" s="52">
        <v>132.36000000000001</v>
      </c>
      <c r="AQ86" s="52">
        <v>134.47</v>
      </c>
      <c r="AR86" s="52">
        <v>136.57</v>
      </c>
      <c r="AS86" s="52">
        <v>138.68</v>
      </c>
      <c r="AT86" s="52">
        <v>81.92</v>
      </c>
      <c r="AU86" s="52">
        <v>79.819999999999993</v>
      </c>
    </row>
    <row r="87" spans="1:47">
      <c r="A87" s="489">
        <v>154.62</v>
      </c>
      <c r="B87" s="300">
        <v>187.1</v>
      </c>
      <c r="C87" s="301">
        <v>190.12</v>
      </c>
      <c r="D87" s="301">
        <v>193.14</v>
      </c>
      <c r="E87" s="621">
        <v>196.16</v>
      </c>
      <c r="F87" s="490">
        <v>169.73</v>
      </c>
      <c r="G87" s="490">
        <v>172.75</v>
      </c>
      <c r="H87" s="491">
        <v>175.77</v>
      </c>
      <c r="I87" s="52">
        <v>178.79</v>
      </c>
      <c r="J87" s="52">
        <v>181.81</v>
      </c>
      <c r="K87" s="52">
        <v>184.83</v>
      </c>
      <c r="L87" s="52">
        <v>187.86</v>
      </c>
      <c r="M87" s="52">
        <v>190.88</v>
      </c>
      <c r="N87" s="52">
        <v>193.9</v>
      </c>
      <c r="O87" s="52">
        <v>184.08</v>
      </c>
      <c r="P87" s="52">
        <v>187.1</v>
      </c>
      <c r="Q87" s="52">
        <v>190.12</v>
      </c>
      <c r="R87" s="52">
        <v>193.15</v>
      </c>
      <c r="S87" s="52">
        <v>138.76</v>
      </c>
      <c r="T87" s="52">
        <v>135.74</v>
      </c>
      <c r="U87" s="52">
        <v>132.72</v>
      </c>
      <c r="V87" s="52">
        <v>129.69999999999999</v>
      </c>
      <c r="W87" s="52">
        <v>126.68</v>
      </c>
      <c r="X87" s="485">
        <v>83</v>
      </c>
      <c r="Y87" s="489">
        <v>97.72</v>
      </c>
      <c r="Z87" s="489">
        <v>99.85</v>
      </c>
      <c r="AA87" s="489">
        <v>101.98</v>
      </c>
      <c r="AB87" s="489">
        <v>104.12</v>
      </c>
      <c r="AC87" s="489">
        <v>106.25</v>
      </c>
      <c r="AD87" s="299">
        <v>108.38</v>
      </c>
      <c r="AE87" s="299">
        <v>110.52</v>
      </c>
      <c r="AF87" s="299">
        <v>112.65</v>
      </c>
      <c r="AG87" s="300">
        <v>114.78</v>
      </c>
      <c r="AH87" s="301">
        <v>116.92</v>
      </c>
      <c r="AI87" s="301">
        <v>119.05</v>
      </c>
      <c r="AJ87" s="626">
        <v>121.18</v>
      </c>
      <c r="AK87" s="490">
        <v>123.32</v>
      </c>
      <c r="AL87" s="482">
        <v>125.45</v>
      </c>
      <c r="AM87" s="491">
        <v>127.58</v>
      </c>
      <c r="AN87" s="646">
        <v>129.72</v>
      </c>
      <c r="AO87" s="52">
        <v>131.85</v>
      </c>
      <c r="AP87" s="52">
        <v>133.97999999999999</v>
      </c>
      <c r="AQ87" s="52">
        <v>136.11000000000001</v>
      </c>
      <c r="AR87" s="52">
        <v>138.25</v>
      </c>
      <c r="AS87" s="52">
        <v>140.38</v>
      </c>
      <c r="AT87" s="52">
        <v>82.93</v>
      </c>
      <c r="AU87" s="52">
        <v>80.8</v>
      </c>
    </row>
    <row r="88" spans="1:47">
      <c r="A88" s="489">
        <v>156.5</v>
      </c>
      <c r="B88" s="300">
        <v>189.38</v>
      </c>
      <c r="C88" s="301">
        <v>192.43</v>
      </c>
      <c r="D88" s="301">
        <v>195.49</v>
      </c>
      <c r="E88" s="621">
        <v>198.55</v>
      </c>
      <c r="F88" s="490">
        <v>171.79</v>
      </c>
      <c r="G88" s="490">
        <v>174.85</v>
      </c>
      <c r="H88" s="491">
        <v>177.91</v>
      </c>
      <c r="I88" s="52">
        <v>180.96</v>
      </c>
      <c r="J88" s="52">
        <v>184.02</v>
      </c>
      <c r="K88" s="52">
        <v>187.08</v>
      </c>
      <c r="L88" s="52">
        <v>190.14</v>
      </c>
      <c r="M88" s="52">
        <v>193.19</v>
      </c>
      <c r="N88" s="52">
        <v>196.25</v>
      </c>
      <c r="O88" s="52">
        <v>186.31</v>
      </c>
      <c r="P88" s="52">
        <v>189.37</v>
      </c>
      <c r="Q88" s="52">
        <v>192.43</v>
      </c>
      <c r="R88" s="52">
        <v>195.49</v>
      </c>
      <c r="S88" s="52">
        <v>140.44999999999999</v>
      </c>
      <c r="T88" s="52">
        <v>137.38999999999999</v>
      </c>
      <c r="U88" s="52">
        <v>134.33000000000001</v>
      </c>
      <c r="V88" s="52">
        <v>131.28</v>
      </c>
      <c r="W88" s="52">
        <v>128.22</v>
      </c>
      <c r="X88" s="485">
        <v>84</v>
      </c>
      <c r="Y88" s="489">
        <v>98.87</v>
      </c>
      <c r="Z88" s="489">
        <v>101.03</v>
      </c>
      <c r="AA88" s="489">
        <v>103.19</v>
      </c>
      <c r="AB88" s="489">
        <v>105.35</v>
      </c>
      <c r="AC88" s="489">
        <v>107.51</v>
      </c>
      <c r="AD88" s="299">
        <v>109.67</v>
      </c>
      <c r="AE88" s="299">
        <v>111.83</v>
      </c>
      <c r="AF88" s="299">
        <v>113.98</v>
      </c>
      <c r="AG88" s="300">
        <v>116.14</v>
      </c>
      <c r="AH88" s="301">
        <v>118.3</v>
      </c>
      <c r="AI88" s="301">
        <v>120.46</v>
      </c>
      <c r="AJ88" s="626">
        <v>122.62</v>
      </c>
      <c r="AK88" s="490">
        <v>124.78</v>
      </c>
      <c r="AL88" s="482">
        <v>126.94</v>
      </c>
      <c r="AM88" s="491">
        <v>129.1</v>
      </c>
      <c r="AN88" s="646">
        <v>131.26</v>
      </c>
      <c r="AO88" s="52">
        <v>133.41</v>
      </c>
      <c r="AP88" s="52">
        <v>135.57</v>
      </c>
      <c r="AQ88" s="52">
        <v>137.72999999999999</v>
      </c>
      <c r="AR88" s="52">
        <v>139.88999999999999</v>
      </c>
      <c r="AS88" s="52">
        <v>142.05000000000001</v>
      </c>
      <c r="AT88" s="52">
        <v>83.91</v>
      </c>
      <c r="AU88" s="52">
        <v>81.75</v>
      </c>
    </row>
    <row r="89" spans="1:47">
      <c r="A89" s="489">
        <v>158.38999999999999</v>
      </c>
      <c r="B89" s="300">
        <v>191.67</v>
      </c>
      <c r="C89" s="301">
        <v>194.76</v>
      </c>
      <c r="D89" s="301">
        <v>197.85</v>
      </c>
      <c r="E89" s="621">
        <v>200.95</v>
      </c>
      <c r="F89" s="490">
        <v>173.86</v>
      </c>
      <c r="G89" s="490">
        <v>176.96</v>
      </c>
      <c r="H89" s="491">
        <v>180.05</v>
      </c>
      <c r="I89" s="52">
        <v>183.14</v>
      </c>
      <c r="J89" s="52">
        <v>186.24</v>
      </c>
      <c r="K89" s="52">
        <v>189.33</v>
      </c>
      <c r="L89" s="52">
        <v>192.43</v>
      </c>
      <c r="M89" s="52">
        <v>195.52</v>
      </c>
      <c r="N89" s="52">
        <v>198.61</v>
      </c>
      <c r="O89" s="52">
        <v>188.55</v>
      </c>
      <c r="P89" s="52">
        <v>191.65</v>
      </c>
      <c r="Q89" s="52">
        <v>194.74</v>
      </c>
      <c r="R89" s="52">
        <v>197.83</v>
      </c>
      <c r="S89" s="52">
        <v>142.13999999999999</v>
      </c>
      <c r="T89" s="52">
        <v>139.05000000000001</v>
      </c>
      <c r="U89" s="52">
        <v>135.94999999999999</v>
      </c>
      <c r="V89" s="52">
        <v>132.86000000000001</v>
      </c>
      <c r="W89" s="52">
        <v>129.77000000000001</v>
      </c>
      <c r="X89" s="485">
        <v>85</v>
      </c>
      <c r="Y89" s="489">
        <v>100.06</v>
      </c>
      <c r="Z89" s="489">
        <v>102.25</v>
      </c>
      <c r="AA89" s="489">
        <v>104.43</v>
      </c>
      <c r="AB89" s="489">
        <v>106.62</v>
      </c>
      <c r="AC89" s="489">
        <v>108.8</v>
      </c>
      <c r="AD89" s="299">
        <v>110.99</v>
      </c>
      <c r="AE89" s="299">
        <v>113.17</v>
      </c>
      <c r="AF89" s="299">
        <v>115.35</v>
      </c>
      <c r="AG89" s="300">
        <v>117.54</v>
      </c>
      <c r="AH89" s="301">
        <v>119.72</v>
      </c>
      <c r="AI89" s="301">
        <v>121.91</v>
      </c>
      <c r="AJ89" s="626">
        <v>124.09</v>
      </c>
      <c r="AK89" s="490">
        <v>126.28</v>
      </c>
      <c r="AL89" s="482">
        <v>128.46</v>
      </c>
      <c r="AM89" s="491">
        <v>130.65</v>
      </c>
      <c r="AN89" s="646">
        <v>132.83000000000001</v>
      </c>
      <c r="AO89" s="52">
        <v>135.02000000000001</v>
      </c>
      <c r="AP89" s="52">
        <v>137.19999999999999</v>
      </c>
      <c r="AQ89" s="52">
        <v>139.38</v>
      </c>
      <c r="AR89" s="52">
        <v>141.57</v>
      </c>
      <c r="AS89" s="52">
        <v>143.75</v>
      </c>
      <c r="AT89" s="52">
        <v>84.92</v>
      </c>
      <c r="AU89" s="52">
        <v>82.74</v>
      </c>
    </row>
    <row r="90" spans="1:47">
      <c r="A90" s="489">
        <v>160.19999999999999</v>
      </c>
      <c r="B90" s="300">
        <v>193.84</v>
      </c>
      <c r="C90" s="301">
        <v>196.97</v>
      </c>
      <c r="D90" s="301">
        <v>200.1</v>
      </c>
      <c r="E90" s="621">
        <v>203.23</v>
      </c>
      <c r="F90" s="490">
        <v>175.85</v>
      </c>
      <c r="G90" s="490">
        <v>178.98</v>
      </c>
      <c r="H90" s="491">
        <v>182.11</v>
      </c>
      <c r="I90" s="52">
        <v>185.24</v>
      </c>
      <c r="J90" s="52">
        <v>188.37</v>
      </c>
      <c r="K90" s="52">
        <v>191.5</v>
      </c>
      <c r="L90" s="52">
        <v>194.63</v>
      </c>
      <c r="M90" s="52">
        <v>197.76</v>
      </c>
      <c r="N90" s="52">
        <v>200.89</v>
      </c>
      <c r="O90" s="52">
        <v>190.72</v>
      </c>
      <c r="P90" s="52">
        <v>193.85</v>
      </c>
      <c r="Q90" s="52">
        <v>196.98</v>
      </c>
      <c r="R90" s="52">
        <v>200.11</v>
      </c>
      <c r="S90" s="52">
        <v>143.77000000000001</v>
      </c>
      <c r="T90" s="52">
        <v>140.63999999999999</v>
      </c>
      <c r="U90" s="52">
        <v>137.51</v>
      </c>
      <c r="V90" s="52">
        <v>134.38</v>
      </c>
      <c r="W90" s="52">
        <v>131.25</v>
      </c>
      <c r="X90" s="485">
        <v>86</v>
      </c>
      <c r="Y90" s="489">
        <v>101.22</v>
      </c>
      <c r="Z90" s="489">
        <v>103.46</v>
      </c>
      <c r="AA90" s="489">
        <v>105.64</v>
      </c>
      <c r="AB90" s="489">
        <v>107.85</v>
      </c>
      <c r="AC90" s="489">
        <v>110.06</v>
      </c>
      <c r="AD90" s="299">
        <v>112.27</v>
      </c>
      <c r="AE90" s="299">
        <v>114.48</v>
      </c>
      <c r="AF90" s="299">
        <v>116.69</v>
      </c>
      <c r="AG90" s="300">
        <v>118.9</v>
      </c>
      <c r="AH90" s="301">
        <v>121.11</v>
      </c>
      <c r="AI90" s="301">
        <v>123.32</v>
      </c>
      <c r="AJ90" s="626">
        <v>125.53</v>
      </c>
      <c r="AK90" s="490">
        <v>127.74</v>
      </c>
      <c r="AL90" s="482">
        <v>129.94999999999999</v>
      </c>
      <c r="AM90" s="491">
        <v>132.16999999999999</v>
      </c>
      <c r="AN90" s="646">
        <v>134.38</v>
      </c>
      <c r="AO90" s="52">
        <v>136.59</v>
      </c>
      <c r="AP90" s="52">
        <v>138.80000000000001</v>
      </c>
      <c r="AQ90" s="52">
        <v>141.01</v>
      </c>
      <c r="AR90" s="52">
        <v>143.22</v>
      </c>
      <c r="AS90" s="52">
        <v>145.43</v>
      </c>
      <c r="AT90" s="52">
        <v>85.91</v>
      </c>
      <c r="AU90" s="52">
        <v>83.7</v>
      </c>
    </row>
    <row r="91" spans="1:47">
      <c r="A91" s="489">
        <v>162.01</v>
      </c>
      <c r="B91" s="300">
        <v>196.02</v>
      </c>
      <c r="C91" s="301">
        <v>199.19</v>
      </c>
      <c r="D91" s="301">
        <v>202.36</v>
      </c>
      <c r="E91" s="621">
        <v>205.52</v>
      </c>
      <c r="F91" s="490">
        <v>177.84</v>
      </c>
      <c r="G91" s="490">
        <v>181.01</v>
      </c>
      <c r="H91" s="491">
        <v>184.17</v>
      </c>
      <c r="I91" s="52">
        <v>187.34</v>
      </c>
      <c r="J91" s="52">
        <v>190.51</v>
      </c>
      <c r="K91" s="52">
        <v>193.67</v>
      </c>
      <c r="L91" s="52">
        <v>196.84</v>
      </c>
      <c r="M91" s="52">
        <v>200.01</v>
      </c>
      <c r="N91" s="52">
        <v>203.17</v>
      </c>
      <c r="O91" s="52">
        <v>192.9</v>
      </c>
      <c r="P91" s="52">
        <v>196.07</v>
      </c>
      <c r="Q91" s="52">
        <v>199.23</v>
      </c>
      <c r="R91" s="52">
        <v>202.4</v>
      </c>
      <c r="S91" s="52">
        <v>145.4</v>
      </c>
      <c r="T91" s="52">
        <v>142.22999999999999</v>
      </c>
      <c r="U91" s="52">
        <v>139.06</v>
      </c>
      <c r="V91" s="52">
        <v>135.9</v>
      </c>
      <c r="W91" s="52">
        <v>132.72999999999999</v>
      </c>
      <c r="X91" s="485">
        <v>87</v>
      </c>
      <c r="Y91" s="489">
        <v>102.38</v>
      </c>
      <c r="Z91" s="489">
        <v>104.62</v>
      </c>
      <c r="AA91" s="489">
        <v>106.86</v>
      </c>
      <c r="AB91" s="489">
        <v>109.9</v>
      </c>
      <c r="AC91" s="489">
        <v>111.33</v>
      </c>
      <c r="AD91" s="299">
        <v>113.56</v>
      </c>
      <c r="AE91" s="299">
        <v>115.8</v>
      </c>
      <c r="AF91" s="299">
        <v>118.03</v>
      </c>
      <c r="AG91" s="300">
        <v>120.27</v>
      </c>
      <c r="AH91" s="301">
        <v>122.51</v>
      </c>
      <c r="AI91" s="301">
        <v>124.74</v>
      </c>
      <c r="AJ91" s="626">
        <v>126.98</v>
      </c>
      <c r="AK91" s="490">
        <v>129.21</v>
      </c>
      <c r="AL91" s="482">
        <v>131.44999999999999</v>
      </c>
      <c r="AM91" s="491">
        <v>133.69</v>
      </c>
      <c r="AN91" s="646">
        <v>135.91999999999999</v>
      </c>
      <c r="AO91" s="52">
        <v>138.16</v>
      </c>
      <c r="AP91" s="52">
        <v>140.38999999999999</v>
      </c>
      <c r="AQ91" s="52">
        <v>142.63</v>
      </c>
      <c r="AR91" s="52">
        <v>144.87</v>
      </c>
      <c r="AS91" s="52">
        <v>147.1</v>
      </c>
      <c r="AT91" s="52">
        <v>86.9</v>
      </c>
      <c r="AU91" s="52">
        <v>84.66</v>
      </c>
    </row>
    <row r="92" spans="1:47">
      <c r="A92" s="489">
        <v>163.92</v>
      </c>
      <c r="B92" s="300">
        <v>198.35</v>
      </c>
      <c r="C92" s="301">
        <v>201.55</v>
      </c>
      <c r="D92" s="301">
        <v>204.75</v>
      </c>
      <c r="E92" s="621">
        <v>207.96</v>
      </c>
      <c r="F92" s="490">
        <v>179.94</v>
      </c>
      <c r="G92" s="490">
        <v>183.14</v>
      </c>
      <c r="H92" s="491">
        <v>186.34</v>
      </c>
      <c r="I92" s="52">
        <v>189.54</v>
      </c>
      <c r="J92" s="52">
        <v>192.75</v>
      </c>
      <c r="K92" s="52">
        <v>195.95</v>
      </c>
      <c r="L92" s="52">
        <v>199.15</v>
      </c>
      <c r="M92" s="52">
        <v>202.36</v>
      </c>
      <c r="N92" s="52">
        <v>205.56</v>
      </c>
      <c r="O92" s="52">
        <v>195.16</v>
      </c>
      <c r="P92" s="52">
        <v>198.36</v>
      </c>
      <c r="Q92" s="52">
        <v>201.56</v>
      </c>
      <c r="R92" s="52">
        <v>204.77</v>
      </c>
      <c r="S92" s="52">
        <v>147.11000000000001</v>
      </c>
      <c r="T92" s="52">
        <v>143.91</v>
      </c>
      <c r="U92" s="52">
        <v>140.69999999999999</v>
      </c>
      <c r="V92" s="52">
        <v>137.5</v>
      </c>
      <c r="W92" s="52">
        <v>134.30000000000001</v>
      </c>
      <c r="X92" s="485">
        <v>88</v>
      </c>
      <c r="Y92" s="489">
        <v>103.55</v>
      </c>
      <c r="Z92" s="489">
        <v>105.81</v>
      </c>
      <c r="AA92" s="489">
        <v>108.07</v>
      </c>
      <c r="AB92" s="489">
        <v>110.33</v>
      </c>
      <c r="AC92" s="489">
        <v>112.59</v>
      </c>
      <c r="AD92" s="299">
        <v>114.85</v>
      </c>
      <c r="AE92" s="299">
        <v>117.12</v>
      </c>
      <c r="AF92" s="299">
        <v>119.38</v>
      </c>
      <c r="AG92" s="300">
        <v>121.64</v>
      </c>
      <c r="AH92" s="301">
        <v>123.9</v>
      </c>
      <c r="AI92" s="301">
        <v>126.16</v>
      </c>
      <c r="AJ92" s="626">
        <v>128.41999999999999</v>
      </c>
      <c r="AK92" s="490">
        <v>130.69</v>
      </c>
      <c r="AL92" s="482">
        <v>132.94999999999999</v>
      </c>
      <c r="AM92" s="491">
        <v>135.21</v>
      </c>
      <c r="AN92" s="646">
        <v>137.47</v>
      </c>
      <c r="AO92" s="52">
        <v>139.72999999999999</v>
      </c>
      <c r="AP92" s="52">
        <v>141.99</v>
      </c>
      <c r="AQ92" s="52">
        <v>144.26</v>
      </c>
      <c r="AR92" s="52">
        <v>146.52000000000001</v>
      </c>
      <c r="AS92" s="52">
        <v>148.78</v>
      </c>
      <c r="AT92" s="52">
        <v>87.89</v>
      </c>
      <c r="AU92" s="52">
        <v>85.63</v>
      </c>
    </row>
    <row r="93" spans="1:47">
      <c r="A93" s="489">
        <v>165.74</v>
      </c>
      <c r="B93" s="300">
        <v>200.55</v>
      </c>
      <c r="C93" s="301">
        <v>203.79</v>
      </c>
      <c r="D93" s="301">
        <v>207.03</v>
      </c>
      <c r="E93" s="621">
        <v>210.27</v>
      </c>
      <c r="F93" s="490">
        <v>181.94</v>
      </c>
      <c r="G93" s="490">
        <v>185.18</v>
      </c>
      <c r="H93" s="491">
        <v>188.42</v>
      </c>
      <c r="I93" s="52">
        <v>191.66</v>
      </c>
      <c r="J93" s="52">
        <v>194.9</v>
      </c>
      <c r="K93" s="52">
        <v>198.14</v>
      </c>
      <c r="L93" s="52">
        <v>201.38</v>
      </c>
      <c r="M93" s="52">
        <v>204.62</v>
      </c>
      <c r="N93" s="52">
        <v>207.86</v>
      </c>
      <c r="O93" s="52">
        <v>197.34</v>
      </c>
      <c r="P93" s="52">
        <v>200.58</v>
      </c>
      <c r="Q93" s="52">
        <v>203.82</v>
      </c>
      <c r="R93" s="52">
        <v>207.06</v>
      </c>
      <c r="S93" s="52">
        <v>148.75</v>
      </c>
      <c r="T93" s="52">
        <v>145.51</v>
      </c>
      <c r="U93" s="52">
        <v>142.27000000000001</v>
      </c>
      <c r="V93" s="52">
        <v>139.03</v>
      </c>
      <c r="W93" s="52">
        <v>135.79</v>
      </c>
      <c r="X93" s="485">
        <v>89</v>
      </c>
      <c r="Y93" s="489">
        <v>104.71</v>
      </c>
      <c r="Z93" s="489">
        <v>107</v>
      </c>
      <c r="AA93" s="489">
        <v>109.29</v>
      </c>
      <c r="AB93" s="489">
        <v>111.57</v>
      </c>
      <c r="AC93" s="489">
        <v>113.86</v>
      </c>
      <c r="AD93" s="299">
        <v>116.15</v>
      </c>
      <c r="AE93" s="299">
        <v>118.44</v>
      </c>
      <c r="AF93" s="299">
        <v>120.72</v>
      </c>
      <c r="AG93" s="300">
        <v>123.01</v>
      </c>
      <c r="AH93" s="301">
        <v>125.3</v>
      </c>
      <c r="AI93" s="301">
        <v>127.59</v>
      </c>
      <c r="AJ93" s="626">
        <v>129.87</v>
      </c>
      <c r="AK93" s="490">
        <v>132.16</v>
      </c>
      <c r="AL93" s="482">
        <v>134.44999999999999</v>
      </c>
      <c r="AM93" s="491">
        <v>136.72999999999999</v>
      </c>
      <c r="AN93" s="646">
        <v>139.02000000000001</v>
      </c>
      <c r="AO93" s="52">
        <v>141.31</v>
      </c>
      <c r="AP93" s="52">
        <v>143.6</v>
      </c>
      <c r="AQ93" s="52">
        <v>145.88</v>
      </c>
      <c r="AR93" s="52">
        <v>148.16999999999999</v>
      </c>
      <c r="AS93" s="52">
        <v>150.46</v>
      </c>
      <c r="AT93" s="52">
        <v>88.88</v>
      </c>
      <c r="AU93" s="52">
        <v>86.59</v>
      </c>
    </row>
    <row r="94" spans="1:47">
      <c r="A94" s="489">
        <v>167.57</v>
      </c>
      <c r="B94" s="300">
        <v>202.76</v>
      </c>
      <c r="C94" s="301">
        <v>206.03</v>
      </c>
      <c r="D94" s="301">
        <v>209.31</v>
      </c>
      <c r="E94" s="621">
        <v>212.58</v>
      </c>
      <c r="F94" s="490">
        <v>183.95</v>
      </c>
      <c r="G94" s="490">
        <v>187.23</v>
      </c>
      <c r="H94" s="491">
        <v>190.5</v>
      </c>
      <c r="I94" s="52">
        <v>193.78</v>
      </c>
      <c r="J94" s="52">
        <v>197.05</v>
      </c>
      <c r="K94" s="52">
        <v>200.33</v>
      </c>
      <c r="L94" s="52">
        <v>203.61</v>
      </c>
      <c r="M94" s="52">
        <v>206.88</v>
      </c>
      <c r="N94" s="52">
        <v>210.16</v>
      </c>
      <c r="O94" s="52">
        <v>199.53</v>
      </c>
      <c r="P94" s="52">
        <v>202.81</v>
      </c>
      <c r="Q94" s="52">
        <v>206.09</v>
      </c>
      <c r="R94" s="52">
        <v>209.36</v>
      </c>
      <c r="S94" s="52">
        <v>150.38999999999999</v>
      </c>
      <c r="T94" s="52">
        <v>147.12</v>
      </c>
      <c r="U94" s="52">
        <v>143.84</v>
      </c>
      <c r="V94" s="52">
        <v>140.57</v>
      </c>
      <c r="W94" s="52">
        <v>137.29</v>
      </c>
      <c r="X94" s="485">
        <v>90</v>
      </c>
      <c r="Y94" s="489">
        <v>105.92</v>
      </c>
      <c r="Z94" s="489">
        <v>108.23</v>
      </c>
      <c r="AA94" s="489">
        <v>110.54</v>
      </c>
      <c r="AB94" s="489">
        <v>112.86</v>
      </c>
      <c r="AC94" s="489">
        <v>115.17</v>
      </c>
      <c r="AD94" s="299">
        <v>117.48</v>
      </c>
      <c r="AE94" s="299">
        <v>119.8</v>
      </c>
      <c r="AF94" s="299">
        <v>122.11</v>
      </c>
      <c r="AG94" s="300">
        <v>124.42</v>
      </c>
      <c r="AH94" s="301">
        <v>126.73</v>
      </c>
      <c r="AI94" s="301">
        <v>129.05000000000001</v>
      </c>
      <c r="AJ94" s="626">
        <v>131.36000000000001</v>
      </c>
      <c r="AK94" s="490">
        <v>133.66999999999999</v>
      </c>
      <c r="AL94" s="482">
        <v>135.99</v>
      </c>
      <c r="AM94" s="491">
        <v>138.30000000000001</v>
      </c>
      <c r="AN94" s="646">
        <v>140.61000000000001</v>
      </c>
      <c r="AO94" s="52">
        <v>142.93</v>
      </c>
      <c r="AP94" s="52">
        <v>145.24</v>
      </c>
      <c r="AQ94" s="52">
        <v>147.55000000000001</v>
      </c>
      <c r="AR94" s="52">
        <v>149.86000000000001</v>
      </c>
      <c r="AS94" s="52">
        <v>152.18</v>
      </c>
      <c r="AT94" s="52">
        <v>89.9</v>
      </c>
      <c r="AU94" s="52">
        <v>87.58</v>
      </c>
    </row>
    <row r="95" spans="1:47">
      <c r="A95" s="489">
        <v>169.51</v>
      </c>
      <c r="B95" s="300">
        <v>205.11</v>
      </c>
      <c r="C95" s="301">
        <v>208.43</v>
      </c>
      <c r="D95" s="301">
        <v>211.74</v>
      </c>
      <c r="E95" s="621">
        <v>215.05</v>
      </c>
      <c r="F95" s="490">
        <v>186.07</v>
      </c>
      <c r="G95" s="490">
        <v>189.39</v>
      </c>
      <c r="H95" s="491">
        <v>192.7</v>
      </c>
      <c r="I95" s="52">
        <v>196.01</v>
      </c>
      <c r="J95" s="52">
        <v>199.32</v>
      </c>
      <c r="K95" s="52">
        <v>202.64</v>
      </c>
      <c r="L95" s="52">
        <v>205.95</v>
      </c>
      <c r="M95" s="52">
        <v>209.26</v>
      </c>
      <c r="N95" s="52">
        <v>212.57</v>
      </c>
      <c r="O95" s="52">
        <v>201.81</v>
      </c>
      <c r="P95" s="52">
        <v>205.13</v>
      </c>
      <c r="Q95" s="52">
        <v>208.44</v>
      </c>
      <c r="R95" s="52">
        <v>211.75</v>
      </c>
      <c r="S95" s="52">
        <v>152.13</v>
      </c>
      <c r="T95" s="52">
        <v>148.82</v>
      </c>
      <c r="U95" s="52">
        <v>145.5</v>
      </c>
      <c r="V95" s="52">
        <v>142.19</v>
      </c>
      <c r="W95" s="52">
        <v>138.88</v>
      </c>
      <c r="X95" s="485">
        <v>91</v>
      </c>
      <c r="Y95" s="489">
        <v>107.09</v>
      </c>
      <c r="Z95" s="489">
        <v>109.43</v>
      </c>
      <c r="AA95" s="489">
        <v>111.77</v>
      </c>
      <c r="AB95" s="489">
        <v>114.1</v>
      </c>
      <c r="AC95" s="489">
        <v>116.44</v>
      </c>
      <c r="AD95" s="299">
        <v>118.78</v>
      </c>
      <c r="AE95" s="299">
        <v>121.12</v>
      </c>
      <c r="AF95" s="299">
        <v>123.46</v>
      </c>
      <c r="AG95" s="300">
        <v>125.8</v>
      </c>
      <c r="AH95" s="301">
        <v>128.13999999999999</v>
      </c>
      <c r="AI95" s="301">
        <v>130.47999999999999</v>
      </c>
      <c r="AJ95" s="626">
        <v>132.81</v>
      </c>
      <c r="AK95" s="490">
        <v>135.15</v>
      </c>
      <c r="AL95" s="482">
        <v>137.49</v>
      </c>
      <c r="AM95" s="491">
        <v>139.83000000000001</v>
      </c>
      <c r="AN95" s="646">
        <v>142.16999999999999</v>
      </c>
      <c r="AO95" s="52">
        <v>144.51</v>
      </c>
      <c r="AP95" s="52">
        <v>146.85</v>
      </c>
      <c r="AQ95" s="52">
        <v>149.19</v>
      </c>
      <c r="AR95" s="52">
        <v>151.52000000000001</v>
      </c>
      <c r="AS95" s="52">
        <v>153.86000000000001</v>
      </c>
      <c r="AT95" s="52">
        <v>90.89</v>
      </c>
      <c r="AU95" s="52">
        <v>88.55</v>
      </c>
    </row>
    <row r="96" spans="1:47">
      <c r="A96" s="489">
        <v>171.36</v>
      </c>
      <c r="B96" s="300">
        <v>207.34</v>
      </c>
      <c r="C96" s="301">
        <v>210.69</v>
      </c>
      <c r="D96" s="301">
        <v>214.04</v>
      </c>
      <c r="E96" s="621">
        <v>217.39</v>
      </c>
      <c r="F96" s="490">
        <v>188.1</v>
      </c>
      <c r="G96" s="490">
        <v>191.45</v>
      </c>
      <c r="H96" s="491">
        <v>194.8</v>
      </c>
      <c r="I96" s="52">
        <v>198.15</v>
      </c>
      <c r="J96" s="52">
        <v>201.5</v>
      </c>
      <c r="K96" s="52">
        <v>204.84</v>
      </c>
      <c r="L96" s="52">
        <v>208.19</v>
      </c>
      <c r="M96" s="52">
        <v>211.54</v>
      </c>
      <c r="N96" s="52">
        <v>214.89</v>
      </c>
      <c r="O96" s="52">
        <v>204.02</v>
      </c>
      <c r="P96" s="52">
        <v>207.37</v>
      </c>
      <c r="Q96" s="52">
        <v>210.71</v>
      </c>
      <c r="R96" s="52">
        <v>214.06</v>
      </c>
      <c r="S96" s="52">
        <v>153.78</v>
      </c>
      <c r="T96" s="52">
        <v>150.44</v>
      </c>
      <c r="U96" s="52">
        <v>147.09</v>
      </c>
      <c r="V96" s="52">
        <v>143.74</v>
      </c>
      <c r="W96" s="52">
        <v>140.38999999999999</v>
      </c>
      <c r="X96" s="485">
        <v>92</v>
      </c>
      <c r="Y96" s="489">
        <v>108.22</v>
      </c>
      <c r="Z96" s="489">
        <v>110.59</v>
      </c>
      <c r="AA96" s="489">
        <v>112.95</v>
      </c>
      <c r="AB96" s="489">
        <v>115.32</v>
      </c>
      <c r="AC96" s="489">
        <v>117.68</v>
      </c>
      <c r="AD96" s="299">
        <v>120.04</v>
      </c>
      <c r="AE96" s="299">
        <v>122.41</v>
      </c>
      <c r="AF96" s="299">
        <v>124.77</v>
      </c>
      <c r="AG96" s="300">
        <v>127.14</v>
      </c>
      <c r="AH96" s="301">
        <v>129.5</v>
      </c>
      <c r="AI96" s="301">
        <v>131.87</v>
      </c>
      <c r="AJ96" s="626">
        <v>134.22999999999999</v>
      </c>
      <c r="AK96" s="490">
        <v>136.6</v>
      </c>
      <c r="AL96" s="482">
        <v>138.96</v>
      </c>
      <c r="AM96" s="491">
        <v>141.32</v>
      </c>
      <c r="AN96" s="646">
        <v>143.69</v>
      </c>
      <c r="AO96" s="52">
        <v>146.05000000000001</v>
      </c>
      <c r="AP96" s="52">
        <v>148.41999999999999</v>
      </c>
      <c r="AQ96" s="52">
        <v>150.78</v>
      </c>
      <c r="AR96" s="52">
        <v>153.15</v>
      </c>
      <c r="AS96" s="52">
        <v>155.51</v>
      </c>
      <c r="AT96" s="52">
        <v>91.86</v>
      </c>
      <c r="AU96" s="52">
        <v>89.5</v>
      </c>
    </row>
    <row r="97" spans="1:47">
      <c r="A97" s="489">
        <v>173.21</v>
      </c>
      <c r="B97" s="300">
        <v>209.58</v>
      </c>
      <c r="C97" s="301">
        <v>212.97</v>
      </c>
      <c r="D97" s="301">
        <v>216.35</v>
      </c>
      <c r="E97" s="621">
        <v>219.74</v>
      </c>
      <c r="F97" s="490">
        <v>190.13</v>
      </c>
      <c r="G97" s="490">
        <v>193.52</v>
      </c>
      <c r="H97" s="491">
        <v>196.9</v>
      </c>
      <c r="I97" s="52">
        <v>200.29</v>
      </c>
      <c r="J97" s="52">
        <v>203.67</v>
      </c>
      <c r="K97" s="52">
        <v>207.06</v>
      </c>
      <c r="L97" s="52">
        <v>210.44</v>
      </c>
      <c r="M97" s="52">
        <v>213.83</v>
      </c>
      <c r="N97" s="52">
        <v>217.21</v>
      </c>
      <c r="O97" s="52">
        <v>206.23</v>
      </c>
      <c r="P97" s="52">
        <v>209.61</v>
      </c>
      <c r="Q97" s="52">
        <v>213</v>
      </c>
      <c r="R97" s="52">
        <v>216.38</v>
      </c>
      <c r="S97" s="52">
        <v>155.44999999999999</v>
      </c>
      <c r="T97" s="52">
        <v>152.06</v>
      </c>
      <c r="U97" s="52">
        <v>148.68</v>
      </c>
      <c r="V97" s="52">
        <v>145.29</v>
      </c>
      <c r="W97" s="52">
        <v>141.91</v>
      </c>
      <c r="X97" s="485">
        <v>93</v>
      </c>
      <c r="Y97" s="489">
        <v>109.4</v>
      </c>
      <c r="Z97" s="489">
        <v>111.79</v>
      </c>
      <c r="AA97" s="489">
        <v>114.18</v>
      </c>
      <c r="AB97" s="489">
        <v>116.57</v>
      </c>
      <c r="AC97" s="489">
        <v>118.96</v>
      </c>
      <c r="AD97" s="299">
        <v>121.35</v>
      </c>
      <c r="AE97" s="299">
        <v>123.74</v>
      </c>
      <c r="AF97" s="299">
        <v>126.13</v>
      </c>
      <c r="AG97" s="300">
        <v>128.52000000000001</v>
      </c>
      <c r="AH97" s="301">
        <v>130.91</v>
      </c>
      <c r="AI97" s="301">
        <v>133.30000000000001</v>
      </c>
      <c r="AJ97" s="626">
        <v>135.69</v>
      </c>
      <c r="AK97" s="490">
        <v>138.08000000000001</v>
      </c>
      <c r="AL97" s="482">
        <v>140.47</v>
      </c>
      <c r="AM97" s="491">
        <v>142.86000000000001</v>
      </c>
      <c r="AN97" s="646">
        <v>145.25</v>
      </c>
      <c r="AO97" s="52">
        <v>147.63999999999999</v>
      </c>
      <c r="AP97" s="52">
        <v>150.03</v>
      </c>
      <c r="AQ97" s="52">
        <v>152.41999999999999</v>
      </c>
      <c r="AR97" s="52">
        <v>154.81</v>
      </c>
      <c r="AS97" s="52">
        <v>157.19999999999999</v>
      </c>
      <c r="AT97" s="52">
        <v>92.86</v>
      </c>
      <c r="AU97" s="52">
        <v>90.47</v>
      </c>
    </row>
    <row r="98" spans="1:47">
      <c r="A98" s="489">
        <v>175.06</v>
      </c>
      <c r="B98" s="300">
        <v>211.83</v>
      </c>
      <c r="C98" s="301">
        <v>215.25</v>
      </c>
      <c r="D98" s="301">
        <v>218.67</v>
      </c>
      <c r="E98" s="621">
        <v>222.09</v>
      </c>
      <c r="F98" s="490">
        <v>192.17</v>
      </c>
      <c r="G98" s="490">
        <v>195.59</v>
      </c>
      <c r="H98" s="491">
        <v>199.02</v>
      </c>
      <c r="I98" s="52">
        <v>202.44</v>
      </c>
      <c r="J98" s="52">
        <v>205.86</v>
      </c>
      <c r="K98" s="52">
        <v>209.28</v>
      </c>
      <c r="L98" s="52">
        <v>212.7</v>
      </c>
      <c r="M98" s="52">
        <v>216.12</v>
      </c>
      <c r="N98" s="52">
        <v>219.55</v>
      </c>
      <c r="O98" s="52">
        <v>208.44</v>
      </c>
      <c r="P98" s="52">
        <v>211.86</v>
      </c>
      <c r="Q98" s="52">
        <v>215.28</v>
      </c>
      <c r="R98" s="52">
        <v>218.7</v>
      </c>
      <c r="S98" s="52">
        <v>157.11000000000001</v>
      </c>
      <c r="T98" s="52">
        <v>153.69</v>
      </c>
      <c r="U98" s="52">
        <v>150.27000000000001</v>
      </c>
      <c r="V98" s="52">
        <v>146.85</v>
      </c>
      <c r="W98" s="52">
        <v>143.43</v>
      </c>
      <c r="X98" s="485">
        <v>94</v>
      </c>
      <c r="Y98" s="489">
        <v>110.58</v>
      </c>
      <c r="Z98" s="489">
        <v>112.99</v>
      </c>
      <c r="AA98" s="489">
        <v>115.41</v>
      </c>
      <c r="AB98" s="489">
        <v>117.82</v>
      </c>
      <c r="AC98" s="489">
        <v>120.24</v>
      </c>
      <c r="AD98" s="299">
        <v>122.65</v>
      </c>
      <c r="AE98" s="299">
        <v>125.07</v>
      </c>
      <c r="AF98" s="299">
        <v>127.49</v>
      </c>
      <c r="AG98" s="300">
        <v>129.9</v>
      </c>
      <c r="AH98" s="301">
        <v>132.32</v>
      </c>
      <c r="AI98" s="301">
        <v>134.72999999999999</v>
      </c>
      <c r="AJ98" s="626">
        <v>137.15</v>
      </c>
      <c r="AK98" s="490">
        <v>139.56</v>
      </c>
      <c r="AL98" s="482">
        <v>141.97999999999999</v>
      </c>
      <c r="AM98" s="491">
        <v>144.4</v>
      </c>
      <c r="AN98" s="646">
        <v>146.81</v>
      </c>
      <c r="AO98" s="52">
        <v>149.22999999999999</v>
      </c>
      <c r="AP98" s="52">
        <v>151.63999999999999</v>
      </c>
      <c r="AQ98" s="52">
        <v>154.06</v>
      </c>
      <c r="AR98" s="52">
        <v>156.47999999999999</v>
      </c>
      <c r="AS98" s="52">
        <v>158.88999999999999</v>
      </c>
      <c r="AT98" s="52">
        <v>93.86</v>
      </c>
      <c r="AU98" s="52">
        <v>91.44</v>
      </c>
    </row>
    <row r="99" spans="1:47">
      <c r="A99" s="489">
        <v>176.81</v>
      </c>
      <c r="B99" s="300">
        <v>213.93</v>
      </c>
      <c r="C99" s="301">
        <v>217.39</v>
      </c>
      <c r="D99" s="301">
        <v>220.85</v>
      </c>
      <c r="E99" s="621">
        <v>224.31</v>
      </c>
      <c r="F99" s="490">
        <v>194.1</v>
      </c>
      <c r="G99" s="490">
        <v>197.56</v>
      </c>
      <c r="H99" s="491">
        <v>201.02</v>
      </c>
      <c r="I99" s="52">
        <v>204.48</v>
      </c>
      <c r="J99" s="52">
        <v>207.94</v>
      </c>
      <c r="K99" s="52">
        <v>211.39</v>
      </c>
      <c r="L99" s="52">
        <v>214.85</v>
      </c>
      <c r="M99" s="52">
        <v>218.31</v>
      </c>
      <c r="N99" s="52">
        <v>221.77</v>
      </c>
      <c r="O99" s="52">
        <v>210.57</v>
      </c>
      <c r="P99" s="52">
        <v>214.03</v>
      </c>
      <c r="Q99" s="52">
        <v>217.48</v>
      </c>
      <c r="R99" s="52">
        <v>220.94</v>
      </c>
      <c r="S99" s="52">
        <v>158.69999999999999</v>
      </c>
      <c r="T99" s="52">
        <v>155.24</v>
      </c>
      <c r="U99" s="52">
        <v>151.78</v>
      </c>
      <c r="V99" s="52">
        <v>148.32</v>
      </c>
      <c r="W99" s="52">
        <v>144.87</v>
      </c>
      <c r="X99" s="485">
        <v>95</v>
      </c>
      <c r="Y99" s="489">
        <v>111.76</v>
      </c>
      <c r="Z99" s="489">
        <v>114.2</v>
      </c>
      <c r="AA99" s="489">
        <v>116.64</v>
      </c>
      <c r="AB99" s="489">
        <v>119.08</v>
      </c>
      <c r="AC99" s="489">
        <v>121.52</v>
      </c>
      <c r="AD99" s="299">
        <v>123.96</v>
      </c>
      <c r="AE99" s="299">
        <v>126.4</v>
      </c>
      <c r="AF99" s="299">
        <v>128.85</v>
      </c>
      <c r="AG99" s="300">
        <v>131.29</v>
      </c>
      <c r="AH99" s="301">
        <v>133.72999999999999</v>
      </c>
      <c r="AI99" s="301">
        <v>136.16999999999999</v>
      </c>
      <c r="AJ99" s="626">
        <v>138.61000000000001</v>
      </c>
      <c r="AK99" s="490">
        <v>141.05000000000001</v>
      </c>
      <c r="AL99" s="482">
        <v>143.5</v>
      </c>
      <c r="AM99" s="491">
        <v>145.94</v>
      </c>
      <c r="AN99" s="646">
        <v>148.38</v>
      </c>
      <c r="AO99" s="52">
        <v>150.82</v>
      </c>
      <c r="AP99" s="52">
        <v>153.26</v>
      </c>
      <c r="AQ99" s="52">
        <v>155.69999999999999</v>
      </c>
      <c r="AR99" s="52">
        <v>158.13999999999999</v>
      </c>
      <c r="AS99" s="52">
        <v>160.59</v>
      </c>
      <c r="AT99" s="52">
        <v>94.86</v>
      </c>
      <c r="AU99" s="52">
        <v>92.42</v>
      </c>
    </row>
    <row r="100" spans="1:47">
      <c r="A100" s="489">
        <v>178.68</v>
      </c>
      <c r="B100" s="300">
        <v>216.19</v>
      </c>
      <c r="C100" s="301">
        <v>219.69</v>
      </c>
      <c r="D100" s="301">
        <v>223.18</v>
      </c>
      <c r="E100" s="621">
        <v>226.68</v>
      </c>
      <c r="F100" s="490">
        <v>196.16</v>
      </c>
      <c r="G100" s="490">
        <v>199.65</v>
      </c>
      <c r="H100" s="491">
        <v>203.14</v>
      </c>
      <c r="I100" s="52">
        <v>206.64</v>
      </c>
      <c r="J100" s="52">
        <v>210.13</v>
      </c>
      <c r="K100" s="52">
        <v>213.63</v>
      </c>
      <c r="L100" s="52">
        <v>217.12</v>
      </c>
      <c r="M100" s="52">
        <v>220.62</v>
      </c>
      <c r="N100" s="52">
        <v>224.11</v>
      </c>
      <c r="O100" s="52">
        <v>212.79</v>
      </c>
      <c r="P100" s="52">
        <v>216.29</v>
      </c>
      <c r="Q100" s="52">
        <v>219.78</v>
      </c>
      <c r="R100" s="52">
        <v>223.27</v>
      </c>
      <c r="S100" s="52">
        <v>160.38</v>
      </c>
      <c r="T100" s="52">
        <v>156.88</v>
      </c>
      <c r="U100" s="52">
        <v>153.38999999999999</v>
      </c>
      <c r="V100" s="52">
        <v>149.88999999999999</v>
      </c>
      <c r="W100" s="52">
        <v>146.4</v>
      </c>
      <c r="X100" s="485">
        <v>96</v>
      </c>
      <c r="Y100" s="489">
        <v>112.94</v>
      </c>
      <c r="Z100" s="489">
        <v>115.41</v>
      </c>
      <c r="AA100" s="489">
        <v>117.87</v>
      </c>
      <c r="AB100" s="489">
        <v>120.34</v>
      </c>
      <c r="AC100" s="489">
        <v>122.81</v>
      </c>
      <c r="AD100" s="299">
        <v>125.27</v>
      </c>
      <c r="AE100" s="299">
        <v>127.74</v>
      </c>
      <c r="AF100" s="299">
        <v>130.21</v>
      </c>
      <c r="AG100" s="300">
        <v>132.68</v>
      </c>
      <c r="AH100" s="301">
        <v>135.13999999999999</v>
      </c>
      <c r="AI100" s="301">
        <v>137.61000000000001</v>
      </c>
      <c r="AJ100" s="626">
        <v>140.08000000000001</v>
      </c>
      <c r="AK100" s="490">
        <v>142.55000000000001</v>
      </c>
      <c r="AL100" s="482">
        <v>145.01</v>
      </c>
      <c r="AM100" s="491">
        <v>147.47999999999999</v>
      </c>
      <c r="AN100" s="646">
        <v>149.94999999999999</v>
      </c>
      <c r="AO100" s="52">
        <v>152.41</v>
      </c>
      <c r="AP100" s="52">
        <v>154.88</v>
      </c>
      <c r="AQ100" s="52">
        <v>157.35</v>
      </c>
      <c r="AR100" s="52">
        <v>159.82</v>
      </c>
      <c r="AS100" s="52">
        <v>162.28</v>
      </c>
      <c r="AT100" s="52">
        <v>95.86</v>
      </c>
      <c r="AU100" s="52">
        <v>93.4</v>
      </c>
    </row>
    <row r="101" spans="1:47">
      <c r="A101" s="489">
        <v>180.56</v>
      </c>
      <c r="B101" s="300">
        <v>218.47</v>
      </c>
      <c r="C101" s="301">
        <v>222</v>
      </c>
      <c r="D101" s="301">
        <v>225.53</v>
      </c>
      <c r="E101" s="621">
        <v>229.06</v>
      </c>
      <c r="F101" s="490">
        <v>198.21</v>
      </c>
      <c r="G101" s="490">
        <v>201.75</v>
      </c>
      <c r="H101" s="491">
        <v>205.28</v>
      </c>
      <c r="I101" s="52">
        <v>208.81</v>
      </c>
      <c r="J101" s="52">
        <v>212.34</v>
      </c>
      <c r="K101" s="52">
        <v>215.87</v>
      </c>
      <c r="L101" s="52">
        <v>219.4</v>
      </c>
      <c r="M101" s="52">
        <v>222.93</v>
      </c>
      <c r="N101" s="52">
        <v>226.46</v>
      </c>
      <c r="O101" s="52">
        <v>215.02</v>
      </c>
      <c r="P101" s="52">
        <v>218.55</v>
      </c>
      <c r="Q101" s="52">
        <v>222.08</v>
      </c>
      <c r="R101" s="52">
        <v>225.61</v>
      </c>
      <c r="S101" s="52">
        <v>162.06</v>
      </c>
      <c r="T101" s="52">
        <v>158.53</v>
      </c>
      <c r="U101" s="52">
        <v>155</v>
      </c>
      <c r="V101" s="52">
        <v>151.47</v>
      </c>
      <c r="W101" s="52">
        <v>147.94</v>
      </c>
      <c r="X101" s="485">
        <v>97</v>
      </c>
      <c r="Y101" s="489">
        <v>114.08</v>
      </c>
      <c r="Z101" s="489">
        <v>116.57</v>
      </c>
      <c r="AA101" s="489">
        <v>119.07</v>
      </c>
      <c r="AB101" s="489">
        <v>121.59</v>
      </c>
      <c r="AC101" s="489">
        <v>124.05</v>
      </c>
      <c r="AD101" s="299">
        <v>126.55</v>
      </c>
      <c r="AE101" s="299">
        <v>129.04</v>
      </c>
      <c r="AF101" s="299">
        <v>131.53</v>
      </c>
      <c r="AG101" s="300">
        <v>134.02000000000001</v>
      </c>
      <c r="AH101" s="301">
        <v>136.52000000000001</v>
      </c>
      <c r="AI101" s="301">
        <v>139.01</v>
      </c>
      <c r="AJ101" s="626">
        <v>141.5</v>
      </c>
      <c r="AK101" s="490">
        <v>144</v>
      </c>
      <c r="AL101" s="482">
        <v>146.49</v>
      </c>
      <c r="AM101" s="491">
        <v>148.97999999999999</v>
      </c>
      <c r="AN101" s="646">
        <v>151.47</v>
      </c>
      <c r="AO101" s="52">
        <v>153.97</v>
      </c>
      <c r="AP101" s="52">
        <v>156.46</v>
      </c>
      <c r="AQ101" s="52">
        <v>158.94999999999999</v>
      </c>
      <c r="AR101" s="52">
        <v>161.44999999999999</v>
      </c>
      <c r="AS101" s="52">
        <v>163.94</v>
      </c>
      <c r="AT101" s="52">
        <v>96.84</v>
      </c>
      <c r="AU101" s="52">
        <v>94.35</v>
      </c>
    </row>
    <row r="102" spans="1:47">
      <c r="A102" s="489">
        <v>182.45</v>
      </c>
      <c r="B102" s="300">
        <v>220.75</v>
      </c>
      <c r="C102" s="301">
        <v>224.32</v>
      </c>
      <c r="D102" s="301">
        <v>227.89</v>
      </c>
      <c r="E102" s="621">
        <v>231.45</v>
      </c>
      <c r="F102" s="490">
        <v>200.28</v>
      </c>
      <c r="G102" s="490">
        <v>203.85</v>
      </c>
      <c r="H102" s="491">
        <v>207.42</v>
      </c>
      <c r="I102" s="52">
        <v>210.98</v>
      </c>
      <c r="J102" s="52">
        <v>214.55</v>
      </c>
      <c r="K102" s="52">
        <v>218.12</v>
      </c>
      <c r="L102" s="52">
        <v>221.69</v>
      </c>
      <c r="M102" s="52">
        <v>225.25</v>
      </c>
      <c r="N102" s="52">
        <v>228.82</v>
      </c>
      <c r="O102" s="52">
        <v>217.26</v>
      </c>
      <c r="P102" s="52">
        <v>220.82</v>
      </c>
      <c r="Q102" s="52">
        <v>224.39</v>
      </c>
      <c r="R102" s="52">
        <v>227.96</v>
      </c>
      <c r="S102" s="52">
        <v>163.75</v>
      </c>
      <c r="T102" s="52">
        <v>160.18</v>
      </c>
      <c r="U102" s="52">
        <v>156.61000000000001</v>
      </c>
      <c r="V102" s="52">
        <v>153.05000000000001</v>
      </c>
      <c r="W102" s="52">
        <v>149.47999999999999</v>
      </c>
      <c r="X102" s="485">
        <v>98</v>
      </c>
      <c r="Y102" s="489">
        <v>115.27</v>
      </c>
      <c r="Z102" s="489">
        <v>117.79</v>
      </c>
      <c r="AA102" s="489">
        <v>120.31</v>
      </c>
      <c r="AB102" s="489">
        <v>122.82</v>
      </c>
      <c r="AC102" s="489">
        <v>125.34</v>
      </c>
      <c r="AD102" s="299">
        <v>127.86</v>
      </c>
      <c r="AE102" s="299">
        <v>130.38</v>
      </c>
      <c r="AF102" s="299">
        <v>132.9</v>
      </c>
      <c r="AG102" s="300">
        <v>135.41999999999999</v>
      </c>
      <c r="AH102" s="301">
        <v>137.94</v>
      </c>
      <c r="AI102" s="301">
        <v>140.44999999999999</v>
      </c>
      <c r="AJ102" s="626">
        <v>142.97</v>
      </c>
      <c r="AK102" s="490">
        <v>145.49</v>
      </c>
      <c r="AL102" s="482">
        <v>148.01</v>
      </c>
      <c r="AM102" s="491">
        <v>150.53</v>
      </c>
      <c r="AN102" s="646">
        <v>153.05000000000001</v>
      </c>
      <c r="AO102" s="52">
        <v>155.57</v>
      </c>
      <c r="AP102" s="52">
        <v>158.09</v>
      </c>
      <c r="AQ102" s="52">
        <v>160.6</v>
      </c>
      <c r="AR102" s="52">
        <v>163.12</v>
      </c>
      <c r="AS102" s="52">
        <v>165.64</v>
      </c>
      <c r="AT102" s="52">
        <v>97.85</v>
      </c>
      <c r="AU102" s="52">
        <v>95.33</v>
      </c>
    </row>
    <row r="103" spans="1:47">
      <c r="A103" s="489">
        <v>184.34</v>
      </c>
      <c r="B103" s="300">
        <v>223.05</v>
      </c>
      <c r="C103" s="301">
        <v>226.65</v>
      </c>
      <c r="D103" s="301">
        <v>230.25</v>
      </c>
      <c r="E103" s="621">
        <v>233.86</v>
      </c>
      <c r="F103" s="490">
        <v>202.36</v>
      </c>
      <c r="G103" s="490">
        <v>205.96</v>
      </c>
      <c r="H103" s="491">
        <v>209.56</v>
      </c>
      <c r="I103" s="52">
        <v>213.17</v>
      </c>
      <c r="J103" s="52">
        <v>216.77</v>
      </c>
      <c r="K103" s="52">
        <v>220.38</v>
      </c>
      <c r="L103" s="52">
        <v>223.98</v>
      </c>
      <c r="M103" s="52">
        <v>227.58</v>
      </c>
      <c r="N103" s="52">
        <v>231.19</v>
      </c>
      <c r="O103" s="52">
        <v>219.5</v>
      </c>
      <c r="P103" s="52">
        <v>223.1</v>
      </c>
      <c r="Q103" s="52">
        <v>226.7</v>
      </c>
      <c r="R103" s="52">
        <v>230.31</v>
      </c>
      <c r="S103" s="52">
        <v>165.44</v>
      </c>
      <c r="T103" s="52">
        <v>164.84</v>
      </c>
      <c r="U103" s="52">
        <v>158.24</v>
      </c>
      <c r="V103" s="52">
        <v>154.63</v>
      </c>
      <c r="W103" s="52">
        <v>151.03</v>
      </c>
      <c r="X103" s="485">
        <v>99</v>
      </c>
      <c r="Y103" s="489">
        <v>116.41</v>
      </c>
      <c r="Z103" s="489">
        <v>118.96</v>
      </c>
      <c r="AA103" s="489">
        <v>121.5</v>
      </c>
      <c r="AB103" s="489">
        <v>124.05</v>
      </c>
      <c r="AC103" s="489">
        <v>126.59</v>
      </c>
      <c r="AD103" s="299">
        <v>129.13999999999999</v>
      </c>
      <c r="AE103" s="299">
        <v>131.68</v>
      </c>
      <c r="AF103" s="299">
        <v>134.22</v>
      </c>
      <c r="AG103" s="300">
        <v>136.77000000000001</v>
      </c>
      <c r="AH103" s="301">
        <v>139.31</v>
      </c>
      <c r="AI103" s="301">
        <v>141.86000000000001</v>
      </c>
      <c r="AJ103" s="626">
        <v>144.4</v>
      </c>
      <c r="AK103" s="490">
        <v>146.94999999999999</v>
      </c>
      <c r="AL103" s="482">
        <v>149.49</v>
      </c>
      <c r="AM103" s="491">
        <v>152.03</v>
      </c>
      <c r="AN103" s="646">
        <v>154.58000000000001</v>
      </c>
      <c r="AO103" s="52">
        <v>157.12</v>
      </c>
      <c r="AP103" s="52">
        <v>159.66999999999999</v>
      </c>
      <c r="AQ103" s="52">
        <v>162.21</v>
      </c>
      <c r="AR103" s="52">
        <v>164.76</v>
      </c>
      <c r="AS103" s="52">
        <v>167.3</v>
      </c>
      <c r="AT103" s="52">
        <v>98.83</v>
      </c>
      <c r="AU103" s="52">
        <v>96.28</v>
      </c>
    </row>
    <row r="104" spans="1:47">
      <c r="A104" s="489">
        <v>186.11</v>
      </c>
      <c r="B104" s="300">
        <v>225.18</v>
      </c>
      <c r="C104" s="301">
        <v>228.82</v>
      </c>
      <c r="D104" s="301">
        <v>232.46</v>
      </c>
      <c r="E104" s="621">
        <v>236.1</v>
      </c>
      <c r="F104" s="490">
        <v>204.31</v>
      </c>
      <c r="G104" s="490">
        <v>207.95</v>
      </c>
      <c r="H104" s="491">
        <v>211.59</v>
      </c>
      <c r="I104" s="52">
        <v>215.23</v>
      </c>
      <c r="J104" s="52">
        <v>218.87</v>
      </c>
      <c r="K104" s="52">
        <v>222.51</v>
      </c>
      <c r="L104" s="52">
        <v>226.15</v>
      </c>
      <c r="M104" s="52">
        <v>229.79</v>
      </c>
      <c r="N104" s="52">
        <v>233.43</v>
      </c>
      <c r="O104" s="52">
        <v>221.65</v>
      </c>
      <c r="P104" s="52">
        <v>225.29</v>
      </c>
      <c r="Q104" s="52">
        <v>228.93</v>
      </c>
      <c r="R104" s="52">
        <v>232.57</v>
      </c>
      <c r="S104" s="52">
        <v>167.05</v>
      </c>
      <c r="T104" s="52">
        <v>163.41</v>
      </c>
      <c r="U104" s="52">
        <v>159.77000000000001</v>
      </c>
      <c r="V104" s="52">
        <v>156.13</v>
      </c>
      <c r="W104" s="52">
        <v>152.49</v>
      </c>
      <c r="X104" s="485">
        <v>100</v>
      </c>
      <c r="Y104" s="489">
        <v>117.61</v>
      </c>
      <c r="Z104" s="489">
        <v>120.18</v>
      </c>
      <c r="AA104" s="489">
        <v>122.75</v>
      </c>
      <c r="AB104" s="489">
        <v>125.32</v>
      </c>
      <c r="AC104" s="489">
        <v>127.89</v>
      </c>
      <c r="AD104" s="299">
        <v>130.46</v>
      </c>
      <c r="AE104" s="299">
        <v>133.03</v>
      </c>
      <c r="AF104" s="299">
        <v>135.6</v>
      </c>
      <c r="AG104" s="300">
        <v>138.16999999999999</v>
      </c>
      <c r="AH104" s="301">
        <v>140.74</v>
      </c>
      <c r="AI104" s="301">
        <v>143.31</v>
      </c>
      <c r="AJ104" s="626">
        <v>145.88</v>
      </c>
      <c r="AK104" s="490">
        <v>148.44999999999999</v>
      </c>
      <c r="AL104" s="482">
        <v>151.02000000000001</v>
      </c>
      <c r="AM104" s="491">
        <v>153.59</v>
      </c>
      <c r="AN104" s="646">
        <v>156.16</v>
      </c>
      <c r="AO104" s="52">
        <v>158.72999999999999</v>
      </c>
      <c r="AP104" s="52">
        <v>161.30000000000001</v>
      </c>
      <c r="AQ104" s="52">
        <v>163.87</v>
      </c>
      <c r="AR104" s="52">
        <v>166.44</v>
      </c>
      <c r="AS104" s="52">
        <v>169.01</v>
      </c>
      <c r="AT104" s="52">
        <v>99.84</v>
      </c>
      <c r="AU104" s="52">
        <v>97.27</v>
      </c>
    </row>
    <row r="105" spans="1:47">
      <c r="A105" s="489">
        <v>188.02</v>
      </c>
      <c r="B105" s="300">
        <v>227.5</v>
      </c>
      <c r="C105" s="301">
        <v>231.17</v>
      </c>
      <c r="D105" s="301">
        <v>234.85</v>
      </c>
      <c r="E105" s="621">
        <v>238.53</v>
      </c>
      <c r="F105" s="490">
        <v>206.4</v>
      </c>
      <c r="G105" s="490">
        <v>210.08</v>
      </c>
      <c r="H105" s="491">
        <v>213.76</v>
      </c>
      <c r="I105" s="52">
        <v>217.43</v>
      </c>
      <c r="J105" s="52">
        <v>221.11</v>
      </c>
      <c r="K105" s="52">
        <v>224.78</v>
      </c>
      <c r="L105" s="52">
        <v>228.46</v>
      </c>
      <c r="M105" s="52">
        <v>232.14</v>
      </c>
      <c r="N105" s="52">
        <v>235.81</v>
      </c>
      <c r="O105" s="52">
        <v>223.9</v>
      </c>
      <c r="P105" s="52">
        <v>227.57</v>
      </c>
      <c r="Q105" s="52">
        <v>231.25</v>
      </c>
      <c r="R105" s="52">
        <v>234.93</v>
      </c>
      <c r="S105" s="52">
        <v>168.75</v>
      </c>
      <c r="T105" s="52">
        <v>165.08</v>
      </c>
      <c r="U105" s="52">
        <v>161.4</v>
      </c>
      <c r="V105" s="52">
        <v>157.72</v>
      </c>
      <c r="W105" s="52">
        <v>154.05000000000001</v>
      </c>
      <c r="X105" s="485">
        <v>101</v>
      </c>
      <c r="Y105" s="489">
        <v>118.76</v>
      </c>
      <c r="Z105" s="489">
        <v>121.35</v>
      </c>
      <c r="AA105" s="489">
        <v>123.95</v>
      </c>
      <c r="AB105" s="489">
        <v>126.54</v>
      </c>
      <c r="AC105" s="489">
        <v>129.13999999999999</v>
      </c>
      <c r="AD105" s="299">
        <v>131.74</v>
      </c>
      <c r="AE105" s="299">
        <v>134.33000000000001</v>
      </c>
      <c r="AF105" s="299">
        <v>136.93</v>
      </c>
      <c r="AG105" s="300">
        <v>139.52000000000001</v>
      </c>
      <c r="AH105" s="301">
        <v>142.12</v>
      </c>
      <c r="AI105" s="301">
        <v>144.71</v>
      </c>
      <c r="AJ105" s="626">
        <v>147.31</v>
      </c>
      <c r="AK105" s="490">
        <v>149.91</v>
      </c>
      <c r="AL105" s="482">
        <v>152.5</v>
      </c>
      <c r="AM105" s="491">
        <v>155.1</v>
      </c>
      <c r="AN105" s="646">
        <v>157.69</v>
      </c>
      <c r="AO105" s="52">
        <v>160.29</v>
      </c>
      <c r="AP105" s="52">
        <v>162.88</v>
      </c>
      <c r="AQ105" s="52">
        <v>165.48</v>
      </c>
      <c r="AR105" s="52">
        <v>168.07</v>
      </c>
      <c r="AS105" s="52">
        <v>170.67</v>
      </c>
      <c r="AT105" s="52">
        <v>100.82</v>
      </c>
      <c r="AU105" s="52">
        <v>98.22</v>
      </c>
    </row>
    <row r="106" spans="1:47">
      <c r="A106" s="489">
        <v>189.8</v>
      </c>
      <c r="B106" s="300">
        <v>229.64</v>
      </c>
      <c r="C106" s="301">
        <v>233.36</v>
      </c>
      <c r="D106" s="301">
        <v>237.07</v>
      </c>
      <c r="E106" s="621">
        <v>240.78</v>
      </c>
      <c r="F106" s="490">
        <v>208.37</v>
      </c>
      <c r="G106" s="490">
        <v>212.08</v>
      </c>
      <c r="H106" s="491">
        <v>215.79</v>
      </c>
      <c r="I106" s="52">
        <v>219.51</v>
      </c>
      <c r="J106" s="52">
        <v>223.22</v>
      </c>
      <c r="K106" s="52">
        <v>226.93</v>
      </c>
      <c r="L106" s="52">
        <v>230.65</v>
      </c>
      <c r="M106" s="52">
        <v>234.36</v>
      </c>
      <c r="N106" s="52">
        <v>238.07</v>
      </c>
      <c r="O106" s="52">
        <v>226.05</v>
      </c>
      <c r="P106" s="52">
        <v>229.77</v>
      </c>
      <c r="Q106" s="52">
        <v>233.48</v>
      </c>
      <c r="R106" s="52">
        <v>237.19</v>
      </c>
      <c r="S106" s="52">
        <v>170.36</v>
      </c>
      <c r="T106" s="52">
        <v>166.65</v>
      </c>
      <c r="U106" s="52">
        <v>162.94</v>
      </c>
      <c r="V106" s="52">
        <v>159.22</v>
      </c>
      <c r="W106" s="52">
        <v>155.51</v>
      </c>
      <c r="X106" s="485">
        <v>102</v>
      </c>
      <c r="Y106" s="489">
        <v>119.95</v>
      </c>
      <c r="Z106" s="489">
        <v>122.58</v>
      </c>
      <c r="AA106" s="489">
        <v>125.2</v>
      </c>
      <c r="AB106" s="489">
        <v>127.82</v>
      </c>
      <c r="AC106" s="489">
        <v>130.44</v>
      </c>
      <c r="AD106" s="299">
        <v>133.06</v>
      </c>
      <c r="AE106" s="299">
        <v>135.68</v>
      </c>
      <c r="AF106" s="299">
        <v>138.30000000000001</v>
      </c>
      <c r="AG106" s="300">
        <v>140.93</v>
      </c>
      <c r="AH106" s="301">
        <v>143.55000000000001</v>
      </c>
      <c r="AI106" s="301">
        <v>146.16999999999999</v>
      </c>
      <c r="AJ106" s="626">
        <v>148.79</v>
      </c>
      <c r="AK106" s="490">
        <v>151.41</v>
      </c>
      <c r="AL106" s="482">
        <v>154.03</v>
      </c>
      <c r="AM106" s="491">
        <v>156.65</v>
      </c>
      <c r="AN106" s="646">
        <v>159.28</v>
      </c>
      <c r="AO106" s="52">
        <v>161.9</v>
      </c>
      <c r="AP106" s="52">
        <v>164.52</v>
      </c>
      <c r="AQ106" s="52">
        <v>167.14</v>
      </c>
      <c r="AR106" s="52">
        <v>169.76</v>
      </c>
      <c r="AS106" s="52">
        <v>172.38</v>
      </c>
      <c r="AT106" s="52">
        <v>101.83</v>
      </c>
      <c r="AU106" s="52">
        <v>99.21</v>
      </c>
    </row>
    <row r="107" spans="1:47">
      <c r="A107" s="489">
        <v>191.73</v>
      </c>
      <c r="B107" s="300">
        <v>231.98</v>
      </c>
      <c r="C107" s="301">
        <v>235.73</v>
      </c>
      <c r="D107" s="301">
        <v>239.48</v>
      </c>
      <c r="E107" s="621">
        <v>243.23</v>
      </c>
      <c r="F107" s="490">
        <v>210.47</v>
      </c>
      <c r="G107" s="490">
        <v>214.22</v>
      </c>
      <c r="H107" s="491">
        <v>217.97</v>
      </c>
      <c r="I107" s="52">
        <v>221.72</v>
      </c>
      <c r="J107" s="52">
        <v>225.47</v>
      </c>
      <c r="K107" s="52">
        <v>229.22</v>
      </c>
      <c r="L107" s="52">
        <v>232.97</v>
      </c>
      <c r="M107" s="52">
        <v>236.72</v>
      </c>
      <c r="N107" s="52">
        <v>240.47</v>
      </c>
      <c r="O107" s="52">
        <v>228.32</v>
      </c>
      <c r="P107" s="52">
        <v>232.07</v>
      </c>
      <c r="Q107" s="52">
        <v>235.82</v>
      </c>
      <c r="R107" s="52">
        <v>239.57</v>
      </c>
      <c r="S107" s="52">
        <v>172.08</v>
      </c>
      <c r="T107" s="52">
        <v>168.33</v>
      </c>
      <c r="U107" s="52">
        <v>164.58</v>
      </c>
      <c r="V107" s="52">
        <v>160.83000000000001</v>
      </c>
      <c r="W107" s="52">
        <v>157.08000000000001</v>
      </c>
      <c r="X107" s="485">
        <v>103</v>
      </c>
      <c r="Y107" s="489">
        <v>121.11</v>
      </c>
      <c r="Z107" s="489">
        <v>123.75</v>
      </c>
      <c r="AA107" s="489">
        <v>126.4</v>
      </c>
      <c r="AB107" s="489">
        <v>129.05000000000001</v>
      </c>
      <c r="AC107" s="489">
        <v>131.69999999999999</v>
      </c>
      <c r="AD107" s="299">
        <v>134.34</v>
      </c>
      <c r="AE107" s="299">
        <v>136.99</v>
      </c>
      <c r="AF107" s="299">
        <v>139.63999999999999</v>
      </c>
      <c r="AG107" s="300">
        <v>142.28</v>
      </c>
      <c r="AH107" s="301">
        <v>144.93</v>
      </c>
      <c r="AI107" s="301">
        <v>147.58000000000001</v>
      </c>
      <c r="AJ107" s="626">
        <v>150.22999999999999</v>
      </c>
      <c r="AK107" s="490">
        <v>152.87</v>
      </c>
      <c r="AL107" s="482">
        <v>155.52000000000001</v>
      </c>
      <c r="AM107" s="491">
        <v>158.16999999999999</v>
      </c>
      <c r="AN107" s="646">
        <v>160.81</v>
      </c>
      <c r="AO107" s="52">
        <v>163.46</v>
      </c>
      <c r="AP107" s="52">
        <v>166.11</v>
      </c>
      <c r="AQ107" s="52">
        <v>168.76</v>
      </c>
      <c r="AR107" s="52">
        <v>171.4</v>
      </c>
      <c r="AS107" s="52">
        <v>174.05</v>
      </c>
      <c r="AT107" s="52">
        <v>102.81</v>
      </c>
      <c r="AU107" s="52">
        <v>100.17</v>
      </c>
    </row>
    <row r="108" spans="1:47">
      <c r="A108" s="489">
        <v>193.52</v>
      </c>
      <c r="B108" s="300">
        <v>234.14</v>
      </c>
      <c r="C108" s="301">
        <v>237.93</v>
      </c>
      <c r="D108" s="301">
        <v>241.71</v>
      </c>
      <c r="E108" s="621">
        <v>245.5</v>
      </c>
      <c r="F108" s="490">
        <v>212.45</v>
      </c>
      <c r="G108" s="490">
        <v>216.23</v>
      </c>
      <c r="H108" s="491">
        <v>220.02</v>
      </c>
      <c r="I108" s="52">
        <v>223.81</v>
      </c>
      <c r="J108" s="52">
        <v>227.59</v>
      </c>
      <c r="K108" s="52">
        <v>231.38</v>
      </c>
      <c r="L108" s="52">
        <v>235.16</v>
      </c>
      <c r="M108" s="52">
        <v>238.95</v>
      </c>
      <c r="N108" s="52">
        <v>242.73</v>
      </c>
      <c r="O108" s="52">
        <v>230.48</v>
      </c>
      <c r="P108" s="52">
        <v>234.27</v>
      </c>
      <c r="Q108" s="52">
        <v>238.05</v>
      </c>
      <c r="R108" s="52">
        <v>241.84</v>
      </c>
      <c r="S108" s="52">
        <v>173.7</v>
      </c>
      <c r="T108" s="52">
        <v>169.91</v>
      </c>
      <c r="U108" s="52">
        <v>166.13</v>
      </c>
      <c r="V108" s="52">
        <v>162.34</v>
      </c>
      <c r="W108" s="52">
        <v>158.56</v>
      </c>
      <c r="X108" s="485">
        <v>104</v>
      </c>
      <c r="Y108" s="489">
        <v>122.26</v>
      </c>
      <c r="Z108" s="489">
        <v>124.93</v>
      </c>
      <c r="AA108" s="489">
        <v>127.61</v>
      </c>
      <c r="AB108" s="489">
        <v>130.28</v>
      </c>
      <c r="AC108" s="489">
        <v>132.94999999999999</v>
      </c>
      <c r="AD108" s="299">
        <v>135.63</v>
      </c>
      <c r="AE108" s="299">
        <v>138.30000000000001</v>
      </c>
      <c r="AF108" s="299">
        <v>140.97</v>
      </c>
      <c r="AG108" s="300">
        <v>143.63999999999999</v>
      </c>
      <c r="AH108" s="301">
        <v>146.32</v>
      </c>
      <c r="AI108" s="301">
        <v>148.99</v>
      </c>
      <c r="AJ108" s="626">
        <v>151.66</v>
      </c>
      <c r="AK108" s="490">
        <v>154.34</v>
      </c>
      <c r="AL108" s="482">
        <v>157.01</v>
      </c>
      <c r="AM108" s="491">
        <v>159.68</v>
      </c>
      <c r="AN108" s="646">
        <v>162.35</v>
      </c>
      <c r="AO108" s="52">
        <v>165.03</v>
      </c>
      <c r="AP108" s="52">
        <v>167.7</v>
      </c>
      <c r="AQ108" s="52">
        <v>170.37</v>
      </c>
      <c r="AR108" s="52">
        <v>173.05</v>
      </c>
      <c r="AS108" s="52">
        <v>175.72</v>
      </c>
      <c r="AT108" s="52">
        <v>103.8</v>
      </c>
      <c r="AU108" s="52">
        <v>101.12</v>
      </c>
    </row>
    <row r="109" spans="1:47">
      <c r="A109" s="489">
        <v>195.46</v>
      </c>
      <c r="B109" s="300">
        <v>236.5</v>
      </c>
      <c r="C109" s="301">
        <v>240.32</v>
      </c>
      <c r="D109" s="301">
        <v>244.14</v>
      </c>
      <c r="E109" s="621">
        <v>247.96</v>
      </c>
      <c r="F109" s="490">
        <v>214.57</v>
      </c>
      <c r="G109" s="490">
        <v>218.39</v>
      </c>
      <c r="H109" s="491">
        <v>222.21</v>
      </c>
      <c r="I109" s="52">
        <v>226.04</v>
      </c>
      <c r="J109" s="52">
        <v>229.86</v>
      </c>
      <c r="K109" s="52">
        <v>233.68</v>
      </c>
      <c r="L109" s="52">
        <v>237.5</v>
      </c>
      <c r="M109" s="52">
        <v>241.32</v>
      </c>
      <c r="N109" s="52">
        <v>245.15</v>
      </c>
      <c r="O109" s="52">
        <v>232.76</v>
      </c>
      <c r="P109" s="52">
        <v>236.58</v>
      </c>
      <c r="Q109" s="52">
        <v>240.4</v>
      </c>
      <c r="R109" s="52">
        <v>244.23</v>
      </c>
      <c r="S109" s="52">
        <v>175.43</v>
      </c>
      <c r="T109" s="52">
        <v>171.61</v>
      </c>
      <c r="U109" s="52">
        <v>167.79</v>
      </c>
      <c r="V109" s="52">
        <v>163.96</v>
      </c>
      <c r="W109" s="52">
        <v>160.13999999999999</v>
      </c>
      <c r="X109" s="485">
        <v>105</v>
      </c>
      <c r="Y109" s="489">
        <v>123.47</v>
      </c>
      <c r="Z109" s="489">
        <v>126.17</v>
      </c>
      <c r="AA109" s="489">
        <v>128.87</v>
      </c>
      <c r="AB109" s="489">
        <v>131.56</v>
      </c>
      <c r="AC109" s="489">
        <v>134.26</v>
      </c>
      <c r="AD109" s="299">
        <v>136.96</v>
      </c>
      <c r="AE109" s="299">
        <v>139.66</v>
      </c>
      <c r="AF109" s="299">
        <v>142.36000000000001</v>
      </c>
      <c r="AG109" s="300">
        <v>145.06</v>
      </c>
      <c r="AH109" s="301">
        <v>147.76</v>
      </c>
      <c r="AI109" s="301">
        <v>150.44999999999999</v>
      </c>
      <c r="AJ109" s="626">
        <v>153.15</v>
      </c>
      <c r="AK109" s="490">
        <v>155.85</v>
      </c>
      <c r="AL109" s="482">
        <v>158.55000000000001</v>
      </c>
      <c r="AM109" s="491">
        <v>161.25</v>
      </c>
      <c r="AN109" s="646">
        <v>163.95</v>
      </c>
      <c r="AO109" s="52">
        <v>166.64</v>
      </c>
      <c r="AP109" s="52">
        <v>169.34</v>
      </c>
      <c r="AQ109" s="52">
        <v>172.04</v>
      </c>
      <c r="AR109" s="52">
        <v>174.74</v>
      </c>
      <c r="AS109" s="52">
        <v>177.44</v>
      </c>
      <c r="AT109" s="52">
        <v>104.8</v>
      </c>
      <c r="AU109" s="52">
        <v>102.12</v>
      </c>
    </row>
    <row r="110" spans="1:47">
      <c r="A110" s="489">
        <v>197.26</v>
      </c>
      <c r="B110" s="300">
        <v>238.67</v>
      </c>
      <c r="C110" s="301">
        <v>242.53</v>
      </c>
      <c r="D110" s="301">
        <v>246.39</v>
      </c>
      <c r="E110" s="621">
        <v>250.25</v>
      </c>
      <c r="F110" s="490">
        <v>216.56</v>
      </c>
      <c r="G110" s="490">
        <v>220.41</v>
      </c>
      <c r="H110" s="491">
        <v>224.27</v>
      </c>
      <c r="I110" s="52">
        <v>228.13</v>
      </c>
      <c r="J110" s="52">
        <v>231.99</v>
      </c>
      <c r="K110" s="52">
        <v>235.85</v>
      </c>
      <c r="L110" s="52">
        <v>239.71</v>
      </c>
      <c r="M110" s="52">
        <v>243.56</v>
      </c>
      <c r="N110" s="52">
        <v>247.42</v>
      </c>
      <c r="O110" s="52">
        <v>234.93</v>
      </c>
      <c r="P110" s="52">
        <v>238.79</v>
      </c>
      <c r="Q110" s="52">
        <v>242.65</v>
      </c>
      <c r="R110" s="52">
        <v>246.51</v>
      </c>
      <c r="S110" s="52">
        <v>177.06</v>
      </c>
      <c r="T110" s="52">
        <v>173.2</v>
      </c>
      <c r="U110" s="52">
        <v>169.34</v>
      </c>
      <c r="V110" s="52">
        <v>165.48</v>
      </c>
      <c r="W110" s="52">
        <v>161.62</v>
      </c>
      <c r="X110" s="485">
        <v>106</v>
      </c>
      <c r="Y110" s="489">
        <v>124.63</v>
      </c>
      <c r="Z110" s="489">
        <v>127.35</v>
      </c>
      <c r="AA110" s="489">
        <v>130.08000000000001</v>
      </c>
      <c r="AB110" s="489">
        <v>132.80000000000001</v>
      </c>
      <c r="AC110" s="489">
        <v>135.52000000000001</v>
      </c>
      <c r="AD110" s="299">
        <v>138.25</v>
      </c>
      <c r="AE110" s="299">
        <v>140.97</v>
      </c>
      <c r="AF110" s="299">
        <v>143.69999999999999</v>
      </c>
      <c r="AG110" s="300">
        <v>146.41999999999999</v>
      </c>
      <c r="AH110" s="301">
        <v>149.13999999999999</v>
      </c>
      <c r="AI110" s="301">
        <v>151.87</v>
      </c>
      <c r="AJ110" s="626">
        <v>154.59</v>
      </c>
      <c r="AK110" s="490">
        <v>157.32</v>
      </c>
      <c r="AL110" s="482">
        <v>160.04</v>
      </c>
      <c r="AM110" s="491">
        <v>162.77000000000001</v>
      </c>
      <c r="AN110" s="646">
        <v>165.49</v>
      </c>
      <c r="AO110" s="52">
        <v>168.21</v>
      </c>
      <c r="AP110" s="52">
        <v>170.94</v>
      </c>
      <c r="AQ110" s="52">
        <v>173.66</v>
      </c>
      <c r="AR110" s="52">
        <v>176.39</v>
      </c>
      <c r="AS110" s="52">
        <v>179.11</v>
      </c>
      <c r="AT110" s="52">
        <v>105.8</v>
      </c>
      <c r="AU110" s="52">
        <v>103.08</v>
      </c>
    </row>
    <row r="111" spans="1:47">
      <c r="A111" s="489">
        <v>199.07</v>
      </c>
      <c r="B111" s="300">
        <v>240.85</v>
      </c>
      <c r="C111" s="301">
        <v>244.75</v>
      </c>
      <c r="D111" s="301">
        <v>248.64</v>
      </c>
      <c r="E111" s="621">
        <v>252.54</v>
      </c>
      <c r="F111" s="490">
        <v>218.55</v>
      </c>
      <c r="G111" s="490">
        <v>222.44</v>
      </c>
      <c r="H111" s="491">
        <v>226.34</v>
      </c>
      <c r="I111" s="52">
        <v>230.23</v>
      </c>
      <c r="J111" s="52">
        <v>234.13</v>
      </c>
      <c r="K111" s="52">
        <v>238.02</v>
      </c>
      <c r="L111" s="52">
        <v>241.92</v>
      </c>
      <c r="M111" s="52">
        <v>245.81</v>
      </c>
      <c r="N111" s="52">
        <v>249.71</v>
      </c>
      <c r="O111" s="52">
        <v>237.11</v>
      </c>
      <c r="P111" s="52">
        <v>241</v>
      </c>
      <c r="Q111" s="52">
        <v>244.9</v>
      </c>
      <c r="R111" s="52">
        <v>248.79</v>
      </c>
      <c r="S111" s="52">
        <v>178.69</v>
      </c>
      <c r="T111" s="52">
        <v>174.79</v>
      </c>
      <c r="U111" s="52">
        <v>170.9</v>
      </c>
      <c r="V111" s="52">
        <v>167</v>
      </c>
      <c r="W111" s="52">
        <v>163.11000000000001</v>
      </c>
      <c r="X111" s="485">
        <v>107</v>
      </c>
      <c r="Y111" s="489">
        <v>125.79</v>
      </c>
      <c r="Z111" s="489">
        <v>128.54</v>
      </c>
      <c r="AA111" s="489">
        <v>131.29</v>
      </c>
      <c r="AB111" s="489">
        <v>134.04</v>
      </c>
      <c r="AC111" s="489">
        <v>136.79</v>
      </c>
      <c r="AD111" s="299">
        <v>139.54</v>
      </c>
      <c r="AE111" s="299">
        <v>142.29</v>
      </c>
      <c r="AF111" s="299">
        <v>145.04</v>
      </c>
      <c r="AG111" s="300">
        <v>147.79</v>
      </c>
      <c r="AH111" s="301">
        <v>150.54</v>
      </c>
      <c r="AI111" s="301">
        <v>153.29</v>
      </c>
      <c r="AJ111" s="626">
        <v>156.04</v>
      </c>
      <c r="AK111" s="490">
        <v>158.79</v>
      </c>
      <c r="AL111" s="482">
        <v>161.54</v>
      </c>
      <c r="AM111" s="491">
        <v>164.29</v>
      </c>
      <c r="AN111" s="646">
        <v>167.04</v>
      </c>
      <c r="AO111" s="52">
        <v>169.79</v>
      </c>
      <c r="AP111" s="52">
        <v>172.54</v>
      </c>
      <c r="AQ111" s="52">
        <v>175.29</v>
      </c>
      <c r="AR111" s="52">
        <v>178.04</v>
      </c>
      <c r="AS111" s="52">
        <v>180.79</v>
      </c>
      <c r="AT111" s="52">
        <v>106.79</v>
      </c>
      <c r="AU111" s="52">
        <v>104.04</v>
      </c>
    </row>
    <row r="112" spans="1:47">
      <c r="A112" s="489">
        <v>200.89</v>
      </c>
      <c r="B112" s="300">
        <v>243.04</v>
      </c>
      <c r="C112" s="301">
        <v>246.97</v>
      </c>
      <c r="D112" s="301">
        <v>250.91</v>
      </c>
      <c r="E112" s="621">
        <v>254.84</v>
      </c>
      <c r="F112" s="490">
        <v>220.54</v>
      </c>
      <c r="G112" s="490">
        <v>224.47</v>
      </c>
      <c r="H112" s="491">
        <v>228.41</v>
      </c>
      <c r="I112" s="52">
        <v>232.34</v>
      </c>
      <c r="J112" s="52">
        <v>236.27</v>
      </c>
      <c r="K112" s="52">
        <v>240.2</v>
      </c>
      <c r="L112" s="52">
        <v>244.13</v>
      </c>
      <c r="M112" s="52">
        <v>248.06</v>
      </c>
      <c r="N112" s="52">
        <v>251.99</v>
      </c>
      <c r="O112" s="52">
        <v>239.29</v>
      </c>
      <c r="P112" s="52">
        <v>243.22</v>
      </c>
      <c r="Q112" s="52">
        <v>247.15</v>
      </c>
      <c r="R112" s="52">
        <v>251.08</v>
      </c>
      <c r="S112" s="52">
        <v>180.32</v>
      </c>
      <c r="T112" s="52">
        <v>176.39</v>
      </c>
      <c r="U112" s="52">
        <v>172.46</v>
      </c>
      <c r="V112" s="52">
        <v>168.53</v>
      </c>
      <c r="W112" s="52">
        <v>164.6</v>
      </c>
      <c r="X112" s="485">
        <v>108</v>
      </c>
      <c r="Y112" s="489">
        <v>126.95</v>
      </c>
      <c r="Z112" s="489">
        <v>129.72</v>
      </c>
      <c r="AA112" s="489">
        <v>132.5</v>
      </c>
      <c r="AB112" s="489">
        <v>135.28</v>
      </c>
      <c r="AC112" s="489">
        <v>138.05000000000001</v>
      </c>
      <c r="AD112" s="299">
        <v>140.83000000000001</v>
      </c>
      <c r="AE112" s="299">
        <v>143.6</v>
      </c>
      <c r="AF112" s="299">
        <v>146.38</v>
      </c>
      <c r="AG112" s="300">
        <v>149.15</v>
      </c>
      <c r="AH112" s="301">
        <v>151.93</v>
      </c>
      <c r="AI112" s="301">
        <v>154.69999999999999</v>
      </c>
      <c r="AJ112" s="626">
        <v>157.47999999999999</v>
      </c>
      <c r="AK112" s="490">
        <v>160.26</v>
      </c>
      <c r="AL112" s="482">
        <v>163.03</v>
      </c>
      <c r="AM112" s="491">
        <v>165.81</v>
      </c>
      <c r="AN112" s="646">
        <v>168.58</v>
      </c>
      <c r="AO112" s="52">
        <v>171.36</v>
      </c>
      <c r="AP112" s="52">
        <v>174.13</v>
      </c>
      <c r="AQ112" s="52">
        <v>176.91</v>
      </c>
      <c r="AR112" s="52">
        <v>179.69</v>
      </c>
      <c r="AS112" s="52">
        <v>182.46</v>
      </c>
      <c r="AT112" s="52">
        <v>107.78</v>
      </c>
      <c r="AU112" s="52">
        <v>105</v>
      </c>
    </row>
    <row r="113" spans="1:47">
      <c r="A113" s="489">
        <v>202.86</v>
      </c>
      <c r="B113" s="300">
        <v>245.44</v>
      </c>
      <c r="C113" s="301">
        <v>249.41</v>
      </c>
      <c r="D113" s="301">
        <v>253.37</v>
      </c>
      <c r="E113" s="621">
        <v>257.33999999999997</v>
      </c>
      <c r="F113" s="490">
        <v>222.69</v>
      </c>
      <c r="G113" s="490">
        <v>226.66</v>
      </c>
      <c r="H113" s="491">
        <v>230.63</v>
      </c>
      <c r="I113" s="52">
        <v>234.6</v>
      </c>
      <c r="J113" s="52">
        <v>238.56</v>
      </c>
      <c r="K113" s="52">
        <v>242.53</v>
      </c>
      <c r="L113" s="52">
        <v>246.5</v>
      </c>
      <c r="M113" s="52">
        <v>250.47</v>
      </c>
      <c r="N113" s="52">
        <v>254.44</v>
      </c>
      <c r="O113" s="52">
        <v>241.59</v>
      </c>
      <c r="P113" s="52">
        <v>245.56</v>
      </c>
      <c r="Q113" s="52">
        <v>249.52</v>
      </c>
      <c r="R113" s="52">
        <v>253.49</v>
      </c>
      <c r="S113" s="52">
        <v>182.07</v>
      </c>
      <c r="T113" s="52">
        <v>178.11</v>
      </c>
      <c r="U113" s="52">
        <v>174.14</v>
      </c>
      <c r="V113" s="52">
        <v>170.17</v>
      </c>
      <c r="W113" s="52">
        <v>166.2</v>
      </c>
      <c r="X113" s="485">
        <v>109</v>
      </c>
      <c r="Y113" s="489">
        <v>128.11000000000001</v>
      </c>
      <c r="Z113" s="489">
        <v>130.91</v>
      </c>
      <c r="AA113" s="489">
        <v>133.71</v>
      </c>
      <c r="AB113" s="489">
        <v>136.52000000000001</v>
      </c>
      <c r="AC113" s="489">
        <v>139.32</v>
      </c>
      <c r="AD113" s="299">
        <v>142.12</v>
      </c>
      <c r="AE113" s="299">
        <v>144.91999999999999</v>
      </c>
      <c r="AF113" s="299">
        <v>147.72</v>
      </c>
      <c r="AG113" s="300">
        <v>150.52000000000001</v>
      </c>
      <c r="AH113" s="301">
        <v>153.32</v>
      </c>
      <c r="AI113" s="301">
        <v>156.13</v>
      </c>
      <c r="AJ113" s="626">
        <v>158.93</v>
      </c>
      <c r="AK113" s="490">
        <v>161.72999999999999</v>
      </c>
      <c r="AL113" s="482">
        <v>164.53</v>
      </c>
      <c r="AM113" s="491">
        <v>167.33</v>
      </c>
      <c r="AN113" s="646">
        <v>170.13</v>
      </c>
      <c r="AO113" s="52">
        <v>172.93</v>
      </c>
      <c r="AP113" s="52">
        <v>175.73</v>
      </c>
      <c r="AQ113" s="52">
        <v>178.54</v>
      </c>
      <c r="AR113" s="52">
        <v>181.34</v>
      </c>
      <c r="AS113" s="52">
        <v>184.14</v>
      </c>
      <c r="AT113" s="52">
        <v>108.77</v>
      </c>
      <c r="AU113" s="52">
        <v>105.97</v>
      </c>
    </row>
    <row r="114" spans="1:47">
      <c r="A114" s="489">
        <v>204.68</v>
      </c>
      <c r="B114" s="300">
        <v>247.64</v>
      </c>
      <c r="C114" s="301">
        <v>251.65</v>
      </c>
      <c r="D114" s="301">
        <v>255.65</v>
      </c>
      <c r="E114" s="621">
        <v>259.66000000000003</v>
      </c>
      <c r="F114" s="490">
        <v>224.7</v>
      </c>
      <c r="G114" s="490">
        <v>228.71</v>
      </c>
      <c r="H114" s="491">
        <v>232.71</v>
      </c>
      <c r="I114" s="52">
        <v>236.71</v>
      </c>
      <c r="J114" s="52">
        <v>240.72</v>
      </c>
      <c r="K114" s="52">
        <v>244.72</v>
      </c>
      <c r="L114" s="52">
        <v>248.73</v>
      </c>
      <c r="M114" s="52">
        <v>252.73</v>
      </c>
      <c r="N114" s="52">
        <v>256.73</v>
      </c>
      <c r="O114" s="52">
        <v>243.78</v>
      </c>
      <c r="P114" s="52">
        <v>247.78</v>
      </c>
      <c r="Q114" s="52">
        <v>251.79</v>
      </c>
      <c r="R114" s="52">
        <v>255.79</v>
      </c>
      <c r="S114" s="52">
        <v>183.72</v>
      </c>
      <c r="T114" s="52">
        <v>179.71</v>
      </c>
      <c r="U114" s="52">
        <v>175.71</v>
      </c>
      <c r="V114" s="52">
        <v>171.71</v>
      </c>
      <c r="W114" s="52">
        <v>167.7</v>
      </c>
      <c r="X114" s="485">
        <v>110</v>
      </c>
      <c r="Y114" s="489">
        <v>129.28</v>
      </c>
      <c r="Z114" s="489">
        <v>132.1</v>
      </c>
      <c r="AA114" s="489">
        <v>134.93</v>
      </c>
      <c r="AB114" s="489">
        <v>137.76</v>
      </c>
      <c r="AC114" s="489">
        <v>140.59</v>
      </c>
      <c r="AD114" s="299">
        <v>143.41</v>
      </c>
      <c r="AE114" s="299">
        <v>146.24</v>
      </c>
      <c r="AF114" s="299">
        <v>149.07</v>
      </c>
      <c r="AG114" s="300">
        <v>151.88999999999999</v>
      </c>
      <c r="AH114" s="301">
        <v>154.72</v>
      </c>
      <c r="AI114" s="301">
        <v>157.55000000000001</v>
      </c>
      <c r="AJ114" s="626">
        <v>160.37</v>
      </c>
      <c r="AK114" s="490">
        <v>163.19999999999999</v>
      </c>
      <c r="AL114" s="482">
        <v>166.03</v>
      </c>
      <c r="AM114" s="491">
        <v>168.86</v>
      </c>
      <c r="AN114" s="646">
        <v>171.68</v>
      </c>
      <c r="AO114" s="52">
        <v>174.51</v>
      </c>
      <c r="AP114" s="52">
        <v>177.34</v>
      </c>
      <c r="AQ114" s="52">
        <v>180.16</v>
      </c>
      <c r="AR114" s="52">
        <v>182.99</v>
      </c>
      <c r="AS114" s="52">
        <v>185.82</v>
      </c>
      <c r="AT114" s="52">
        <v>109.76</v>
      </c>
      <c r="AU114" s="52">
        <v>106.94</v>
      </c>
    </row>
    <row r="115" spans="1:47">
      <c r="A115" s="489">
        <v>206.51</v>
      </c>
      <c r="B115" s="300">
        <v>249.86</v>
      </c>
      <c r="C115" s="301">
        <v>253.9</v>
      </c>
      <c r="D115" s="301">
        <v>257.94</v>
      </c>
      <c r="E115" s="621">
        <v>261.98</v>
      </c>
      <c r="F115" s="490">
        <v>226.72</v>
      </c>
      <c r="G115" s="490">
        <v>230.76</v>
      </c>
      <c r="H115" s="491">
        <v>234.8</v>
      </c>
      <c r="I115" s="52">
        <v>238.84</v>
      </c>
      <c r="J115" s="52">
        <v>242.88</v>
      </c>
      <c r="K115" s="52">
        <v>246.92</v>
      </c>
      <c r="L115" s="52">
        <v>250.96</v>
      </c>
      <c r="M115" s="52">
        <v>255</v>
      </c>
      <c r="N115" s="52">
        <v>259.04000000000002</v>
      </c>
      <c r="O115" s="52">
        <v>245.97</v>
      </c>
      <c r="P115" s="52">
        <v>250.01</v>
      </c>
      <c r="Q115" s="52">
        <v>254.05</v>
      </c>
      <c r="R115" s="52">
        <v>258.08999999999997</v>
      </c>
      <c r="S115" s="52">
        <v>185.36</v>
      </c>
      <c r="T115" s="52">
        <v>181.32</v>
      </c>
      <c r="U115" s="52">
        <v>177.28</v>
      </c>
      <c r="V115" s="52">
        <v>173.24</v>
      </c>
      <c r="W115" s="52">
        <v>169.2</v>
      </c>
      <c r="X115" s="485">
        <v>111</v>
      </c>
      <c r="Y115" s="489">
        <v>130.44</v>
      </c>
      <c r="Z115" s="489">
        <v>133.30000000000001</v>
      </c>
      <c r="AA115" s="489">
        <v>136.15</v>
      </c>
      <c r="AB115" s="489">
        <v>139</v>
      </c>
      <c r="AC115" s="489">
        <v>141.86000000000001</v>
      </c>
      <c r="AD115" s="299">
        <v>144.71</v>
      </c>
      <c r="AE115" s="299">
        <v>147.56</v>
      </c>
      <c r="AF115" s="299">
        <v>150.41</v>
      </c>
      <c r="AG115" s="300">
        <v>153.27000000000001</v>
      </c>
      <c r="AH115" s="301">
        <v>156.12</v>
      </c>
      <c r="AI115" s="301">
        <v>158.97</v>
      </c>
      <c r="AJ115" s="626">
        <v>161.82</v>
      </c>
      <c r="AK115" s="490">
        <v>164.68</v>
      </c>
      <c r="AL115" s="482">
        <v>167.53</v>
      </c>
      <c r="AM115" s="491">
        <v>170.38</v>
      </c>
      <c r="AN115" s="646">
        <v>173.24</v>
      </c>
      <c r="AO115" s="52">
        <v>176.09</v>
      </c>
      <c r="AP115" s="52">
        <v>178.94</v>
      </c>
      <c r="AQ115" s="52">
        <v>181.79</v>
      </c>
      <c r="AR115" s="52">
        <v>184.65</v>
      </c>
      <c r="AS115" s="52">
        <v>187.5</v>
      </c>
      <c r="AT115" s="52">
        <v>110.75</v>
      </c>
      <c r="AU115" s="52">
        <v>107.9</v>
      </c>
    </row>
    <row r="116" spans="1:47">
      <c r="A116" s="489">
        <v>208.35</v>
      </c>
      <c r="B116" s="300">
        <v>252.08</v>
      </c>
      <c r="C116" s="301">
        <v>256.14999999999998</v>
      </c>
      <c r="D116" s="301">
        <v>260.23</v>
      </c>
      <c r="E116" s="621">
        <v>264.31</v>
      </c>
      <c r="F116" s="490">
        <v>228.73</v>
      </c>
      <c r="G116" s="490">
        <v>232.81</v>
      </c>
      <c r="H116" s="491">
        <v>236.89</v>
      </c>
      <c r="I116" s="52">
        <v>240.96</v>
      </c>
      <c r="J116" s="52">
        <v>245.04</v>
      </c>
      <c r="K116" s="52">
        <v>249.12</v>
      </c>
      <c r="L116" s="52">
        <v>253.19</v>
      </c>
      <c r="M116" s="52">
        <v>257.27</v>
      </c>
      <c r="N116" s="52">
        <v>261.35000000000002</v>
      </c>
      <c r="O116" s="52">
        <v>248.17</v>
      </c>
      <c r="P116" s="52">
        <v>252.24</v>
      </c>
      <c r="Q116" s="52">
        <v>256.32</v>
      </c>
      <c r="R116" s="52">
        <v>260.39999999999998</v>
      </c>
      <c r="S116" s="52">
        <v>187.02</v>
      </c>
      <c r="T116" s="52">
        <v>182.94</v>
      </c>
      <c r="U116" s="52">
        <v>178.86</v>
      </c>
      <c r="V116" s="52">
        <v>174.79</v>
      </c>
      <c r="W116" s="52">
        <v>170.71</v>
      </c>
      <c r="X116" s="485">
        <v>112</v>
      </c>
      <c r="Y116" s="489">
        <v>131.61000000000001</v>
      </c>
      <c r="Z116" s="489">
        <v>134.49</v>
      </c>
      <c r="AA116" s="489">
        <v>137.37</v>
      </c>
      <c r="AB116" s="489">
        <v>140.25</v>
      </c>
      <c r="AC116" s="489">
        <v>143.13</v>
      </c>
      <c r="AD116" s="299">
        <v>146.01</v>
      </c>
      <c r="AE116" s="299">
        <v>148.88</v>
      </c>
      <c r="AF116" s="299">
        <v>151.76</v>
      </c>
      <c r="AG116" s="300">
        <v>154.63999999999999</v>
      </c>
      <c r="AH116" s="301">
        <v>157.52000000000001</v>
      </c>
      <c r="AI116" s="301">
        <v>160.4</v>
      </c>
      <c r="AJ116" s="626">
        <v>163.28</v>
      </c>
      <c r="AK116" s="490">
        <v>166.15</v>
      </c>
      <c r="AL116" s="482">
        <v>169.03</v>
      </c>
      <c r="AM116" s="491">
        <v>171.91</v>
      </c>
      <c r="AN116" s="646">
        <v>174.79</v>
      </c>
      <c r="AO116" s="52">
        <v>177.67</v>
      </c>
      <c r="AP116" s="52">
        <v>180.55</v>
      </c>
      <c r="AQ116" s="52">
        <v>183.43</v>
      </c>
      <c r="AR116" s="52">
        <v>186.3</v>
      </c>
      <c r="AS116" s="52">
        <v>189.18</v>
      </c>
      <c r="AT116" s="52">
        <v>111.75</v>
      </c>
      <c r="AU116" s="52">
        <v>108.87</v>
      </c>
    </row>
    <row r="117" spans="1:47">
      <c r="A117" s="489">
        <v>210.19</v>
      </c>
      <c r="B117" s="300">
        <v>254.3</v>
      </c>
      <c r="C117" s="301">
        <v>258.41000000000003</v>
      </c>
      <c r="D117" s="301">
        <v>262.52999999999997</v>
      </c>
      <c r="E117" s="621">
        <v>266.64</v>
      </c>
      <c r="F117" s="490">
        <v>230.76</v>
      </c>
      <c r="G117" s="490">
        <v>234.87</v>
      </c>
      <c r="H117" s="491">
        <v>238.98</v>
      </c>
      <c r="I117" s="52">
        <v>243.1</v>
      </c>
      <c r="J117" s="52">
        <v>247.21</v>
      </c>
      <c r="K117" s="52">
        <v>251.32</v>
      </c>
      <c r="L117" s="52">
        <v>255.44</v>
      </c>
      <c r="M117" s="52">
        <v>259.55</v>
      </c>
      <c r="N117" s="52">
        <v>263.66000000000003</v>
      </c>
      <c r="O117" s="52">
        <v>250.37</v>
      </c>
      <c r="P117" s="52">
        <v>254.48</v>
      </c>
      <c r="Q117" s="52">
        <v>258.60000000000002</v>
      </c>
      <c r="R117" s="52">
        <v>262.70999999999998</v>
      </c>
      <c r="S117" s="52">
        <v>188.67</v>
      </c>
      <c r="T117" s="52">
        <v>184.56</v>
      </c>
      <c r="U117" s="52">
        <v>180.45</v>
      </c>
      <c r="V117" s="52">
        <v>176.33</v>
      </c>
      <c r="W117" s="52">
        <v>172.22</v>
      </c>
      <c r="X117" s="485">
        <v>113</v>
      </c>
      <c r="Y117" s="489">
        <v>132.78</v>
      </c>
      <c r="Z117" s="489">
        <v>135.69</v>
      </c>
      <c r="AA117" s="489">
        <v>138.59</v>
      </c>
      <c r="AB117" s="489">
        <v>141.5</v>
      </c>
      <c r="AC117" s="489">
        <v>144.4</v>
      </c>
      <c r="AD117" s="299">
        <v>147.31</v>
      </c>
      <c r="AE117" s="299">
        <v>150.21</v>
      </c>
      <c r="AF117" s="299">
        <v>153.11000000000001</v>
      </c>
      <c r="AG117" s="300">
        <v>156.02000000000001</v>
      </c>
      <c r="AH117" s="301">
        <v>158.91999999999999</v>
      </c>
      <c r="AI117" s="301">
        <v>161.83000000000001</v>
      </c>
      <c r="AJ117" s="626">
        <v>164.73</v>
      </c>
      <c r="AK117" s="490">
        <v>167.63</v>
      </c>
      <c r="AL117" s="482">
        <v>170.54</v>
      </c>
      <c r="AM117" s="491">
        <v>173.44</v>
      </c>
      <c r="AN117" s="646">
        <v>176.35</v>
      </c>
      <c r="AO117" s="52">
        <v>179.25</v>
      </c>
      <c r="AP117" s="52">
        <v>182.15</v>
      </c>
      <c r="AQ117" s="52">
        <v>185.06</v>
      </c>
      <c r="AR117" s="52">
        <v>187.96</v>
      </c>
      <c r="AS117" s="52">
        <v>190.87</v>
      </c>
      <c r="AT117" s="52">
        <v>112.74</v>
      </c>
      <c r="AU117" s="52">
        <v>109.84</v>
      </c>
    </row>
    <row r="118" spans="1:47">
      <c r="A118" s="489">
        <v>212.04</v>
      </c>
      <c r="B118" s="300">
        <v>256.52999999999997</v>
      </c>
      <c r="C118" s="301">
        <v>260.68</v>
      </c>
      <c r="D118" s="301">
        <v>264.83</v>
      </c>
      <c r="E118" s="621">
        <v>268.98</v>
      </c>
      <c r="F118" s="490">
        <v>232.79</v>
      </c>
      <c r="G118" s="490">
        <v>236.94</v>
      </c>
      <c r="H118" s="491">
        <v>241.09</v>
      </c>
      <c r="I118" s="52">
        <v>245.24</v>
      </c>
      <c r="J118" s="52">
        <v>249.39</v>
      </c>
      <c r="K118" s="52">
        <v>253.53</v>
      </c>
      <c r="L118" s="52">
        <v>257.68</v>
      </c>
      <c r="M118" s="52">
        <v>261.83</v>
      </c>
      <c r="N118" s="52">
        <v>265.98</v>
      </c>
      <c r="O118" s="52">
        <v>252.57</v>
      </c>
      <c r="P118" s="52">
        <v>256.72000000000003</v>
      </c>
      <c r="Q118" s="52">
        <v>260.87</v>
      </c>
      <c r="R118" s="52">
        <v>265.02</v>
      </c>
      <c r="S118" s="52">
        <v>190.33</v>
      </c>
      <c r="T118" s="52">
        <v>186.18</v>
      </c>
      <c r="U118" s="52">
        <v>182.03</v>
      </c>
      <c r="V118" s="52">
        <v>177.88</v>
      </c>
      <c r="W118" s="52">
        <v>173.73</v>
      </c>
      <c r="X118" s="485">
        <v>114</v>
      </c>
      <c r="Y118" s="489">
        <v>133.96</v>
      </c>
      <c r="Z118" s="489">
        <v>136.88999999999999</v>
      </c>
      <c r="AA118" s="489">
        <v>139.82</v>
      </c>
      <c r="AB118" s="489">
        <v>142.75</v>
      </c>
      <c r="AC118" s="489">
        <v>145.68</v>
      </c>
      <c r="AD118" s="299">
        <v>148.61000000000001</v>
      </c>
      <c r="AE118" s="299">
        <v>151.54</v>
      </c>
      <c r="AF118" s="299">
        <v>154.47</v>
      </c>
      <c r="AG118" s="300">
        <v>157.4</v>
      </c>
      <c r="AH118" s="301">
        <v>160.33000000000001</v>
      </c>
      <c r="AI118" s="301">
        <v>163.26</v>
      </c>
      <c r="AJ118" s="626">
        <v>166.19</v>
      </c>
      <c r="AK118" s="490">
        <v>169.12</v>
      </c>
      <c r="AL118" s="482">
        <v>172.05</v>
      </c>
      <c r="AM118" s="491">
        <v>174.98</v>
      </c>
      <c r="AN118" s="646">
        <v>177.91</v>
      </c>
      <c r="AO118" s="52">
        <v>180.83</v>
      </c>
      <c r="AP118" s="52">
        <v>183.76</v>
      </c>
      <c r="AQ118" s="52">
        <v>186.69</v>
      </c>
      <c r="AR118" s="52">
        <v>189.62</v>
      </c>
      <c r="AS118" s="52">
        <v>192.55</v>
      </c>
      <c r="AT118" s="52">
        <v>113.74</v>
      </c>
      <c r="AU118" s="52">
        <v>110.81</v>
      </c>
    </row>
    <row r="119" spans="1:47">
      <c r="A119" s="489">
        <v>213.89</v>
      </c>
      <c r="B119" s="300">
        <v>258.77</v>
      </c>
      <c r="C119" s="301">
        <v>262.95999999999998</v>
      </c>
      <c r="D119" s="301">
        <v>267.14999999999998</v>
      </c>
      <c r="E119" s="621">
        <v>271.33</v>
      </c>
      <c r="F119" s="490">
        <v>234.82</v>
      </c>
      <c r="G119" s="490">
        <v>239.01</v>
      </c>
      <c r="H119" s="491">
        <v>243.19</v>
      </c>
      <c r="I119" s="52">
        <v>247.38</v>
      </c>
      <c r="J119" s="52">
        <v>251.57</v>
      </c>
      <c r="K119" s="52">
        <v>255.75</v>
      </c>
      <c r="L119" s="52">
        <v>259.94</v>
      </c>
      <c r="M119" s="52">
        <v>264.12</v>
      </c>
      <c r="N119" s="52">
        <v>268.31</v>
      </c>
      <c r="O119" s="52">
        <v>254.78</v>
      </c>
      <c r="P119" s="52">
        <v>258.97000000000003</v>
      </c>
      <c r="Q119" s="52">
        <v>263.16000000000003</v>
      </c>
      <c r="R119" s="52">
        <v>267.33999999999997</v>
      </c>
      <c r="S119" s="52">
        <v>191.99</v>
      </c>
      <c r="T119" s="52">
        <v>187.81</v>
      </c>
      <c r="U119" s="52">
        <v>183.62</v>
      </c>
      <c r="V119" s="52">
        <v>179.44</v>
      </c>
      <c r="W119" s="52">
        <v>175.25</v>
      </c>
      <c r="X119" s="485">
        <v>115</v>
      </c>
      <c r="Y119" s="489">
        <v>135.13</v>
      </c>
      <c r="Z119" s="489">
        <v>138.09</v>
      </c>
      <c r="AA119" s="489">
        <v>141.04</v>
      </c>
      <c r="AB119" s="489">
        <v>144</v>
      </c>
      <c r="AC119" s="489">
        <v>146.6</v>
      </c>
      <c r="AD119" s="299">
        <v>149.91</v>
      </c>
      <c r="AE119" s="299">
        <v>152.87</v>
      </c>
      <c r="AF119" s="299">
        <v>155.82</v>
      </c>
      <c r="AG119" s="300">
        <v>158.78</v>
      </c>
      <c r="AH119" s="301">
        <v>161.72999999999999</v>
      </c>
      <c r="AI119" s="301">
        <v>164.69</v>
      </c>
      <c r="AJ119" s="626">
        <v>167.64</v>
      </c>
      <c r="AK119" s="490">
        <v>170.6</v>
      </c>
      <c r="AL119" s="482">
        <v>173.55</v>
      </c>
      <c r="AM119" s="491">
        <v>176.51</v>
      </c>
      <c r="AN119" s="646">
        <v>179.47</v>
      </c>
      <c r="AO119" s="52">
        <v>182.42</v>
      </c>
      <c r="AP119" s="52">
        <v>185.38</v>
      </c>
      <c r="AQ119" s="52">
        <v>188.33</v>
      </c>
      <c r="AR119" s="52">
        <v>191.29</v>
      </c>
      <c r="AS119" s="52">
        <v>194.24</v>
      </c>
      <c r="AT119" s="52">
        <v>114.74</v>
      </c>
      <c r="AU119" s="52">
        <v>111.78</v>
      </c>
    </row>
    <row r="120" spans="1:47">
      <c r="A120" s="489">
        <v>215.75</v>
      </c>
      <c r="B120" s="300">
        <v>261.02</v>
      </c>
      <c r="C120" s="301">
        <v>265.25</v>
      </c>
      <c r="D120" s="301">
        <v>269.47000000000003</v>
      </c>
      <c r="E120" s="621">
        <v>273.69</v>
      </c>
      <c r="F120" s="490">
        <v>236.86</v>
      </c>
      <c r="G120" s="490">
        <v>241.08</v>
      </c>
      <c r="H120" s="491">
        <v>245.31</v>
      </c>
      <c r="I120" s="52">
        <v>249.53</v>
      </c>
      <c r="J120" s="52">
        <v>253.75</v>
      </c>
      <c r="K120" s="52">
        <v>257.97000000000003</v>
      </c>
      <c r="L120" s="52">
        <v>262.2</v>
      </c>
      <c r="M120" s="52">
        <v>266.42</v>
      </c>
      <c r="N120" s="52">
        <v>270.64</v>
      </c>
      <c r="O120" s="52">
        <v>257</v>
      </c>
      <c r="P120" s="52">
        <v>261.22000000000003</v>
      </c>
      <c r="Q120" s="52">
        <v>265.44</v>
      </c>
      <c r="R120" s="52">
        <v>269.67</v>
      </c>
      <c r="S120" s="52">
        <v>193.66</v>
      </c>
      <c r="T120" s="52">
        <v>189.44</v>
      </c>
      <c r="U120" s="52">
        <v>185.22</v>
      </c>
      <c r="V120" s="52">
        <v>181</v>
      </c>
      <c r="W120" s="52">
        <v>176.77</v>
      </c>
      <c r="X120" s="485">
        <v>116</v>
      </c>
      <c r="Y120" s="489">
        <v>136.31</v>
      </c>
      <c r="Z120" s="489">
        <v>139.29</v>
      </c>
      <c r="AA120" s="489">
        <v>142.27000000000001</v>
      </c>
      <c r="AB120" s="489">
        <v>145.25</v>
      </c>
      <c r="AC120" s="489">
        <v>148.24</v>
      </c>
      <c r="AD120" s="299">
        <v>151.22</v>
      </c>
      <c r="AE120" s="299">
        <v>154.19999999999999</v>
      </c>
      <c r="AF120" s="299">
        <v>157.18</v>
      </c>
      <c r="AG120" s="300">
        <v>160.16</v>
      </c>
      <c r="AH120" s="301">
        <v>163.13999999999999</v>
      </c>
      <c r="AI120" s="301">
        <v>166.12</v>
      </c>
      <c r="AJ120" s="626">
        <v>169.1</v>
      </c>
      <c r="AK120" s="490">
        <v>172.08</v>
      </c>
      <c r="AL120" s="482">
        <v>175.07</v>
      </c>
      <c r="AM120" s="491">
        <v>178.05</v>
      </c>
      <c r="AN120" s="646">
        <v>181.03</v>
      </c>
      <c r="AO120" s="52">
        <v>184.01</v>
      </c>
      <c r="AP120" s="52">
        <v>186.99</v>
      </c>
      <c r="AQ120" s="52">
        <v>189.97</v>
      </c>
      <c r="AR120" s="52">
        <v>192.95</v>
      </c>
      <c r="AS120" s="52">
        <v>195.93</v>
      </c>
      <c r="AT120" s="52">
        <v>115.74</v>
      </c>
      <c r="AU120" s="52">
        <v>112.76</v>
      </c>
    </row>
    <row r="121" spans="1:47">
      <c r="A121" s="489">
        <v>217.61</v>
      </c>
      <c r="B121" s="300">
        <v>265.27999999999997</v>
      </c>
      <c r="C121" s="301">
        <v>267.54000000000002</v>
      </c>
      <c r="D121" s="301">
        <v>271.8</v>
      </c>
      <c r="E121" s="621">
        <v>276.06</v>
      </c>
      <c r="F121" s="490">
        <v>238.91</v>
      </c>
      <c r="G121" s="490">
        <v>243.17</v>
      </c>
      <c r="H121" s="491">
        <v>247.43</v>
      </c>
      <c r="I121" s="52">
        <v>251.68</v>
      </c>
      <c r="J121" s="52">
        <v>255.94</v>
      </c>
      <c r="K121" s="52">
        <v>260.2</v>
      </c>
      <c r="L121" s="52">
        <v>264.45999999999998</v>
      </c>
      <c r="M121" s="52">
        <v>268.72000000000003</v>
      </c>
      <c r="N121" s="52">
        <v>272.98</v>
      </c>
      <c r="O121" s="52">
        <v>259.22000000000003</v>
      </c>
      <c r="P121" s="52">
        <v>263.48</v>
      </c>
      <c r="Q121" s="52">
        <v>267.74</v>
      </c>
      <c r="R121" s="52">
        <v>271.99</v>
      </c>
      <c r="S121" s="52">
        <v>195.34</v>
      </c>
      <c r="T121" s="52">
        <v>191.08</v>
      </c>
      <c r="U121" s="52">
        <v>186.82</v>
      </c>
      <c r="V121" s="52">
        <v>182.56</v>
      </c>
      <c r="W121" s="52">
        <v>178.3</v>
      </c>
      <c r="X121" s="485">
        <v>117</v>
      </c>
      <c r="Y121" s="489">
        <v>137.49</v>
      </c>
      <c r="Z121" s="489">
        <v>140.5</v>
      </c>
      <c r="AA121" s="489">
        <v>143.5</v>
      </c>
      <c r="AB121" s="489">
        <v>146.51</v>
      </c>
      <c r="AC121" s="489">
        <v>149.52000000000001</v>
      </c>
      <c r="AD121" s="299">
        <v>152.52000000000001</v>
      </c>
      <c r="AE121" s="299">
        <v>155.53</v>
      </c>
      <c r="AF121" s="299">
        <v>158.54</v>
      </c>
      <c r="AG121" s="300">
        <v>161.54</v>
      </c>
      <c r="AH121" s="301">
        <v>164.55</v>
      </c>
      <c r="AI121" s="301">
        <v>167.56</v>
      </c>
      <c r="AJ121" s="626">
        <v>170.57</v>
      </c>
      <c r="AK121" s="490">
        <v>173.57</v>
      </c>
      <c r="AL121" s="482">
        <v>176.58</v>
      </c>
      <c r="AM121" s="491">
        <v>179.59</v>
      </c>
      <c r="AN121" s="646">
        <v>182.59</v>
      </c>
      <c r="AO121" s="52">
        <v>185.6</v>
      </c>
      <c r="AP121" s="52">
        <v>188.61</v>
      </c>
      <c r="AQ121" s="52">
        <v>191.61</v>
      </c>
      <c r="AR121" s="52">
        <v>194.62</v>
      </c>
      <c r="AS121" s="52">
        <v>197.63</v>
      </c>
      <c r="AT121" s="52">
        <v>116.74</v>
      </c>
      <c r="AU121" s="52">
        <v>113.73</v>
      </c>
    </row>
    <row r="122" spans="1:47">
      <c r="A122" s="489">
        <v>219.48</v>
      </c>
      <c r="B122" s="300">
        <v>265.54000000000002</v>
      </c>
      <c r="C122" s="301">
        <v>269.83999999999997</v>
      </c>
      <c r="D122" s="301">
        <v>274.13</v>
      </c>
      <c r="E122" s="621">
        <v>278.43</v>
      </c>
      <c r="F122" s="490">
        <v>240.96</v>
      </c>
      <c r="G122" s="490">
        <v>245.26</v>
      </c>
      <c r="H122" s="491">
        <v>249.55</v>
      </c>
      <c r="I122" s="52">
        <v>253.85</v>
      </c>
      <c r="J122" s="52">
        <v>258.14</v>
      </c>
      <c r="K122" s="52">
        <v>262.44</v>
      </c>
      <c r="L122" s="52">
        <v>266.73</v>
      </c>
      <c r="M122" s="52">
        <v>271.02999999999997</v>
      </c>
      <c r="N122" s="52">
        <v>275.32</v>
      </c>
      <c r="O122" s="52">
        <v>261.44</v>
      </c>
      <c r="P122" s="52">
        <v>265.74</v>
      </c>
      <c r="Q122" s="52">
        <v>270.02999999999997</v>
      </c>
      <c r="R122" s="52">
        <v>274.33</v>
      </c>
      <c r="S122" s="52">
        <v>197.01</v>
      </c>
      <c r="T122" s="52">
        <v>192.72</v>
      </c>
      <c r="U122" s="52">
        <v>188.42</v>
      </c>
      <c r="V122" s="52">
        <v>184.13</v>
      </c>
      <c r="W122" s="52">
        <v>179.83</v>
      </c>
      <c r="X122" s="485">
        <v>118</v>
      </c>
      <c r="Y122" s="489">
        <v>138.66999999999999</v>
      </c>
      <c r="Z122" s="489">
        <v>141.69999999999999</v>
      </c>
      <c r="AA122" s="489">
        <v>144.74</v>
      </c>
      <c r="AB122" s="489">
        <v>147.77000000000001</v>
      </c>
      <c r="AC122" s="489">
        <v>150.80000000000001</v>
      </c>
      <c r="AD122" s="299">
        <v>153.83000000000001</v>
      </c>
      <c r="AE122" s="299">
        <v>156.87</v>
      </c>
      <c r="AF122" s="299">
        <v>159.9</v>
      </c>
      <c r="AG122" s="300">
        <v>162.93</v>
      </c>
      <c r="AH122" s="301">
        <v>165.56</v>
      </c>
      <c r="AI122" s="301">
        <v>169</v>
      </c>
      <c r="AJ122" s="626">
        <v>112.01</v>
      </c>
      <c r="AK122" s="490">
        <v>175.06</v>
      </c>
      <c r="AL122" s="482">
        <v>178.09</v>
      </c>
      <c r="AM122" s="491">
        <v>181.13</v>
      </c>
      <c r="AN122" s="646">
        <v>184.16</v>
      </c>
      <c r="AO122" s="52">
        <v>187.19</v>
      </c>
      <c r="AP122" s="52">
        <v>190.23</v>
      </c>
      <c r="AQ122" s="52">
        <v>193.26</v>
      </c>
      <c r="AR122" s="52">
        <v>196.29</v>
      </c>
      <c r="AS122" s="52">
        <v>199.22</v>
      </c>
      <c r="AT122" s="52">
        <v>117.74</v>
      </c>
      <c r="AU122" s="52">
        <v>114.71</v>
      </c>
    </row>
    <row r="123" spans="1:47">
      <c r="A123" s="489">
        <v>221.36</v>
      </c>
      <c r="B123" s="300">
        <v>267.82</v>
      </c>
      <c r="C123" s="301">
        <v>272.14999999999998</v>
      </c>
      <c r="D123" s="301">
        <v>276.48</v>
      </c>
      <c r="E123" s="621">
        <v>280.81</v>
      </c>
      <c r="F123" s="490">
        <v>243.02</v>
      </c>
      <c r="G123" s="490">
        <v>247.35</v>
      </c>
      <c r="H123" s="491">
        <v>251.68</v>
      </c>
      <c r="I123" s="52">
        <v>256.01</v>
      </c>
      <c r="J123" s="52">
        <v>260.35000000000002</v>
      </c>
      <c r="K123" s="52">
        <v>264.68</v>
      </c>
      <c r="L123" s="52">
        <v>269.01</v>
      </c>
      <c r="M123" s="52">
        <v>273.54000000000002</v>
      </c>
      <c r="N123" s="52">
        <v>277.67</v>
      </c>
      <c r="O123" s="52">
        <v>263.67</v>
      </c>
      <c r="P123" s="52">
        <v>268</v>
      </c>
      <c r="Q123" s="52">
        <v>272.33</v>
      </c>
      <c r="R123" s="52">
        <v>276.67</v>
      </c>
      <c r="S123" s="52">
        <v>198.7</v>
      </c>
      <c r="T123" s="52">
        <v>194.36</v>
      </c>
      <c r="U123" s="52">
        <v>190.03</v>
      </c>
      <c r="V123" s="52">
        <v>185.7</v>
      </c>
      <c r="W123" s="52">
        <v>181.37</v>
      </c>
      <c r="X123" s="485">
        <v>119</v>
      </c>
      <c r="Y123" s="489">
        <v>139.85</v>
      </c>
      <c r="Z123" s="489">
        <v>142.91</v>
      </c>
      <c r="AA123" s="489">
        <v>145.97</v>
      </c>
      <c r="AB123" s="489">
        <v>149.03</v>
      </c>
      <c r="AC123" s="489">
        <v>152.09</v>
      </c>
      <c r="AD123" s="299">
        <v>155.13999999999999</v>
      </c>
      <c r="AE123" s="299">
        <v>158.19999999999999</v>
      </c>
      <c r="AF123" s="299">
        <v>161.25</v>
      </c>
      <c r="AG123" s="300">
        <v>164.32</v>
      </c>
      <c r="AH123" s="301">
        <v>167.28</v>
      </c>
      <c r="AI123" s="301">
        <v>170.44</v>
      </c>
      <c r="AJ123" s="626">
        <v>173.5</v>
      </c>
      <c r="AK123" s="490">
        <v>176.55</v>
      </c>
      <c r="AL123" s="482">
        <v>179.61</v>
      </c>
      <c r="AM123" s="491">
        <v>183.17</v>
      </c>
      <c r="AN123" s="646">
        <v>185.23</v>
      </c>
      <c r="AO123" s="52">
        <v>188.79</v>
      </c>
      <c r="AP123" s="52">
        <v>191.83</v>
      </c>
      <c r="AQ123" s="52">
        <v>194.4</v>
      </c>
      <c r="AR123" s="52">
        <v>197.96</v>
      </c>
      <c r="AS123" s="52">
        <v>201</v>
      </c>
      <c r="AT123" s="52">
        <v>118.74</v>
      </c>
      <c r="AU123" s="52">
        <v>115.68</v>
      </c>
    </row>
    <row r="124" spans="1:47">
      <c r="A124" s="489">
        <v>228.24</v>
      </c>
      <c r="B124" s="300">
        <v>270.10000000000002</v>
      </c>
      <c r="C124" s="301">
        <v>274.42</v>
      </c>
      <c r="D124" s="301">
        <v>278.83</v>
      </c>
      <c r="E124" s="621">
        <v>283.2</v>
      </c>
      <c r="F124" s="490">
        <v>245.08</v>
      </c>
      <c r="G124" s="490">
        <v>249.45</v>
      </c>
      <c r="H124" s="491">
        <v>253.82</v>
      </c>
      <c r="I124" s="52">
        <v>258.19</v>
      </c>
      <c r="J124" s="52">
        <v>262.56</v>
      </c>
      <c r="K124" s="52">
        <v>266.92</v>
      </c>
      <c r="L124" s="52">
        <v>271.29000000000002</v>
      </c>
      <c r="M124" s="52">
        <v>275.66000000000003</v>
      </c>
      <c r="N124" s="52">
        <v>280.02999999999997</v>
      </c>
      <c r="O124" s="52">
        <v>265.89999999999998</v>
      </c>
      <c r="P124" s="52">
        <v>270.27</v>
      </c>
      <c r="Q124" s="52">
        <v>274.64</v>
      </c>
      <c r="R124" s="52">
        <v>279.01</v>
      </c>
      <c r="S124" s="52">
        <v>200.38</v>
      </c>
      <c r="T124" s="52">
        <v>196.02</v>
      </c>
      <c r="U124" s="52">
        <v>191.65</v>
      </c>
      <c r="V124" s="52">
        <v>187.28</v>
      </c>
      <c r="W124" s="52">
        <v>182.91</v>
      </c>
      <c r="X124" s="485">
        <v>120</v>
      </c>
      <c r="Y124" s="489">
        <v>140.97999999999999</v>
      </c>
      <c r="Z124" s="489">
        <v>144.06</v>
      </c>
      <c r="AA124" s="489">
        <v>147.13999999999999</v>
      </c>
      <c r="AB124" s="489">
        <v>150.22999999999999</v>
      </c>
      <c r="AC124" s="489">
        <v>153.31</v>
      </c>
      <c r="AD124" s="299">
        <v>156.4</v>
      </c>
      <c r="AE124" s="299">
        <v>159.47999999999999</v>
      </c>
      <c r="AF124" s="299">
        <v>162.36000000000001</v>
      </c>
      <c r="AG124" s="300">
        <v>165.63</v>
      </c>
      <c r="AH124" s="301">
        <v>168.73</v>
      </c>
      <c r="AI124" s="301">
        <v>171.82</v>
      </c>
      <c r="AJ124" s="626">
        <v>174.9</v>
      </c>
      <c r="AK124" s="490">
        <v>177.98</v>
      </c>
      <c r="AL124" s="482">
        <v>181.07</v>
      </c>
      <c r="AM124" s="491">
        <v>184.15</v>
      </c>
      <c r="AN124" s="646">
        <v>187.24</v>
      </c>
      <c r="AO124" s="52">
        <v>190.32</v>
      </c>
      <c r="AP124" s="52">
        <v>193.4</v>
      </c>
      <c r="AQ124" s="52">
        <v>196.4</v>
      </c>
      <c r="AR124" s="52">
        <v>199.57</v>
      </c>
      <c r="AS124" s="52">
        <v>202.66</v>
      </c>
      <c r="AT124" s="52">
        <v>119.71</v>
      </c>
      <c r="AU124" s="52">
        <v>116.62</v>
      </c>
    </row>
    <row r="125" spans="1:47">
      <c r="A125" s="489">
        <v>224.95</v>
      </c>
      <c r="B125" s="300">
        <v>272.14</v>
      </c>
      <c r="C125" s="301">
        <v>276.54000000000002</v>
      </c>
      <c r="D125" s="301">
        <v>280.95</v>
      </c>
      <c r="E125" s="621">
        <v>285.35000000000002</v>
      </c>
      <c r="F125" s="490">
        <v>246.97</v>
      </c>
      <c r="G125" s="490">
        <v>251.38</v>
      </c>
      <c r="H125" s="491">
        <v>255.78</v>
      </c>
      <c r="I125" s="52">
        <v>260.18</v>
      </c>
      <c r="J125" s="52">
        <v>264.58999999999997</v>
      </c>
      <c r="K125" s="52">
        <v>268.99</v>
      </c>
      <c r="L125" s="52">
        <v>273.39999999999998</v>
      </c>
      <c r="M125" s="52">
        <v>277.8</v>
      </c>
      <c r="N125" s="52">
        <v>282.20999999999998</v>
      </c>
      <c r="O125" s="52">
        <v>268</v>
      </c>
      <c r="P125" s="52">
        <v>272.39999999999998</v>
      </c>
      <c r="Q125" s="52">
        <v>276.81</v>
      </c>
      <c r="R125" s="52">
        <v>281.20999999999998</v>
      </c>
      <c r="S125" s="52">
        <v>201.93</v>
      </c>
      <c r="T125" s="52">
        <v>197.53</v>
      </c>
      <c r="U125" s="52">
        <v>193.12</v>
      </c>
      <c r="V125" s="52">
        <v>188.72</v>
      </c>
      <c r="W125" s="52">
        <v>184.31</v>
      </c>
      <c r="X125" s="485">
        <v>121</v>
      </c>
      <c r="Y125" s="489">
        <v>142.16</v>
      </c>
      <c r="Z125" s="489">
        <v>145.27000000000001</v>
      </c>
      <c r="AA125" s="489">
        <v>148.38</v>
      </c>
      <c r="AB125" s="489">
        <v>151.49</v>
      </c>
      <c r="AC125" s="489">
        <v>154.6</v>
      </c>
      <c r="AD125" s="299">
        <v>157.71</v>
      </c>
      <c r="AE125" s="299">
        <v>160.82</v>
      </c>
      <c r="AF125" s="299">
        <v>163.93</v>
      </c>
      <c r="AG125" s="300">
        <v>167.04</v>
      </c>
      <c r="AH125" s="301">
        <v>170.15</v>
      </c>
      <c r="AI125" s="301">
        <v>173.26</v>
      </c>
      <c r="AJ125" s="626">
        <v>176.37</v>
      </c>
      <c r="AK125" s="490">
        <v>179.48</v>
      </c>
      <c r="AL125" s="482">
        <v>182.59</v>
      </c>
      <c r="AM125" s="491">
        <v>185.7</v>
      </c>
      <c r="AN125" s="646">
        <v>188.81</v>
      </c>
      <c r="AO125" s="52">
        <v>191.92</v>
      </c>
      <c r="AP125" s="52">
        <v>195.03</v>
      </c>
      <c r="AQ125" s="52">
        <v>198.14</v>
      </c>
      <c r="AR125" s="52">
        <v>201.25</v>
      </c>
      <c r="AS125" s="52">
        <v>204.36</v>
      </c>
      <c r="AT125" s="52">
        <v>120.71</v>
      </c>
      <c r="AU125" s="52">
        <v>117.6</v>
      </c>
    </row>
    <row r="126" spans="1:47">
      <c r="A126" s="489">
        <v>226.84</v>
      </c>
      <c r="B126" s="300">
        <v>274.43</v>
      </c>
      <c r="C126" s="301">
        <v>278.87</v>
      </c>
      <c r="D126" s="301">
        <v>283.32</v>
      </c>
      <c r="E126" s="621">
        <v>287.76</v>
      </c>
      <c r="F126" s="490">
        <v>249.05</v>
      </c>
      <c r="G126" s="490">
        <v>253.49</v>
      </c>
      <c r="H126" s="491">
        <v>257.93</v>
      </c>
      <c r="I126" s="52">
        <v>262.37</v>
      </c>
      <c r="J126" s="52">
        <v>266.81</v>
      </c>
      <c r="K126" s="52">
        <v>271.25</v>
      </c>
      <c r="L126" s="52">
        <v>275.69</v>
      </c>
      <c r="M126" s="52">
        <v>280.13</v>
      </c>
      <c r="N126" s="52">
        <v>284.57</v>
      </c>
      <c r="O126" s="52">
        <v>270.24</v>
      </c>
      <c r="P126" s="52">
        <v>274.68</v>
      </c>
      <c r="Q126" s="52">
        <v>279.12</v>
      </c>
      <c r="R126" s="52">
        <v>283.56</v>
      </c>
      <c r="S126" s="52">
        <v>203.63</v>
      </c>
      <c r="T126" s="52">
        <v>199.19</v>
      </c>
      <c r="U126" s="52">
        <v>194.75</v>
      </c>
      <c r="V126" s="52">
        <v>190.31</v>
      </c>
      <c r="W126" s="52">
        <v>185.86</v>
      </c>
      <c r="X126" s="485">
        <v>122</v>
      </c>
      <c r="Y126" s="489">
        <v>143.35</v>
      </c>
      <c r="Z126" s="489">
        <v>146.49</v>
      </c>
      <c r="AA126" s="489">
        <v>149.62</v>
      </c>
      <c r="AB126" s="489">
        <v>152.76</v>
      </c>
      <c r="AC126" s="489">
        <v>155.88999999999999</v>
      </c>
      <c r="AD126" s="299">
        <v>159.03</v>
      </c>
      <c r="AE126" s="299">
        <v>162.16999999999999</v>
      </c>
      <c r="AF126" s="299">
        <v>165.3</v>
      </c>
      <c r="AG126" s="300">
        <v>168.44</v>
      </c>
      <c r="AH126" s="301">
        <v>171.57</v>
      </c>
      <c r="AI126" s="301">
        <v>174.71</v>
      </c>
      <c r="AJ126" s="626">
        <v>177.84</v>
      </c>
      <c r="AK126" s="490">
        <v>180.98</v>
      </c>
      <c r="AL126" s="482">
        <v>154.11000000000001</v>
      </c>
      <c r="AM126" s="491">
        <v>187.25</v>
      </c>
      <c r="AN126" s="646">
        <v>190.38</v>
      </c>
      <c r="AO126" s="52">
        <v>193.52</v>
      </c>
      <c r="AP126" s="52">
        <v>196.65</v>
      </c>
      <c r="AQ126" s="52">
        <v>199.79</v>
      </c>
      <c r="AR126" s="52">
        <v>202.93</v>
      </c>
      <c r="AS126" s="52">
        <v>206.06</v>
      </c>
      <c r="AT126" s="52">
        <v>121.72</v>
      </c>
      <c r="AU126" s="52">
        <v>118.58</v>
      </c>
    </row>
    <row r="127" spans="1:47">
      <c r="A127" s="489">
        <v>228.74</v>
      </c>
      <c r="B127" s="300">
        <v>276.74</v>
      </c>
      <c r="C127" s="301">
        <v>281.20999999999998</v>
      </c>
      <c r="D127" s="301">
        <v>285.69</v>
      </c>
      <c r="E127" s="621">
        <v>290.17</v>
      </c>
      <c r="F127" s="490" t="s">
        <v>275</v>
      </c>
      <c r="G127" s="490">
        <v>255.6</v>
      </c>
      <c r="H127" s="491">
        <v>260.08</v>
      </c>
      <c r="I127" s="52">
        <v>264.56</v>
      </c>
      <c r="J127" s="52">
        <v>269.04000000000002</v>
      </c>
      <c r="K127" s="52">
        <v>273.51</v>
      </c>
      <c r="L127" s="52">
        <v>277.99</v>
      </c>
      <c r="M127" s="52">
        <v>282.47000000000003</v>
      </c>
      <c r="N127" s="52">
        <v>286.94</v>
      </c>
      <c r="O127" s="52">
        <v>272.49</v>
      </c>
      <c r="P127" s="52">
        <v>276.95999999999998</v>
      </c>
      <c r="Q127" s="52">
        <v>281.44</v>
      </c>
      <c r="R127" s="52">
        <v>285.92</v>
      </c>
      <c r="S127" s="52">
        <v>205.33</v>
      </c>
      <c r="T127" s="52">
        <v>200.85</v>
      </c>
      <c r="U127" s="52">
        <v>196.37</v>
      </c>
      <c r="V127" s="52">
        <v>191.9</v>
      </c>
      <c r="W127" s="52">
        <v>187.42</v>
      </c>
      <c r="X127" s="485">
        <v>123</v>
      </c>
      <c r="Y127" s="489">
        <v>144.47999999999999</v>
      </c>
      <c r="Z127" s="489">
        <v>147.63999999999999</v>
      </c>
      <c r="AA127" s="489">
        <v>150.80000000000001</v>
      </c>
      <c r="AB127" s="489">
        <v>153.96</v>
      </c>
      <c r="AC127" s="489">
        <v>157.12</v>
      </c>
      <c r="AD127" s="299">
        <v>160.28</v>
      </c>
      <c r="AE127" s="299">
        <v>163.44</v>
      </c>
      <c r="AF127" s="299">
        <v>166.6</v>
      </c>
      <c r="AG127" s="300">
        <v>169.77</v>
      </c>
      <c r="AH127" s="301">
        <v>172.93</v>
      </c>
      <c r="AI127" s="301">
        <v>176.09</v>
      </c>
      <c r="AJ127" s="626">
        <v>179.25</v>
      </c>
      <c r="AK127" s="490">
        <v>182.41</v>
      </c>
      <c r="AL127" s="482">
        <v>185.57</v>
      </c>
      <c r="AM127" s="491">
        <v>188.73</v>
      </c>
      <c r="AN127" s="646">
        <v>191.89</v>
      </c>
      <c r="AO127" s="52">
        <v>195.05</v>
      </c>
      <c r="AP127" s="52">
        <v>198.22</v>
      </c>
      <c r="AQ127" s="52">
        <v>201.38</v>
      </c>
      <c r="AR127" s="52">
        <v>204.54</v>
      </c>
      <c r="AS127" s="52">
        <v>207.7</v>
      </c>
      <c r="AT127" s="52">
        <v>122.68</v>
      </c>
      <c r="AU127" s="52">
        <v>119.52</v>
      </c>
    </row>
    <row r="128" spans="1:47">
      <c r="A128" s="489">
        <v>230.65</v>
      </c>
      <c r="B128" s="300">
        <v>279.05</v>
      </c>
      <c r="C128" s="301">
        <v>283.56</v>
      </c>
      <c r="D128" s="301">
        <v>288.08</v>
      </c>
      <c r="E128" s="621">
        <v>292.58999999999997</v>
      </c>
      <c r="F128" s="490">
        <v>253.22</v>
      </c>
      <c r="G128" s="490">
        <v>257.73</v>
      </c>
      <c r="H128" s="491">
        <v>262.24</v>
      </c>
      <c r="I128" s="52">
        <v>266.76</v>
      </c>
      <c r="J128" s="52">
        <v>271.27</v>
      </c>
      <c r="K128" s="52">
        <v>275.77999999999997</v>
      </c>
      <c r="L128" s="52">
        <v>280.3</v>
      </c>
      <c r="M128" s="52">
        <v>284.81</v>
      </c>
      <c r="N128" s="52">
        <v>289.32</v>
      </c>
      <c r="O128" s="52">
        <v>274.74</v>
      </c>
      <c r="P128" s="52">
        <v>279.25</v>
      </c>
      <c r="Q128" s="52">
        <v>283.77</v>
      </c>
      <c r="R128" s="52">
        <v>288.27999999999997</v>
      </c>
      <c r="S128" s="52">
        <v>207.03</v>
      </c>
      <c r="T128" s="52">
        <v>202.52</v>
      </c>
      <c r="U128" s="52">
        <v>198.01</v>
      </c>
      <c r="V128" s="52">
        <v>193.49</v>
      </c>
      <c r="W128" s="52">
        <v>188.98</v>
      </c>
      <c r="X128" s="485">
        <v>124</v>
      </c>
      <c r="Y128" s="489">
        <v>145.66999999999999</v>
      </c>
      <c r="Z128" s="489">
        <v>148.86000000000001</v>
      </c>
      <c r="AA128" s="489">
        <v>152.04</v>
      </c>
      <c r="AB128" s="489">
        <v>155.22999999999999</v>
      </c>
      <c r="AC128" s="489">
        <v>158.41999999999999</v>
      </c>
      <c r="AD128" s="299">
        <v>161.6</v>
      </c>
      <c r="AE128" s="299">
        <v>164.79</v>
      </c>
      <c r="AF128" s="299">
        <v>167.98</v>
      </c>
      <c r="AG128" s="300">
        <v>171.17</v>
      </c>
      <c r="AH128" s="301">
        <v>174.35</v>
      </c>
      <c r="AI128" s="301">
        <v>177.54</v>
      </c>
      <c r="AJ128" s="626">
        <v>180.73</v>
      </c>
      <c r="AK128" s="490">
        <v>183.91</v>
      </c>
      <c r="AL128" s="482">
        <v>187.1</v>
      </c>
      <c r="AM128" s="491">
        <v>190.29</v>
      </c>
      <c r="AN128" s="646">
        <v>193.47</v>
      </c>
      <c r="AO128" s="52">
        <v>196.66</v>
      </c>
      <c r="AP128" s="52">
        <v>199.85</v>
      </c>
      <c r="AQ128" s="52">
        <v>203.03</v>
      </c>
      <c r="AR128" s="52">
        <v>206.22</v>
      </c>
      <c r="AS128" s="52">
        <v>209.41</v>
      </c>
      <c r="AT128" s="52">
        <v>123.69</v>
      </c>
      <c r="AU128" s="52">
        <v>120.51</v>
      </c>
    </row>
    <row r="129" spans="1:47">
      <c r="A129" s="489">
        <v>232.36</v>
      </c>
      <c r="B129" s="300">
        <v>281.11</v>
      </c>
      <c r="C129" s="301">
        <v>285.66000000000003</v>
      </c>
      <c r="D129" s="301">
        <v>290.20999999999998</v>
      </c>
      <c r="E129" s="621">
        <v>294.76</v>
      </c>
      <c r="F129" s="490">
        <v>255.11</v>
      </c>
      <c r="G129" s="490">
        <v>259.66000000000003</v>
      </c>
      <c r="H129" s="491">
        <v>264.20999999999998</v>
      </c>
      <c r="I129" s="52">
        <v>268.76</v>
      </c>
      <c r="J129" s="52">
        <v>273.31</v>
      </c>
      <c r="K129" s="52">
        <v>277.86</v>
      </c>
      <c r="L129" s="52">
        <v>282.41000000000003</v>
      </c>
      <c r="M129" s="52">
        <v>286.95999999999998</v>
      </c>
      <c r="N129" s="52">
        <v>291.51</v>
      </c>
      <c r="O129" s="52">
        <v>276.83999999999997</v>
      </c>
      <c r="P129" s="52">
        <v>281.39</v>
      </c>
      <c r="Q129" s="52">
        <v>285.94</v>
      </c>
      <c r="R129" s="52">
        <v>290.49</v>
      </c>
      <c r="S129" s="52">
        <v>208.59</v>
      </c>
      <c r="T129" s="52">
        <v>204.04</v>
      </c>
      <c r="U129" s="52">
        <v>199.49</v>
      </c>
      <c r="V129" s="52">
        <v>194.94</v>
      </c>
      <c r="W129" s="52">
        <v>190.39</v>
      </c>
      <c r="X129" s="485">
        <v>125</v>
      </c>
      <c r="Y129" s="489">
        <v>146.87</v>
      </c>
      <c r="Z129" s="489">
        <v>150.08000000000001</v>
      </c>
      <c r="AA129" s="489">
        <v>153.29</v>
      </c>
      <c r="AB129" s="489">
        <v>156.5</v>
      </c>
      <c r="AC129" s="489">
        <v>159.72</v>
      </c>
      <c r="AD129" s="299">
        <v>162.93</v>
      </c>
      <c r="AE129" s="299">
        <v>166.14</v>
      </c>
      <c r="AF129" s="299">
        <v>169.35</v>
      </c>
      <c r="AG129" s="300">
        <v>172.57</v>
      </c>
      <c r="AH129" s="301">
        <v>175.78</v>
      </c>
      <c r="AI129" s="301">
        <v>178.99</v>
      </c>
      <c r="AJ129" s="626">
        <v>182.2</v>
      </c>
      <c r="AK129" s="490">
        <v>185.42</v>
      </c>
      <c r="AL129" s="482">
        <v>188.63</v>
      </c>
      <c r="AM129" s="491">
        <v>191.84</v>
      </c>
      <c r="AN129" s="646">
        <v>195.05</v>
      </c>
      <c r="AO129" s="52">
        <v>198.27</v>
      </c>
      <c r="AP129" s="52">
        <v>201.48</v>
      </c>
      <c r="AQ129" s="52">
        <v>204.69</v>
      </c>
      <c r="AR129" s="52">
        <v>207.9</v>
      </c>
      <c r="AS129" s="52">
        <v>211.12</v>
      </c>
      <c r="AT129" s="52">
        <v>124.7</v>
      </c>
      <c r="AU129" s="52">
        <v>121.49</v>
      </c>
    </row>
    <row r="130" spans="1:47">
      <c r="A130" s="489">
        <v>234.28</v>
      </c>
      <c r="B130" s="300">
        <v>283.44</v>
      </c>
      <c r="C130" s="301">
        <v>288.02</v>
      </c>
      <c r="D130" s="301">
        <v>292.61</v>
      </c>
      <c r="E130" s="621">
        <v>297.2</v>
      </c>
      <c r="F130" s="490">
        <v>257.20999999999998</v>
      </c>
      <c r="G130" s="490">
        <v>261.8</v>
      </c>
      <c r="H130" s="491">
        <v>266.39</v>
      </c>
      <c r="I130" s="52">
        <v>270.97000000000003</v>
      </c>
      <c r="J130" s="52">
        <v>275.56</v>
      </c>
      <c r="K130" s="52">
        <v>280.14999999999998</v>
      </c>
      <c r="L130" s="52">
        <v>284.73</v>
      </c>
      <c r="M130" s="52">
        <v>289.32</v>
      </c>
      <c r="N130" s="52">
        <v>293.91000000000003</v>
      </c>
      <c r="O130" s="52">
        <v>279.10000000000002</v>
      </c>
      <c r="P130" s="52">
        <v>283.69</v>
      </c>
      <c r="Q130" s="52">
        <v>288.27999999999997</v>
      </c>
      <c r="R130" s="52">
        <v>292.86</v>
      </c>
      <c r="S130" s="52">
        <v>210.31</v>
      </c>
      <c r="T130" s="52">
        <v>205.72</v>
      </c>
      <c r="U130" s="52">
        <v>201.13</v>
      </c>
      <c r="V130" s="52">
        <v>196.55</v>
      </c>
      <c r="W130" s="52">
        <v>191.96</v>
      </c>
      <c r="X130" s="485">
        <v>126</v>
      </c>
      <c r="Y130" s="489">
        <v>147.99</v>
      </c>
      <c r="Z130" s="489">
        <v>151.22999999999999</v>
      </c>
      <c r="AA130" s="489">
        <v>154.47</v>
      </c>
      <c r="AB130" s="489">
        <v>157.71</v>
      </c>
      <c r="AC130" s="489">
        <v>160.94999999999999</v>
      </c>
      <c r="AD130" s="299">
        <v>164.19</v>
      </c>
      <c r="AE130" s="299">
        <v>167.42</v>
      </c>
      <c r="AF130" s="299">
        <v>170.66</v>
      </c>
      <c r="AG130" s="300">
        <v>173.9</v>
      </c>
      <c r="AH130" s="301">
        <v>177.14</v>
      </c>
      <c r="AI130" s="301">
        <v>180.38</v>
      </c>
      <c r="AJ130" s="626">
        <v>183.61</v>
      </c>
      <c r="AK130" s="490">
        <v>186.85</v>
      </c>
      <c r="AL130" s="482">
        <v>190.09</v>
      </c>
      <c r="AM130" s="491">
        <v>193.33</v>
      </c>
      <c r="AN130" s="646">
        <v>196.57</v>
      </c>
      <c r="AO130" s="52">
        <v>199.81</v>
      </c>
      <c r="AP130" s="52">
        <v>203.04</v>
      </c>
      <c r="AQ130" s="52">
        <v>206.28</v>
      </c>
      <c r="AR130" s="52">
        <v>209.52</v>
      </c>
      <c r="AS130" s="52">
        <v>212.76</v>
      </c>
      <c r="AT130" s="52">
        <v>125.67</v>
      </c>
      <c r="AU130" s="52">
        <v>122.43</v>
      </c>
    </row>
    <row r="131" spans="1:47">
      <c r="A131" s="489">
        <v>236.21</v>
      </c>
      <c r="B131" s="300">
        <v>285.77</v>
      </c>
      <c r="C131" s="301">
        <v>290.39999999999998</v>
      </c>
      <c r="D131" s="301">
        <v>295.02</v>
      </c>
      <c r="E131" s="621">
        <v>299.64</v>
      </c>
      <c r="F131" s="490">
        <v>259.32</v>
      </c>
      <c r="G131" s="490">
        <v>263.94</v>
      </c>
      <c r="H131" s="491">
        <v>268.57</v>
      </c>
      <c r="I131" s="52">
        <v>273.19</v>
      </c>
      <c r="J131" s="52">
        <v>277.81</v>
      </c>
      <c r="K131" s="52">
        <v>282.44</v>
      </c>
      <c r="L131" s="52">
        <v>287.06</v>
      </c>
      <c r="M131" s="52">
        <v>291.68</v>
      </c>
      <c r="N131" s="52">
        <v>296.3</v>
      </c>
      <c r="O131" s="52">
        <v>281.37</v>
      </c>
      <c r="P131" s="52">
        <v>285.99</v>
      </c>
      <c r="Q131" s="52">
        <v>290.61</v>
      </c>
      <c r="R131" s="52">
        <v>295.24</v>
      </c>
      <c r="S131" s="52">
        <v>212.03</v>
      </c>
      <c r="T131" s="52">
        <v>207.4</v>
      </c>
      <c r="U131" s="52">
        <v>202.78</v>
      </c>
      <c r="V131" s="52">
        <v>198.16</v>
      </c>
      <c r="W131" s="52">
        <v>193.54</v>
      </c>
      <c r="X131" s="485">
        <v>127</v>
      </c>
      <c r="Y131" s="489">
        <v>149.19</v>
      </c>
      <c r="Z131" s="489">
        <v>152.46</v>
      </c>
      <c r="AA131" s="489">
        <v>155.72</v>
      </c>
      <c r="AB131" s="489">
        <v>158.99</v>
      </c>
      <c r="AC131" s="489">
        <v>162.25</v>
      </c>
      <c r="AD131" s="299">
        <v>165.51</v>
      </c>
      <c r="AE131" s="299">
        <v>168.78</v>
      </c>
      <c r="AF131" s="299">
        <v>172.04</v>
      </c>
      <c r="AG131" s="300">
        <v>175.31</v>
      </c>
      <c r="AH131" s="301">
        <v>178.57</v>
      </c>
      <c r="AI131" s="301">
        <v>181.83</v>
      </c>
      <c r="AJ131" s="626">
        <v>185.1</v>
      </c>
      <c r="AK131" s="490">
        <v>188.36</v>
      </c>
      <c r="AL131" s="482">
        <v>191.63</v>
      </c>
      <c r="AM131" s="491">
        <v>194.89</v>
      </c>
      <c r="AN131" s="646">
        <v>198.15</v>
      </c>
      <c r="AO131" s="52">
        <v>201.42</v>
      </c>
      <c r="AP131" s="52">
        <v>204.68</v>
      </c>
      <c r="AQ131" s="52">
        <v>207.94</v>
      </c>
      <c r="AR131" s="52">
        <v>211.21</v>
      </c>
      <c r="AS131" s="52">
        <v>214.47</v>
      </c>
      <c r="AT131" s="52">
        <v>126.69</v>
      </c>
      <c r="AU131" s="52">
        <v>123.42</v>
      </c>
    </row>
    <row r="132" spans="1:47">
      <c r="A132" s="489">
        <v>237.93</v>
      </c>
      <c r="B132" s="300">
        <v>287.83999999999997</v>
      </c>
      <c r="C132" s="301">
        <v>292.5</v>
      </c>
      <c r="D132" s="301">
        <v>297.16000000000003</v>
      </c>
      <c r="E132" s="621">
        <v>301.82</v>
      </c>
      <c r="F132" s="490">
        <v>261.23</v>
      </c>
      <c r="G132" s="490">
        <v>265.89</v>
      </c>
      <c r="H132" s="491">
        <v>270.55</v>
      </c>
      <c r="I132" s="52">
        <v>275.20999999999998</v>
      </c>
      <c r="J132" s="52">
        <v>279.87</v>
      </c>
      <c r="K132" s="52">
        <v>284.52999999999997</v>
      </c>
      <c r="L132" s="52">
        <v>289.18</v>
      </c>
      <c r="M132" s="52">
        <v>293.83999999999997</v>
      </c>
      <c r="N132" s="52">
        <v>298.5</v>
      </c>
      <c r="O132" s="52">
        <v>283.48</v>
      </c>
      <c r="P132" s="52">
        <v>288.14</v>
      </c>
      <c r="Q132" s="52">
        <v>292.8</v>
      </c>
      <c r="R132" s="52">
        <v>297.45999999999998</v>
      </c>
      <c r="S132" s="52">
        <v>213.59</v>
      </c>
      <c r="T132" s="52">
        <v>208.93</v>
      </c>
      <c r="U132" s="52">
        <v>204.27</v>
      </c>
      <c r="V132" s="52">
        <v>199.61</v>
      </c>
      <c r="W132" s="52">
        <v>196.54</v>
      </c>
      <c r="X132" s="485">
        <v>128</v>
      </c>
      <c r="Y132" s="489">
        <v>150.4</v>
      </c>
      <c r="Z132" s="489">
        <v>153.69</v>
      </c>
      <c r="AA132" s="489">
        <v>156.97999999999999</v>
      </c>
      <c r="AB132" s="489">
        <v>160.27000000000001</v>
      </c>
      <c r="AC132" s="489">
        <v>163.56</v>
      </c>
      <c r="AD132" s="299">
        <v>166.85</v>
      </c>
      <c r="AE132" s="299">
        <v>170.13</v>
      </c>
      <c r="AF132" s="299">
        <v>173.42</v>
      </c>
      <c r="AG132" s="300">
        <v>176.71</v>
      </c>
      <c r="AH132" s="301">
        <v>180</v>
      </c>
      <c r="AI132" s="301">
        <v>183.29</v>
      </c>
      <c r="AJ132" s="626">
        <v>186.58</v>
      </c>
      <c r="AK132" s="490">
        <v>189.87</v>
      </c>
      <c r="AL132" s="482">
        <v>193.16</v>
      </c>
      <c r="AM132" s="491">
        <v>196.45</v>
      </c>
      <c r="AN132" s="646">
        <v>199.74</v>
      </c>
      <c r="AO132" s="52">
        <v>203.03</v>
      </c>
      <c r="AP132" s="52">
        <v>206.32</v>
      </c>
      <c r="AQ132" s="52">
        <v>209.61</v>
      </c>
      <c r="AR132" s="52">
        <v>212.9</v>
      </c>
      <c r="AS132" s="52">
        <v>216.19</v>
      </c>
      <c r="AT132" s="52">
        <v>127.7</v>
      </c>
      <c r="AU132" s="52">
        <v>124.41</v>
      </c>
    </row>
    <row r="133" spans="1:47">
      <c r="A133" s="489">
        <v>239.87</v>
      </c>
      <c r="B133" s="300">
        <v>290.2</v>
      </c>
      <c r="C133" s="301">
        <v>294.89</v>
      </c>
      <c r="D133" s="301">
        <v>299.58999999999997</v>
      </c>
      <c r="E133" s="621">
        <v>304.27999999999997</v>
      </c>
      <c r="F133" s="490">
        <v>263.35000000000002</v>
      </c>
      <c r="G133" s="490">
        <v>268.04000000000002</v>
      </c>
      <c r="H133" s="491">
        <v>272.74</v>
      </c>
      <c r="I133" s="52">
        <v>277.43</v>
      </c>
      <c r="J133" s="52">
        <v>282.13</v>
      </c>
      <c r="K133" s="52">
        <v>286.83</v>
      </c>
      <c r="L133" s="52">
        <v>291.52</v>
      </c>
      <c r="M133" s="52">
        <v>296.22000000000003</v>
      </c>
      <c r="N133" s="52">
        <v>300.91000000000003</v>
      </c>
      <c r="O133" s="52">
        <v>285.76</v>
      </c>
      <c r="P133" s="52">
        <v>290.45</v>
      </c>
      <c r="Q133" s="52">
        <v>295.14999999999998</v>
      </c>
      <c r="R133" s="52">
        <v>299.83999999999997</v>
      </c>
      <c r="S133" s="52">
        <v>215.32</v>
      </c>
      <c r="T133" s="52">
        <v>210.63</v>
      </c>
      <c r="U133" s="52">
        <v>205.93</v>
      </c>
      <c r="V133" s="52">
        <v>201.23</v>
      </c>
      <c r="W133" s="52">
        <v>198.13</v>
      </c>
      <c r="X133" s="485">
        <v>129</v>
      </c>
      <c r="Y133" s="489">
        <v>150.53</v>
      </c>
      <c r="Z133" s="489">
        <v>154.84</v>
      </c>
      <c r="AA133" s="489">
        <v>158.16</v>
      </c>
      <c r="AB133" s="489">
        <v>161.47</v>
      </c>
      <c r="AC133" s="489">
        <v>164.79</v>
      </c>
      <c r="AD133" s="299">
        <v>168.1</v>
      </c>
      <c r="AE133" s="299">
        <v>171.42</v>
      </c>
      <c r="AF133" s="299">
        <v>174.74</v>
      </c>
      <c r="AG133" s="300">
        <v>178.05</v>
      </c>
      <c r="AH133" s="301">
        <v>181.37</v>
      </c>
      <c r="AI133" s="301">
        <v>184.68</v>
      </c>
      <c r="AJ133" s="626">
        <v>188</v>
      </c>
      <c r="AK133" s="490">
        <v>191.31</v>
      </c>
      <c r="AL133" s="482">
        <v>194.63</v>
      </c>
      <c r="AM133" s="491">
        <v>197.94</v>
      </c>
      <c r="AN133" s="646">
        <v>201.26</v>
      </c>
      <c r="AO133" s="52">
        <v>204.57</v>
      </c>
      <c r="AP133" s="52">
        <v>207.89</v>
      </c>
      <c r="AQ133" s="52">
        <v>211.2</v>
      </c>
      <c r="AR133" s="52">
        <v>214.52</v>
      </c>
      <c r="AS133" s="52">
        <v>217.83</v>
      </c>
      <c r="AT133" s="52">
        <v>128.66999999999999</v>
      </c>
      <c r="AU133" s="52">
        <v>125.36</v>
      </c>
    </row>
    <row r="134" spans="1:47">
      <c r="A134" s="489">
        <v>241.82</v>
      </c>
      <c r="B134" s="300">
        <v>292.56</v>
      </c>
      <c r="C134" s="301">
        <v>297.29000000000002</v>
      </c>
      <c r="D134" s="301">
        <v>302.02999999999997</v>
      </c>
      <c r="E134" s="621">
        <v>306.76</v>
      </c>
      <c r="F134" s="490">
        <v>265.48</v>
      </c>
      <c r="G134" s="490">
        <v>270.20999999999998</v>
      </c>
      <c r="H134" s="491">
        <v>274.94</v>
      </c>
      <c r="I134" s="52">
        <v>279.67</v>
      </c>
      <c r="J134" s="52">
        <v>284.39999999999998</v>
      </c>
      <c r="K134" s="52">
        <v>289.14</v>
      </c>
      <c r="L134" s="52">
        <v>293.87</v>
      </c>
      <c r="M134" s="52">
        <v>298.60000000000002</v>
      </c>
      <c r="N134" s="52">
        <v>303.33</v>
      </c>
      <c r="O134" s="52">
        <v>288.04000000000002</v>
      </c>
      <c r="P134" s="52">
        <v>292.77</v>
      </c>
      <c r="Q134" s="52">
        <v>297.5</v>
      </c>
      <c r="R134" s="52">
        <v>302.23</v>
      </c>
      <c r="S134" s="52">
        <v>217.06</v>
      </c>
      <c r="T134" s="52">
        <v>212.32</v>
      </c>
      <c r="U134" s="52">
        <v>207.59</v>
      </c>
      <c r="V134" s="52">
        <v>202.86</v>
      </c>
      <c r="W134" s="52">
        <v>199.56</v>
      </c>
      <c r="X134" s="485">
        <v>130</v>
      </c>
      <c r="Y134" s="489">
        <v>152.74</v>
      </c>
      <c r="Z134" s="489">
        <v>156.08000000000001</v>
      </c>
      <c r="AA134" s="489">
        <v>159.41999999999999</v>
      </c>
      <c r="AB134" s="489">
        <v>162.76</v>
      </c>
      <c r="AC134" s="489">
        <v>166.1</v>
      </c>
      <c r="AD134" s="299">
        <v>169.44</v>
      </c>
      <c r="AE134" s="299">
        <v>172.78</v>
      </c>
      <c r="AF134" s="299">
        <v>176.12</v>
      </c>
      <c r="AG134" s="300">
        <v>179.46</v>
      </c>
      <c r="AH134" s="301">
        <v>182.8</v>
      </c>
      <c r="AI134" s="301">
        <v>186.15</v>
      </c>
      <c r="AJ134" s="626">
        <v>189.49</v>
      </c>
      <c r="AK134" s="490">
        <v>192.83</v>
      </c>
      <c r="AL134" s="482">
        <v>196.17</v>
      </c>
      <c r="AM134" s="491">
        <v>199.51</v>
      </c>
      <c r="AN134" s="646">
        <v>202.85</v>
      </c>
      <c r="AO134" s="52">
        <v>206.19</v>
      </c>
      <c r="AP134" s="52">
        <v>209.53</v>
      </c>
      <c r="AQ134" s="52">
        <v>212.87</v>
      </c>
      <c r="AR134" s="52">
        <v>216.21</v>
      </c>
      <c r="AS134" s="52">
        <v>219.56</v>
      </c>
      <c r="AT134" s="52">
        <v>129.69</v>
      </c>
      <c r="AU134" s="52">
        <v>126.35</v>
      </c>
    </row>
    <row r="135" spans="1:47">
      <c r="A135" s="489">
        <v>243.55</v>
      </c>
      <c r="B135" s="300">
        <v>294.64999999999998</v>
      </c>
      <c r="C135" s="301">
        <v>299.41000000000003</v>
      </c>
      <c r="D135" s="301">
        <v>304.18</v>
      </c>
      <c r="E135" s="621">
        <v>308.95</v>
      </c>
      <c r="F135" s="490">
        <v>267.39</v>
      </c>
      <c r="G135" s="490">
        <v>272.16000000000003</v>
      </c>
      <c r="H135" s="491">
        <v>276.93</v>
      </c>
      <c r="I135" s="52">
        <v>281.7</v>
      </c>
      <c r="J135" s="52">
        <v>286.47000000000003</v>
      </c>
      <c r="K135" s="52">
        <v>291.24</v>
      </c>
      <c r="L135" s="52">
        <v>296</v>
      </c>
      <c r="M135" s="52">
        <v>300.77</v>
      </c>
      <c r="N135" s="52">
        <v>305.54000000000002</v>
      </c>
      <c r="O135" s="52">
        <v>290.16000000000003</v>
      </c>
      <c r="P135" s="52">
        <v>294.92</v>
      </c>
      <c r="Q135" s="52">
        <v>299.69</v>
      </c>
      <c r="R135" s="52">
        <v>304.45999999999998</v>
      </c>
      <c r="S135" s="52">
        <v>218.63</v>
      </c>
      <c r="T135" s="52">
        <v>213.86</v>
      </c>
      <c r="U135" s="52">
        <v>209.09</v>
      </c>
      <c r="V135" s="52">
        <v>204.32</v>
      </c>
      <c r="W135" s="52">
        <v>201.16</v>
      </c>
      <c r="X135" s="485">
        <v>131</v>
      </c>
      <c r="Y135" s="489">
        <v>153.87</v>
      </c>
      <c r="Z135" s="489">
        <v>157.24</v>
      </c>
      <c r="AA135" s="489">
        <v>160.6</v>
      </c>
      <c r="AB135" s="489">
        <v>163.97</v>
      </c>
      <c r="AC135" s="489">
        <v>167.34</v>
      </c>
      <c r="AD135" s="299">
        <v>170.7</v>
      </c>
      <c r="AE135" s="299">
        <v>174.07</v>
      </c>
      <c r="AF135" s="299">
        <v>177.44</v>
      </c>
      <c r="AG135" s="300">
        <v>180.8</v>
      </c>
      <c r="AH135" s="301">
        <v>184.17</v>
      </c>
      <c r="AI135" s="301">
        <v>187.54</v>
      </c>
      <c r="AJ135" s="626">
        <v>190.9</v>
      </c>
      <c r="AK135" s="490">
        <v>194.27</v>
      </c>
      <c r="AL135" s="482">
        <v>197.64</v>
      </c>
      <c r="AM135" s="491">
        <v>201</v>
      </c>
      <c r="AN135" s="646">
        <v>204.37</v>
      </c>
      <c r="AO135" s="52">
        <v>207.74</v>
      </c>
      <c r="AP135" s="52">
        <v>211.1</v>
      </c>
      <c r="AQ135" s="52">
        <v>214.47</v>
      </c>
      <c r="AR135" s="52">
        <v>217.84</v>
      </c>
      <c r="AS135" s="52">
        <v>221.2</v>
      </c>
      <c r="AT135" s="52">
        <v>130.66</v>
      </c>
      <c r="AU135" s="52">
        <v>127.29</v>
      </c>
    </row>
    <row r="136" spans="1:47">
      <c r="A136" s="489">
        <v>245.51</v>
      </c>
      <c r="B136" s="300">
        <v>297.02999999999997</v>
      </c>
      <c r="C136" s="301">
        <v>301.83</v>
      </c>
      <c r="D136" s="301">
        <v>306.64</v>
      </c>
      <c r="E136" s="621">
        <v>311.44</v>
      </c>
      <c r="F136" s="490">
        <v>269.52999999999997</v>
      </c>
      <c r="G136" s="490">
        <v>274.33999999999997</v>
      </c>
      <c r="H136" s="491">
        <v>279.14</v>
      </c>
      <c r="I136" s="52">
        <v>283.95</v>
      </c>
      <c r="J136" s="52">
        <v>288.75</v>
      </c>
      <c r="K136" s="52">
        <v>293.56</v>
      </c>
      <c r="L136" s="52">
        <v>298.36</v>
      </c>
      <c r="M136" s="52">
        <v>303.17</v>
      </c>
      <c r="N136" s="52">
        <v>307.97000000000003</v>
      </c>
      <c r="O136" s="52">
        <v>292.45</v>
      </c>
      <c r="P136" s="52">
        <v>297.25</v>
      </c>
      <c r="Q136" s="52">
        <v>302.06</v>
      </c>
      <c r="R136" s="52">
        <v>306.86</v>
      </c>
      <c r="S136" s="52">
        <v>220.38</v>
      </c>
      <c r="T136" s="52">
        <v>215.57</v>
      </c>
      <c r="U136" s="52">
        <v>210.77</v>
      </c>
      <c r="V136" s="52">
        <v>205.96</v>
      </c>
      <c r="W136" s="52">
        <v>202.59</v>
      </c>
      <c r="X136" s="485">
        <v>132</v>
      </c>
      <c r="Y136" s="489">
        <v>155</v>
      </c>
      <c r="Z136" s="489">
        <v>158.38999999999999</v>
      </c>
      <c r="AA136" s="489">
        <v>161.79</v>
      </c>
      <c r="AB136" s="489">
        <v>156.18</v>
      </c>
      <c r="AC136" s="489">
        <v>168.57</v>
      </c>
      <c r="AD136" s="299">
        <v>171.96</v>
      </c>
      <c r="AE136" s="299">
        <v>175.36</v>
      </c>
      <c r="AF136" s="299">
        <v>178.75</v>
      </c>
      <c r="AG136" s="300">
        <v>182.14</v>
      </c>
      <c r="AH136" s="301">
        <v>185.53</v>
      </c>
      <c r="AI136" s="301">
        <v>188.93</v>
      </c>
      <c r="AJ136" s="626">
        <v>192.32</v>
      </c>
      <c r="AK136" s="490">
        <v>195.71</v>
      </c>
      <c r="AL136" s="482">
        <v>199.1</v>
      </c>
      <c r="AM136" s="491">
        <v>202.5</v>
      </c>
      <c r="AN136" s="646">
        <v>205.89</v>
      </c>
      <c r="AO136" s="52">
        <v>209.28</v>
      </c>
      <c r="AP136" s="52">
        <v>212.67</v>
      </c>
      <c r="AQ136" s="52">
        <v>216.07</v>
      </c>
      <c r="AR136" s="52">
        <v>219.46</v>
      </c>
      <c r="AS136" s="52">
        <v>222.85</v>
      </c>
      <c r="AT136" s="52">
        <v>131.63</v>
      </c>
      <c r="AU136" s="52">
        <v>128.24</v>
      </c>
    </row>
    <row r="137" spans="1:47">
      <c r="A137" s="489">
        <v>247.25</v>
      </c>
      <c r="B137" s="300">
        <v>299.12</v>
      </c>
      <c r="C137" s="301">
        <v>303.95999999999998</v>
      </c>
      <c r="D137" s="301">
        <v>308.8</v>
      </c>
      <c r="E137" s="621">
        <v>313.64</v>
      </c>
      <c r="F137" s="490">
        <v>271.45999999999998</v>
      </c>
      <c r="G137" s="490">
        <v>276.3</v>
      </c>
      <c r="H137" s="491">
        <v>281.14</v>
      </c>
      <c r="I137" s="52">
        <v>285.98</v>
      </c>
      <c r="J137" s="52">
        <v>290.82</v>
      </c>
      <c r="K137" s="52">
        <v>295.66000000000003</v>
      </c>
      <c r="L137" s="52">
        <v>300.5</v>
      </c>
      <c r="M137" s="52">
        <v>305.35000000000002</v>
      </c>
      <c r="N137" s="52">
        <v>310.19</v>
      </c>
      <c r="O137" s="52">
        <v>294.57</v>
      </c>
      <c r="P137" s="52">
        <v>299.41000000000003</v>
      </c>
      <c r="Q137" s="52">
        <v>304.25</v>
      </c>
      <c r="R137" s="52">
        <v>309.10000000000002</v>
      </c>
      <c r="S137" s="52">
        <v>221.95</v>
      </c>
      <c r="T137" s="52">
        <v>217.11</v>
      </c>
      <c r="U137" s="52">
        <v>212.27</v>
      </c>
      <c r="V137" s="52">
        <v>207.43</v>
      </c>
      <c r="W137" s="52">
        <v>204.2</v>
      </c>
      <c r="X137" s="485">
        <v>133</v>
      </c>
      <c r="Y137" s="489">
        <v>156.22</v>
      </c>
      <c r="Z137" s="489">
        <v>159.63</v>
      </c>
      <c r="AA137" s="489">
        <v>163.05000000000001</v>
      </c>
      <c r="AB137" s="489">
        <v>166.47</v>
      </c>
      <c r="AC137" s="489">
        <v>169.89</v>
      </c>
      <c r="AD137" s="299">
        <v>173.31</v>
      </c>
      <c r="AE137" s="299">
        <v>176.72</v>
      </c>
      <c r="AF137" s="299">
        <v>180.14</v>
      </c>
      <c r="AG137" s="300">
        <v>183.56</v>
      </c>
      <c r="AH137" s="301">
        <v>186.98</v>
      </c>
      <c r="AI137" s="301">
        <v>190.4</v>
      </c>
      <c r="AJ137" s="626">
        <v>193.82</v>
      </c>
      <c r="AK137" s="490">
        <v>197.23</v>
      </c>
      <c r="AL137" s="482">
        <v>200.65</v>
      </c>
      <c r="AM137" s="491">
        <v>204.07</v>
      </c>
      <c r="AN137" s="646">
        <v>207.49</v>
      </c>
      <c r="AO137" s="52">
        <v>210.91</v>
      </c>
      <c r="AP137" s="52">
        <v>214.32</v>
      </c>
      <c r="AQ137" s="52">
        <v>217.74</v>
      </c>
      <c r="AR137" s="52">
        <v>221.16</v>
      </c>
      <c r="AS137" s="52">
        <v>224.58</v>
      </c>
      <c r="AT137" s="52">
        <v>132.65</v>
      </c>
      <c r="AU137" s="52">
        <v>129.24</v>
      </c>
    </row>
    <row r="138" spans="1:47">
      <c r="A138" s="489">
        <v>249.22</v>
      </c>
      <c r="B138" s="300">
        <v>301.52</v>
      </c>
      <c r="C138" s="301">
        <v>306.39999999999998</v>
      </c>
      <c r="D138" s="301">
        <v>311.27</v>
      </c>
      <c r="E138" s="621">
        <v>316.14999999999998</v>
      </c>
      <c r="F138" s="490">
        <v>273.61</v>
      </c>
      <c r="G138" s="490">
        <v>278.49</v>
      </c>
      <c r="H138" s="491">
        <v>283.36</v>
      </c>
      <c r="I138" s="52">
        <v>288.24</v>
      </c>
      <c r="J138" s="52">
        <v>293.12</v>
      </c>
      <c r="K138" s="52">
        <v>298</v>
      </c>
      <c r="L138" s="52">
        <v>302.88</v>
      </c>
      <c r="M138" s="52">
        <v>307.75</v>
      </c>
      <c r="N138" s="52">
        <v>312.63</v>
      </c>
      <c r="O138" s="52">
        <v>296.87</v>
      </c>
      <c r="P138" s="52">
        <v>301.75</v>
      </c>
      <c r="Q138" s="52">
        <v>306.63</v>
      </c>
      <c r="R138" s="52">
        <v>311.51</v>
      </c>
      <c r="S138" s="52">
        <v>223.71</v>
      </c>
      <c r="T138" s="52">
        <v>218.83</v>
      </c>
      <c r="U138" s="52">
        <v>213.95</v>
      </c>
      <c r="V138" s="52">
        <v>209.08</v>
      </c>
      <c r="W138" s="52">
        <v>205.64</v>
      </c>
      <c r="X138" s="485">
        <v>134</v>
      </c>
      <c r="Y138" s="489">
        <v>157.35</v>
      </c>
      <c r="Z138" s="489">
        <v>160.80000000000001</v>
      </c>
      <c r="AA138" s="489">
        <v>164.24</v>
      </c>
      <c r="AB138" s="489">
        <v>167.68</v>
      </c>
      <c r="AC138" s="489">
        <v>171.13</v>
      </c>
      <c r="AD138" s="299">
        <v>174.57</v>
      </c>
      <c r="AE138" s="299">
        <v>178.01</v>
      </c>
      <c r="AF138" s="299">
        <v>181.46</v>
      </c>
      <c r="AG138" s="300">
        <v>184.9</v>
      </c>
      <c r="AH138" s="301">
        <v>188.35</v>
      </c>
      <c r="AI138" s="301">
        <v>191.79</v>
      </c>
      <c r="AJ138" s="626">
        <v>195.23</v>
      </c>
      <c r="AK138" s="490">
        <v>198.68</v>
      </c>
      <c r="AL138" s="482">
        <v>202.12</v>
      </c>
      <c r="AM138" s="491">
        <v>205.57</v>
      </c>
      <c r="AN138" s="646">
        <v>209.01</v>
      </c>
      <c r="AO138" s="52">
        <v>212.45</v>
      </c>
      <c r="AP138" s="52">
        <v>215.9</v>
      </c>
      <c r="AQ138" s="52">
        <v>219.34</v>
      </c>
      <c r="AR138" s="52">
        <v>222.78</v>
      </c>
      <c r="AS138" s="52">
        <v>226.23</v>
      </c>
      <c r="AT138" s="52">
        <v>133.63</v>
      </c>
      <c r="AU138" s="52">
        <v>130.18</v>
      </c>
    </row>
    <row r="139" spans="1:47">
      <c r="A139" s="489">
        <v>250.97</v>
      </c>
      <c r="B139" s="300">
        <v>303.62</v>
      </c>
      <c r="C139" s="301">
        <v>308.52999999999997</v>
      </c>
      <c r="D139" s="301">
        <v>313.45</v>
      </c>
      <c r="E139" s="621">
        <v>318.36</v>
      </c>
      <c r="F139" s="490">
        <v>275.54000000000002</v>
      </c>
      <c r="G139" s="490">
        <v>280.45</v>
      </c>
      <c r="H139" s="491">
        <v>285.37</v>
      </c>
      <c r="I139" s="52">
        <v>290.27999999999997</v>
      </c>
      <c r="J139" s="52">
        <v>295.2</v>
      </c>
      <c r="K139" s="52">
        <v>300.11</v>
      </c>
      <c r="L139" s="52">
        <v>305.02</v>
      </c>
      <c r="M139" s="52">
        <v>309.94</v>
      </c>
      <c r="N139" s="52">
        <v>314.85000000000002</v>
      </c>
      <c r="O139" s="52">
        <v>299</v>
      </c>
      <c r="P139" s="52">
        <v>303.92</v>
      </c>
      <c r="Q139" s="52">
        <v>308.83</v>
      </c>
      <c r="R139" s="52">
        <v>313.74</v>
      </c>
      <c r="S139" s="52">
        <v>225.29</v>
      </c>
      <c r="T139" s="52">
        <v>220.38</v>
      </c>
      <c r="U139" s="52">
        <v>215.46</v>
      </c>
      <c r="V139" s="52">
        <v>210.55</v>
      </c>
      <c r="W139" s="52">
        <v>207.08</v>
      </c>
      <c r="X139" s="485">
        <v>135</v>
      </c>
      <c r="Y139" s="489">
        <v>158.57</v>
      </c>
      <c r="Z139" s="489">
        <v>162.04</v>
      </c>
      <c r="AA139" s="489">
        <v>165.51</v>
      </c>
      <c r="AB139" s="489">
        <v>168.98</v>
      </c>
      <c r="AC139" s="489">
        <v>172.45</v>
      </c>
      <c r="AD139" s="299">
        <v>175.92</v>
      </c>
      <c r="AE139" s="299">
        <v>179.39</v>
      </c>
      <c r="AF139" s="299">
        <v>182.86</v>
      </c>
      <c r="AG139" s="300">
        <v>186.33</v>
      </c>
      <c r="AH139" s="301">
        <v>189.8</v>
      </c>
      <c r="AI139" s="301">
        <v>193.27</v>
      </c>
      <c r="AJ139" s="626">
        <v>196.74</v>
      </c>
      <c r="AK139" s="490">
        <v>200.2</v>
      </c>
      <c r="AL139" s="482">
        <v>203.67</v>
      </c>
      <c r="AM139" s="491">
        <v>207.14</v>
      </c>
      <c r="AN139" s="646">
        <v>210.61</v>
      </c>
      <c r="AO139" s="52">
        <v>214.08</v>
      </c>
      <c r="AP139" s="52">
        <v>217.55</v>
      </c>
      <c r="AQ139" s="52">
        <v>221.02</v>
      </c>
      <c r="AR139" s="52">
        <v>224.49</v>
      </c>
      <c r="AS139" s="52">
        <v>227.96</v>
      </c>
      <c r="AT139" s="52">
        <v>134.65</v>
      </c>
      <c r="AU139" s="52">
        <v>131.18</v>
      </c>
    </row>
    <row r="140" spans="1:47">
      <c r="A140" s="489">
        <v>252.72</v>
      </c>
      <c r="B140" s="300">
        <v>305.73</v>
      </c>
      <c r="C140" s="301">
        <v>310.68</v>
      </c>
      <c r="D140" s="301">
        <v>315.63</v>
      </c>
      <c r="E140" s="621">
        <v>320.58</v>
      </c>
      <c r="F140" s="490">
        <v>277.47000000000003</v>
      </c>
      <c r="G140" s="490">
        <v>282.42</v>
      </c>
      <c r="H140" s="491">
        <v>287.37</v>
      </c>
      <c r="I140" s="52">
        <v>292.33</v>
      </c>
      <c r="J140" s="52">
        <v>297.27999999999997</v>
      </c>
      <c r="K140" s="52">
        <v>302.23</v>
      </c>
      <c r="L140" s="52">
        <v>307.18</v>
      </c>
      <c r="M140" s="52">
        <v>312.13</v>
      </c>
      <c r="N140" s="52">
        <v>317.08</v>
      </c>
      <c r="O140" s="52">
        <v>301.13</v>
      </c>
      <c r="P140" s="52">
        <v>306.08</v>
      </c>
      <c r="Q140" s="52">
        <v>311.02999999999997</v>
      </c>
      <c r="R140" s="52">
        <v>315.98</v>
      </c>
      <c r="S140" s="52">
        <v>226.88</v>
      </c>
      <c r="T140" s="52">
        <v>221.93</v>
      </c>
      <c r="U140" s="52">
        <v>216.98</v>
      </c>
      <c r="V140" s="52">
        <v>212.03</v>
      </c>
      <c r="W140" s="52">
        <v>208.7</v>
      </c>
      <c r="X140" s="485">
        <v>136</v>
      </c>
      <c r="Y140" s="489">
        <v>159.71</v>
      </c>
      <c r="Z140" s="489">
        <v>163.19999999999999</v>
      </c>
      <c r="AA140" s="489">
        <v>166.7</v>
      </c>
      <c r="AB140" s="489">
        <v>170.19</v>
      </c>
      <c r="AC140" s="489">
        <v>173.69</v>
      </c>
      <c r="AD140" s="299">
        <v>177.19</v>
      </c>
      <c r="AE140" s="299">
        <v>180.68</v>
      </c>
      <c r="AF140" s="299">
        <v>184.18</v>
      </c>
      <c r="AG140" s="300">
        <v>187.67</v>
      </c>
      <c r="AH140" s="301">
        <v>191.17</v>
      </c>
      <c r="AI140" s="301">
        <v>194.66</v>
      </c>
      <c r="AJ140" s="626">
        <v>198.16</v>
      </c>
      <c r="AK140" s="490">
        <v>201.65</v>
      </c>
      <c r="AL140" s="482">
        <v>205.15</v>
      </c>
      <c r="AM140" s="491">
        <v>208.64</v>
      </c>
      <c r="AN140" s="646">
        <v>212.14</v>
      </c>
      <c r="AO140" s="52">
        <v>215.63</v>
      </c>
      <c r="AP140" s="52">
        <v>219.13</v>
      </c>
      <c r="AQ140" s="52">
        <v>222.62</v>
      </c>
      <c r="AR140" s="52">
        <v>226.12</v>
      </c>
      <c r="AS140" s="52">
        <v>229.61</v>
      </c>
      <c r="AT140" s="52">
        <v>135.63</v>
      </c>
      <c r="AU140" s="52">
        <v>132.13</v>
      </c>
    </row>
    <row r="141" spans="1:47">
      <c r="A141" s="489">
        <v>254.71</v>
      </c>
      <c r="B141" s="300">
        <v>308.14999999999998</v>
      </c>
      <c r="C141" s="301">
        <v>313.14</v>
      </c>
      <c r="D141" s="301">
        <v>318.12</v>
      </c>
      <c r="E141" s="621">
        <v>323.11</v>
      </c>
      <c r="F141" s="490">
        <v>279.64999999999998</v>
      </c>
      <c r="G141" s="490">
        <v>284.63</v>
      </c>
      <c r="H141" s="491">
        <v>289.62</v>
      </c>
      <c r="I141" s="52">
        <v>294.61</v>
      </c>
      <c r="J141" s="52">
        <v>299.58999999999997</v>
      </c>
      <c r="K141" s="52">
        <v>304.58</v>
      </c>
      <c r="L141" s="52">
        <v>309.57</v>
      </c>
      <c r="M141" s="52">
        <v>314.55</v>
      </c>
      <c r="N141" s="52">
        <v>319.54000000000002</v>
      </c>
      <c r="O141" s="52">
        <v>303.45</v>
      </c>
      <c r="P141" s="52">
        <v>308.44</v>
      </c>
      <c r="Q141" s="52">
        <v>313.42</v>
      </c>
      <c r="R141" s="52">
        <v>318.41000000000003</v>
      </c>
      <c r="S141" s="52">
        <v>228.65</v>
      </c>
      <c r="T141" s="52">
        <v>223.66</v>
      </c>
      <c r="U141" s="52">
        <v>218.67</v>
      </c>
      <c r="V141" s="52">
        <v>213.69</v>
      </c>
      <c r="W141" s="52">
        <v>210</v>
      </c>
      <c r="X141" s="485">
        <v>137</v>
      </c>
      <c r="Y141" s="489">
        <v>160.93</v>
      </c>
      <c r="Z141" s="489">
        <v>164.45</v>
      </c>
      <c r="AA141" s="489">
        <v>167.97</v>
      </c>
      <c r="AB141" s="489">
        <v>171.5</v>
      </c>
      <c r="AC141" s="489">
        <v>175.02</v>
      </c>
      <c r="AD141" s="299">
        <v>178.54</v>
      </c>
      <c r="AE141" s="299">
        <v>182.06</v>
      </c>
      <c r="AF141" s="299">
        <v>185.58</v>
      </c>
      <c r="AG141" s="300">
        <v>189.1</v>
      </c>
      <c r="AH141" s="301">
        <v>192.62</v>
      </c>
      <c r="AI141" s="301">
        <v>196.14</v>
      </c>
      <c r="AJ141" s="626">
        <v>199.66</v>
      </c>
      <c r="AK141" s="490">
        <v>203.18</v>
      </c>
      <c r="AL141" s="482">
        <v>206.7</v>
      </c>
      <c r="AM141" s="491">
        <v>210.23</v>
      </c>
      <c r="AN141" s="646">
        <v>213.75</v>
      </c>
      <c r="AO141" s="52">
        <v>217.27</v>
      </c>
      <c r="AP141" s="52">
        <v>220.79</v>
      </c>
      <c r="AQ141" s="52">
        <v>224.31</v>
      </c>
      <c r="AR141" s="52">
        <v>227.83</v>
      </c>
      <c r="AS141" s="52">
        <v>231.35</v>
      </c>
      <c r="AT141" s="52">
        <v>136.66</v>
      </c>
      <c r="AU141" s="52">
        <v>133.13</v>
      </c>
    </row>
    <row r="142" spans="1:47">
      <c r="A142" s="489">
        <v>256.47000000000003</v>
      </c>
      <c r="B142" s="300">
        <v>310.26</v>
      </c>
      <c r="C142" s="301">
        <v>315.29000000000002</v>
      </c>
      <c r="D142" s="301">
        <v>320.31</v>
      </c>
      <c r="E142" s="621">
        <v>325.33</v>
      </c>
      <c r="F142" s="490">
        <v>281.58999999999997</v>
      </c>
      <c r="G142" s="490">
        <v>286.61</v>
      </c>
      <c r="H142" s="491">
        <v>291.63</v>
      </c>
      <c r="I142" s="52">
        <v>296.66000000000003</v>
      </c>
      <c r="J142" s="52">
        <v>301.68</v>
      </c>
      <c r="K142" s="52">
        <v>306.7</v>
      </c>
      <c r="L142" s="52">
        <v>311.73</v>
      </c>
      <c r="M142" s="52">
        <v>316.75</v>
      </c>
      <c r="N142" s="52">
        <v>321.77</v>
      </c>
      <c r="O142" s="52">
        <v>305.58999999999997</v>
      </c>
      <c r="P142" s="52">
        <v>310.61</v>
      </c>
      <c r="Q142" s="52">
        <v>615.63</v>
      </c>
      <c r="R142" s="52">
        <v>320.66000000000003</v>
      </c>
      <c r="S142" s="52">
        <v>230.24</v>
      </c>
      <c r="T142" s="52">
        <v>225.22</v>
      </c>
      <c r="U142" s="52">
        <v>220.19</v>
      </c>
      <c r="V142" s="52">
        <v>215.17</v>
      </c>
      <c r="W142" s="52">
        <v>15</v>
      </c>
      <c r="X142" s="485">
        <v>138</v>
      </c>
      <c r="Y142" s="489">
        <v>162.07</v>
      </c>
      <c r="Z142" s="489">
        <v>165.62</v>
      </c>
      <c r="AA142" s="489">
        <v>169.17</v>
      </c>
      <c r="AB142" s="489">
        <v>172.71</v>
      </c>
      <c r="AC142" s="489">
        <v>176.26</v>
      </c>
      <c r="AD142" s="299">
        <v>179.81</v>
      </c>
      <c r="AE142" s="299">
        <v>183.35</v>
      </c>
      <c r="AF142" s="299">
        <v>186.9</v>
      </c>
      <c r="AG142" s="300">
        <v>190.45</v>
      </c>
      <c r="AH142" s="301">
        <v>193.99</v>
      </c>
      <c r="AI142" s="301">
        <v>197.54</v>
      </c>
      <c r="AJ142" s="626">
        <v>201.09</v>
      </c>
      <c r="AK142" s="490">
        <v>204.63</v>
      </c>
      <c r="AL142" s="482">
        <v>208.18</v>
      </c>
      <c r="AM142" s="491">
        <v>211.73</v>
      </c>
      <c r="AN142" s="646">
        <v>215.27</v>
      </c>
      <c r="AO142" s="52">
        <v>218.82</v>
      </c>
      <c r="AP142" s="52">
        <v>222.37</v>
      </c>
      <c r="AQ142" s="52">
        <v>225.91</v>
      </c>
      <c r="AR142" s="52">
        <v>229.46</v>
      </c>
      <c r="AS142" s="52">
        <v>233.01</v>
      </c>
      <c r="AT142" s="52">
        <v>137.63</v>
      </c>
      <c r="AU142" s="52">
        <v>134.09</v>
      </c>
    </row>
    <row r="143" spans="1:47">
      <c r="A143" s="489">
        <v>258.47000000000003</v>
      </c>
      <c r="B143" s="300">
        <v>312.70999999999998</v>
      </c>
      <c r="C143" s="301">
        <v>317.76</v>
      </c>
      <c r="D143" s="301">
        <v>322.82</v>
      </c>
      <c r="E143" s="621">
        <v>327.88</v>
      </c>
      <c r="F143" s="490">
        <v>283.77</v>
      </c>
      <c r="G143" s="490">
        <v>288.83</v>
      </c>
      <c r="H143" s="491">
        <v>293.89</v>
      </c>
      <c r="I143" s="52">
        <v>298.95</v>
      </c>
      <c r="J143" s="52">
        <v>304.01</v>
      </c>
      <c r="K143" s="52">
        <v>309.07</v>
      </c>
      <c r="L143" s="52">
        <v>314.13</v>
      </c>
      <c r="M143" s="52">
        <v>319.19</v>
      </c>
      <c r="N143" s="52">
        <v>324.25</v>
      </c>
      <c r="O143" s="52">
        <v>307.91000000000003</v>
      </c>
      <c r="P143" s="52">
        <v>312.97000000000003</v>
      </c>
      <c r="Q143" s="52">
        <v>318.02999999999997</v>
      </c>
      <c r="R143" s="52">
        <v>323.08999999999997</v>
      </c>
      <c r="S143" s="52">
        <v>232.02</v>
      </c>
      <c r="T143" s="52">
        <v>226.96</v>
      </c>
      <c r="U143" s="52">
        <v>221.9</v>
      </c>
      <c r="V143" s="52">
        <v>216.84</v>
      </c>
      <c r="W143" s="52">
        <v>211.78</v>
      </c>
      <c r="X143" s="485">
        <v>139</v>
      </c>
      <c r="Y143" s="489">
        <v>163.22</v>
      </c>
      <c r="Z143" s="489">
        <v>166.79</v>
      </c>
      <c r="AA143" s="489">
        <v>170.36</v>
      </c>
      <c r="AB143" s="489">
        <v>173.93</v>
      </c>
      <c r="AC143" s="489">
        <v>177.51</v>
      </c>
      <c r="AD143" s="299">
        <v>181.08</v>
      </c>
      <c r="AE143" s="299">
        <v>184.65</v>
      </c>
      <c r="AF143" s="299">
        <v>188.22</v>
      </c>
      <c r="AG143" s="300">
        <v>191.79</v>
      </c>
      <c r="AH143" s="301">
        <v>195.37</v>
      </c>
      <c r="AI143" s="301">
        <v>198.94</v>
      </c>
      <c r="AJ143" s="626">
        <v>202.51</v>
      </c>
      <c r="AK143" s="490">
        <v>206.08</v>
      </c>
      <c r="AL143" s="482">
        <v>209.66</v>
      </c>
      <c r="AM143" s="491">
        <v>213.23</v>
      </c>
      <c r="AN143" s="646">
        <v>216.8</v>
      </c>
      <c r="AO143" s="52">
        <v>220.37</v>
      </c>
      <c r="AP143" s="52">
        <v>223.95</v>
      </c>
      <c r="AQ143" s="52">
        <v>227.52</v>
      </c>
      <c r="AR143" s="52">
        <v>231.09</v>
      </c>
      <c r="AS143" s="52">
        <v>234.66</v>
      </c>
      <c r="AT143" s="52">
        <v>138.61000000000001</v>
      </c>
      <c r="AU143" s="52">
        <v>135.04</v>
      </c>
    </row>
    <row r="144" spans="1:47">
      <c r="A144" s="489">
        <v>260.24</v>
      </c>
      <c r="B144" s="300">
        <v>314.83</v>
      </c>
      <c r="C144" s="301">
        <v>319.93</v>
      </c>
      <c r="D144" s="301">
        <v>325.02</v>
      </c>
      <c r="E144" s="621">
        <v>330.12</v>
      </c>
      <c r="F144" s="490">
        <v>285.72000000000003</v>
      </c>
      <c r="G144" s="490">
        <v>290.82</v>
      </c>
      <c r="H144" s="491">
        <v>295.91000000000003</v>
      </c>
      <c r="I144" s="52">
        <v>301.01</v>
      </c>
      <c r="J144" s="52">
        <v>306.10000000000002</v>
      </c>
      <c r="K144" s="52">
        <v>311.2</v>
      </c>
      <c r="L144" s="52">
        <v>316.3</v>
      </c>
      <c r="M144" s="52">
        <v>321.39</v>
      </c>
      <c r="N144" s="52">
        <v>326.49</v>
      </c>
      <c r="O144" s="52">
        <v>310.06</v>
      </c>
      <c r="P144" s="52">
        <v>315.14999999999998</v>
      </c>
      <c r="Q144" s="52">
        <v>320.25</v>
      </c>
      <c r="R144" s="52">
        <v>325.33999999999997</v>
      </c>
      <c r="S144" s="52">
        <v>233.62</v>
      </c>
      <c r="T144" s="52">
        <v>228.52</v>
      </c>
      <c r="U144" s="52">
        <v>223.42</v>
      </c>
      <c r="V144" s="52">
        <v>218.33</v>
      </c>
      <c r="W144" s="52">
        <v>213.23</v>
      </c>
      <c r="X144" s="485">
        <v>140</v>
      </c>
      <c r="Y144" s="489">
        <v>164.36</v>
      </c>
      <c r="Z144" s="489">
        <v>167.96</v>
      </c>
      <c r="AA144" s="489">
        <v>171.56</v>
      </c>
      <c r="AB144" s="489">
        <v>175.15</v>
      </c>
      <c r="AC144" s="489">
        <v>178.75</v>
      </c>
      <c r="AD144" s="299">
        <v>182.35</v>
      </c>
      <c r="AE144" s="299">
        <v>185.95</v>
      </c>
      <c r="AF144" s="299">
        <v>189.55</v>
      </c>
      <c r="AG144" s="300">
        <v>193.14</v>
      </c>
      <c r="AH144" s="301">
        <v>196.74</v>
      </c>
      <c r="AI144" s="301">
        <v>200.34</v>
      </c>
      <c r="AJ144" s="626">
        <v>203.94</v>
      </c>
      <c r="AK144" s="490">
        <v>207.54</v>
      </c>
      <c r="AL144" s="482">
        <v>211.13</v>
      </c>
      <c r="AM144" s="491">
        <v>214.73</v>
      </c>
      <c r="AN144" s="646">
        <v>218.33</v>
      </c>
      <c r="AO144" s="52">
        <v>221.93</v>
      </c>
      <c r="AP144" s="52">
        <v>225.53</v>
      </c>
      <c r="AQ144" s="52">
        <v>229.12</v>
      </c>
      <c r="AR144" s="52">
        <v>232.72</v>
      </c>
      <c r="AS144" s="52">
        <v>236.32</v>
      </c>
      <c r="AT144" s="52">
        <v>139.59</v>
      </c>
      <c r="AU144" s="52">
        <v>135.99</v>
      </c>
    </row>
    <row r="145" spans="1:47">
      <c r="A145" s="489">
        <v>262.01</v>
      </c>
      <c r="B145" s="300">
        <v>316.95999999999998</v>
      </c>
      <c r="C145" s="301">
        <v>322.08999999999997</v>
      </c>
      <c r="D145" s="301">
        <v>327.22000000000003</v>
      </c>
      <c r="E145" s="621">
        <v>332.36</v>
      </c>
      <c r="F145" s="490">
        <v>287.67</v>
      </c>
      <c r="G145" s="490">
        <v>292.8</v>
      </c>
      <c r="H145" s="491">
        <v>297.93</v>
      </c>
      <c r="I145" s="52">
        <v>303.07</v>
      </c>
      <c r="J145" s="52">
        <v>308.2</v>
      </c>
      <c r="K145" s="52">
        <v>313.33</v>
      </c>
      <c r="L145" s="52">
        <v>318.45999999999998</v>
      </c>
      <c r="M145" s="52">
        <v>323.60000000000002</v>
      </c>
      <c r="N145" s="52">
        <v>328.73</v>
      </c>
      <c r="O145" s="52">
        <v>312.2</v>
      </c>
      <c r="P145" s="52">
        <v>317.33</v>
      </c>
      <c r="Q145" s="52">
        <v>322.47000000000003</v>
      </c>
      <c r="R145" s="52">
        <v>327.60000000000002</v>
      </c>
      <c r="S145" s="52">
        <v>235.21</v>
      </c>
      <c r="T145" s="52">
        <v>230.08</v>
      </c>
      <c r="U145" s="52">
        <v>224.95</v>
      </c>
      <c r="V145" s="52">
        <v>219.82</v>
      </c>
      <c r="W145" s="52">
        <v>214.69</v>
      </c>
      <c r="X145" s="485">
        <v>141</v>
      </c>
      <c r="Y145" s="489">
        <v>165.59</v>
      </c>
      <c r="Z145" s="489">
        <v>169.22</v>
      </c>
      <c r="AA145" s="489">
        <v>172.84</v>
      </c>
      <c r="AB145" s="489">
        <v>176.46</v>
      </c>
      <c r="AC145" s="489">
        <v>180.09</v>
      </c>
      <c r="AD145" s="299">
        <v>183.71</v>
      </c>
      <c r="AE145" s="299">
        <v>187.33</v>
      </c>
      <c r="AF145" s="299">
        <v>190.96</v>
      </c>
      <c r="AG145" s="300">
        <v>194.58</v>
      </c>
      <c r="AH145" s="301">
        <v>198.2</v>
      </c>
      <c r="AI145" s="301">
        <v>201.83</v>
      </c>
      <c r="AJ145" s="626">
        <v>205.45</v>
      </c>
      <c r="AK145" s="490">
        <v>209.08</v>
      </c>
      <c r="AL145" s="482">
        <v>212.7</v>
      </c>
      <c r="AM145" s="491">
        <v>216.32</v>
      </c>
      <c r="AN145" s="646">
        <v>219.95</v>
      </c>
      <c r="AO145" s="52">
        <v>223.57</v>
      </c>
      <c r="AP145" s="52">
        <v>227.19</v>
      </c>
      <c r="AQ145" s="52">
        <v>230.82</v>
      </c>
      <c r="AR145" s="52">
        <v>234.44</v>
      </c>
      <c r="AS145" s="52">
        <v>238.07</v>
      </c>
      <c r="AT145" s="52">
        <v>140.62</v>
      </c>
      <c r="AU145" s="52">
        <v>137</v>
      </c>
    </row>
    <row r="146" spans="1:47">
      <c r="A146" s="489">
        <v>264.02999999999997</v>
      </c>
      <c r="B146" s="300">
        <v>319.43</v>
      </c>
      <c r="C146" s="301">
        <v>324.60000000000002</v>
      </c>
      <c r="D146" s="301">
        <v>329.77</v>
      </c>
      <c r="E146" s="621">
        <v>334.93</v>
      </c>
      <c r="F146" s="490">
        <v>289.88</v>
      </c>
      <c r="G146" s="490">
        <v>295.05</v>
      </c>
      <c r="H146" s="491">
        <v>300.20999999999998</v>
      </c>
      <c r="I146" s="52">
        <v>305.38</v>
      </c>
      <c r="J146" s="52">
        <v>310.55</v>
      </c>
      <c r="K146" s="52">
        <v>315.72000000000003</v>
      </c>
      <c r="L146" s="52">
        <v>320.89</v>
      </c>
      <c r="M146" s="52">
        <v>326.06</v>
      </c>
      <c r="N146" s="52">
        <v>331.23</v>
      </c>
      <c r="O146" s="52">
        <v>314.54000000000002</v>
      </c>
      <c r="P146" s="52">
        <v>319.70999999999998</v>
      </c>
      <c r="Q146" s="52">
        <v>324.88</v>
      </c>
      <c r="R146" s="52">
        <v>330.05</v>
      </c>
      <c r="S146" s="52">
        <v>237.01</v>
      </c>
      <c r="T146" s="52">
        <v>231.84</v>
      </c>
      <c r="U146" s="52">
        <v>226.67</v>
      </c>
      <c r="V146" s="52">
        <v>221.51</v>
      </c>
      <c r="W146" s="52">
        <v>216.34</v>
      </c>
      <c r="X146" s="485">
        <v>142</v>
      </c>
      <c r="Y146" s="489">
        <v>166.74</v>
      </c>
      <c r="Z146" s="489">
        <v>170.39</v>
      </c>
      <c r="AA146" s="489">
        <v>147.04</v>
      </c>
      <c r="AB146" s="489">
        <v>177.69</v>
      </c>
      <c r="AC146" s="489">
        <v>181.33</v>
      </c>
      <c r="AD146" s="299">
        <v>184.98</v>
      </c>
      <c r="AE146" s="299">
        <v>188.63</v>
      </c>
      <c r="AF146" s="299">
        <v>192.28</v>
      </c>
      <c r="AG146" s="300">
        <v>195.93</v>
      </c>
      <c r="AH146" s="301">
        <v>199.58</v>
      </c>
      <c r="AI146" s="301">
        <v>203.23</v>
      </c>
      <c r="AJ146" s="626">
        <v>206.88</v>
      </c>
      <c r="AK146" s="490">
        <v>210.53</v>
      </c>
      <c r="AL146" s="482">
        <v>214.18</v>
      </c>
      <c r="AM146" s="491">
        <v>217.83</v>
      </c>
      <c r="AN146" s="646">
        <v>221.48</v>
      </c>
      <c r="AO146" s="52">
        <v>225.13</v>
      </c>
      <c r="AP146" s="52">
        <v>228.78</v>
      </c>
      <c r="AQ146" s="52">
        <v>232.43</v>
      </c>
      <c r="AR146" s="52">
        <v>236.08</v>
      </c>
      <c r="AS146" s="52">
        <v>239.73</v>
      </c>
      <c r="AT146" s="52">
        <v>141.6</v>
      </c>
      <c r="AU146" s="52">
        <v>137.94999999999999</v>
      </c>
    </row>
    <row r="147" spans="1:47">
      <c r="A147" s="489">
        <v>265.81</v>
      </c>
      <c r="B147" s="300">
        <v>321.57</v>
      </c>
      <c r="C147" s="301">
        <v>326.77</v>
      </c>
      <c r="D147" s="301">
        <v>331.98</v>
      </c>
      <c r="E147" s="621">
        <v>337.18</v>
      </c>
      <c r="F147" s="490">
        <v>291.83</v>
      </c>
      <c r="G147" s="490">
        <v>297.04000000000002</v>
      </c>
      <c r="H147" s="491">
        <v>302.25</v>
      </c>
      <c r="I147" s="52">
        <v>307.45</v>
      </c>
      <c r="J147" s="52">
        <v>312.66000000000003</v>
      </c>
      <c r="K147" s="52">
        <v>317.86</v>
      </c>
      <c r="L147" s="52">
        <v>323.07</v>
      </c>
      <c r="M147" s="52">
        <v>328.27</v>
      </c>
      <c r="N147" s="52">
        <v>333.48</v>
      </c>
      <c r="O147" s="52">
        <v>316.69</v>
      </c>
      <c r="P147" s="52">
        <v>321.89999999999998</v>
      </c>
      <c r="Q147" s="52">
        <v>327.11</v>
      </c>
      <c r="R147" s="52">
        <v>332.31</v>
      </c>
      <c r="S147" s="52">
        <v>238.62</v>
      </c>
      <c r="T147" s="52">
        <v>233.41</v>
      </c>
      <c r="U147" s="52">
        <v>228.21</v>
      </c>
      <c r="V147" s="52">
        <v>223</v>
      </c>
      <c r="W147" s="52">
        <v>217.8</v>
      </c>
      <c r="X147" s="485">
        <v>143</v>
      </c>
      <c r="Y147" s="489">
        <v>167.88</v>
      </c>
      <c r="Z147" s="489">
        <v>171.56</v>
      </c>
      <c r="AA147" s="489">
        <v>175.23</v>
      </c>
      <c r="AB147" s="489">
        <v>178.91</v>
      </c>
      <c r="AC147" s="489">
        <v>182.58</v>
      </c>
      <c r="AD147" s="299">
        <v>186.26</v>
      </c>
      <c r="AE147" s="299">
        <v>189.93</v>
      </c>
      <c r="AF147" s="299">
        <v>193.61</v>
      </c>
      <c r="AG147" s="300">
        <v>197.28</v>
      </c>
      <c r="AH147" s="301">
        <v>200.96</v>
      </c>
      <c r="AI147" s="301">
        <v>204.64</v>
      </c>
      <c r="AJ147" s="626">
        <v>208.31</v>
      </c>
      <c r="AK147" s="490">
        <v>211.99</v>
      </c>
      <c r="AL147" s="482">
        <v>215.66</v>
      </c>
      <c r="AM147" s="491">
        <v>219.34</v>
      </c>
      <c r="AN147" s="646">
        <v>223.01</v>
      </c>
      <c r="AO147" s="52">
        <v>226.69</v>
      </c>
      <c r="AP147" s="52">
        <v>230.36</v>
      </c>
      <c r="AQ147" s="52">
        <v>234.04</v>
      </c>
      <c r="AR147" s="52">
        <v>237.71</v>
      </c>
      <c r="AS147" s="52">
        <v>241.39</v>
      </c>
      <c r="AT147" s="52">
        <v>142.58000000000001</v>
      </c>
      <c r="AU147" s="52">
        <v>138.91</v>
      </c>
    </row>
    <row r="148" spans="1:47">
      <c r="A148" s="489">
        <v>267.58999999999997</v>
      </c>
      <c r="B148" s="300">
        <v>323.70999999999998</v>
      </c>
      <c r="C148" s="301">
        <v>328.95</v>
      </c>
      <c r="D148" s="301">
        <v>334.19</v>
      </c>
      <c r="E148" s="621">
        <v>339.43</v>
      </c>
      <c r="F148" s="490">
        <v>293.8</v>
      </c>
      <c r="G148" s="490">
        <v>299.04000000000002</v>
      </c>
      <c r="H148" s="491">
        <v>304.27999999999997</v>
      </c>
      <c r="I148" s="52">
        <v>309.52</v>
      </c>
      <c r="J148" s="52">
        <v>314.76</v>
      </c>
      <c r="K148" s="52">
        <v>320</v>
      </c>
      <c r="L148" s="52">
        <v>325.25</v>
      </c>
      <c r="M148" s="52">
        <v>330.49</v>
      </c>
      <c r="N148" s="52">
        <v>335.73</v>
      </c>
      <c r="O148" s="52">
        <v>318.85000000000002</v>
      </c>
      <c r="P148" s="52">
        <v>324.08999999999997</v>
      </c>
      <c r="Q148" s="52">
        <v>329.33</v>
      </c>
      <c r="R148" s="52">
        <v>334.57</v>
      </c>
      <c r="S148" s="52">
        <v>240.22</v>
      </c>
      <c r="T148" s="52">
        <v>234.98</v>
      </c>
      <c r="U148" s="52">
        <v>229.74</v>
      </c>
      <c r="V148" s="52">
        <v>224.5</v>
      </c>
      <c r="W148" s="52">
        <v>219.26</v>
      </c>
      <c r="X148" s="485">
        <v>144</v>
      </c>
      <c r="Y148" s="489">
        <v>169.12</v>
      </c>
      <c r="Z148" s="489">
        <v>172.83</v>
      </c>
      <c r="AA148" s="489">
        <v>176.53</v>
      </c>
      <c r="AB148" s="489">
        <v>180.23</v>
      </c>
      <c r="AC148" s="489">
        <v>183.93</v>
      </c>
      <c r="AD148" s="299">
        <v>187.63</v>
      </c>
      <c r="AE148" s="299">
        <v>191.33</v>
      </c>
      <c r="AF148" s="299">
        <v>195.03</v>
      </c>
      <c r="AG148" s="300">
        <v>198.73</v>
      </c>
      <c r="AH148" s="301">
        <v>202.43</v>
      </c>
      <c r="AI148" s="301">
        <v>206.13</v>
      </c>
      <c r="AJ148" s="626">
        <v>209.83</v>
      </c>
      <c r="AK148" s="490">
        <v>213.53</v>
      </c>
      <c r="AL148" s="482">
        <v>217.23</v>
      </c>
      <c r="AM148" s="491">
        <v>220.94</v>
      </c>
      <c r="AN148" s="646">
        <v>224.64</v>
      </c>
      <c r="AO148" s="52">
        <v>228.34</v>
      </c>
      <c r="AP148" s="52">
        <v>232.04</v>
      </c>
      <c r="AQ148" s="52">
        <v>235.74</v>
      </c>
      <c r="AR148" s="52">
        <v>239.44</v>
      </c>
      <c r="AS148" s="52">
        <v>243.14</v>
      </c>
      <c r="AT148" s="52">
        <v>143.62</v>
      </c>
      <c r="AU148" s="52">
        <v>139.91999999999999</v>
      </c>
    </row>
    <row r="149" spans="1:47">
      <c r="A149" s="489">
        <v>269.63</v>
      </c>
      <c r="B149" s="300">
        <v>326.20999999999998</v>
      </c>
      <c r="C149" s="301">
        <v>331.49</v>
      </c>
      <c r="D149" s="301">
        <v>336.76</v>
      </c>
      <c r="E149" s="621">
        <v>342.04</v>
      </c>
      <c r="F149" s="490">
        <v>296.02</v>
      </c>
      <c r="G149" s="490">
        <v>301.3</v>
      </c>
      <c r="H149" s="491">
        <v>306.58</v>
      </c>
      <c r="I149" s="52">
        <v>311.86</v>
      </c>
      <c r="J149" s="52">
        <v>317.14</v>
      </c>
      <c r="K149" s="52">
        <v>322.41000000000003</v>
      </c>
      <c r="L149" s="52">
        <v>327.69</v>
      </c>
      <c r="M149" s="52">
        <v>332.97</v>
      </c>
      <c r="N149" s="52">
        <v>338.25</v>
      </c>
      <c r="O149" s="52">
        <v>321.20999999999998</v>
      </c>
      <c r="P149" s="52">
        <v>326.49</v>
      </c>
      <c r="Q149" s="52">
        <v>331.76</v>
      </c>
      <c r="R149" s="52">
        <v>337.04</v>
      </c>
      <c r="S149" s="52">
        <v>242.04</v>
      </c>
      <c r="T149" s="52">
        <v>236.76</v>
      </c>
      <c r="U149" s="52">
        <v>231.48</v>
      </c>
      <c r="V149" s="52">
        <v>226.2</v>
      </c>
      <c r="W149" s="52">
        <v>220.93</v>
      </c>
      <c r="X149" s="485">
        <v>145</v>
      </c>
      <c r="Y149" s="489">
        <v>170.27</v>
      </c>
      <c r="Z149" s="489">
        <v>174</v>
      </c>
      <c r="AA149" s="489">
        <v>177.73</v>
      </c>
      <c r="AB149" s="489">
        <v>181.45</v>
      </c>
      <c r="AC149" s="489">
        <v>185.18</v>
      </c>
      <c r="AD149" s="299">
        <v>188.91</v>
      </c>
      <c r="AE149" s="299">
        <v>192.63</v>
      </c>
      <c r="AF149" s="299">
        <v>196.36</v>
      </c>
      <c r="AG149" s="300">
        <v>200.09</v>
      </c>
      <c r="AH149" s="301">
        <v>203.81</v>
      </c>
      <c r="AI149" s="301">
        <v>207.54</v>
      </c>
      <c r="AJ149" s="626">
        <v>211.27</v>
      </c>
      <c r="AK149" s="490">
        <v>214.99</v>
      </c>
      <c r="AL149" s="482">
        <v>218.72</v>
      </c>
      <c r="AM149" s="491">
        <v>222.45</v>
      </c>
      <c r="AN149" s="646">
        <v>226.17</v>
      </c>
      <c r="AO149" s="52">
        <v>229.9</v>
      </c>
      <c r="AP149" s="52">
        <v>233.62</v>
      </c>
      <c r="AQ149" s="52">
        <v>237.35</v>
      </c>
      <c r="AR149" s="52">
        <v>241.08</v>
      </c>
      <c r="AS149" s="52">
        <v>244.8</v>
      </c>
      <c r="AT149" s="52">
        <v>144.6</v>
      </c>
      <c r="AU149" s="52">
        <v>140.87</v>
      </c>
    </row>
    <row r="150" spans="1:47">
      <c r="A150" s="489">
        <v>271.42</v>
      </c>
      <c r="B150" s="300">
        <v>328.36</v>
      </c>
      <c r="C150" s="301">
        <v>333.68</v>
      </c>
      <c r="D150" s="301">
        <v>338.99</v>
      </c>
      <c r="E150" s="621">
        <v>344.31</v>
      </c>
      <c r="F150" s="490">
        <v>297.99</v>
      </c>
      <c r="G150" s="490">
        <v>303.31</v>
      </c>
      <c r="H150" s="491">
        <v>308.62</v>
      </c>
      <c r="I150" s="52">
        <v>313.94</v>
      </c>
      <c r="J150" s="52">
        <v>319.25</v>
      </c>
      <c r="K150" s="52">
        <v>324.57</v>
      </c>
      <c r="L150" s="52">
        <v>329.88</v>
      </c>
      <c r="M150" s="52">
        <v>335.19</v>
      </c>
      <c r="N150" s="52">
        <v>340.51</v>
      </c>
      <c r="O150" s="52">
        <v>323.37</v>
      </c>
      <c r="P150" s="52">
        <v>328.68</v>
      </c>
      <c r="Q150" s="52">
        <v>334</v>
      </c>
      <c r="R150" s="52">
        <v>339.31</v>
      </c>
      <c r="S150" s="52">
        <v>243.65</v>
      </c>
      <c r="T150" s="52">
        <v>238.34</v>
      </c>
      <c r="U150" s="52">
        <v>233.02</v>
      </c>
      <c r="V150" s="52">
        <v>227.71</v>
      </c>
      <c r="W150" s="52">
        <v>222.39</v>
      </c>
      <c r="X150" s="485">
        <v>146</v>
      </c>
      <c r="Y150" s="489">
        <v>171.43</v>
      </c>
      <c r="Z150" s="489">
        <v>175.18</v>
      </c>
      <c r="AA150" s="489">
        <v>178.93</v>
      </c>
      <c r="AB150" s="489">
        <v>182.68</v>
      </c>
      <c r="AC150" s="489">
        <v>186.43</v>
      </c>
      <c r="AD150" s="299">
        <v>190.19</v>
      </c>
      <c r="AE150" s="299">
        <v>193.94</v>
      </c>
      <c r="AF150" s="299">
        <v>197.69</v>
      </c>
      <c r="AG150" s="300">
        <v>201.44</v>
      </c>
      <c r="AH150" s="301">
        <v>205.19</v>
      </c>
      <c r="AI150" s="301">
        <v>208.95</v>
      </c>
      <c r="AJ150" s="626">
        <v>212.7</v>
      </c>
      <c r="AK150" s="490">
        <v>216.45</v>
      </c>
      <c r="AL150" s="482">
        <v>220.2</v>
      </c>
      <c r="AM150" s="491">
        <v>223.96</v>
      </c>
      <c r="AN150" s="646">
        <v>227.71</v>
      </c>
      <c r="AO150" s="52">
        <v>231.46</v>
      </c>
      <c r="AP150" s="52">
        <v>235.21</v>
      </c>
      <c r="AQ150" s="52">
        <v>238.96</v>
      </c>
      <c r="AR150" s="52">
        <v>242.72</v>
      </c>
      <c r="AS150" s="52">
        <v>246.47</v>
      </c>
      <c r="AT150" s="52">
        <v>145.58000000000001</v>
      </c>
      <c r="AU150" s="52">
        <v>141.83000000000001</v>
      </c>
    </row>
    <row r="151" spans="1:47">
      <c r="A151" s="489">
        <v>273.20999999999998</v>
      </c>
      <c r="B151" s="300">
        <v>330.52</v>
      </c>
      <c r="C151" s="301">
        <v>335.87</v>
      </c>
      <c r="D151" s="301">
        <v>341.22</v>
      </c>
      <c r="E151" s="621">
        <v>346.57</v>
      </c>
      <c r="F151" s="490">
        <v>299.97000000000003</v>
      </c>
      <c r="G151" s="490">
        <v>305.32</v>
      </c>
      <c r="H151" s="491">
        <v>310.67</v>
      </c>
      <c r="I151" s="52">
        <v>316.02</v>
      </c>
      <c r="J151" s="52">
        <v>321.37</v>
      </c>
      <c r="K151" s="52">
        <v>326.72000000000003</v>
      </c>
      <c r="L151" s="52">
        <v>332.07</v>
      </c>
      <c r="M151" s="52">
        <v>337.42</v>
      </c>
      <c r="N151" s="52">
        <v>342.77</v>
      </c>
      <c r="O151" s="52">
        <v>325.52999999999997</v>
      </c>
      <c r="P151" s="52">
        <v>330.88</v>
      </c>
      <c r="Q151" s="52">
        <v>336.23</v>
      </c>
      <c r="R151" s="52">
        <v>341.58</v>
      </c>
      <c r="S151" s="52">
        <v>245.27</v>
      </c>
      <c r="T151" s="52">
        <v>239.92</v>
      </c>
      <c r="U151" s="52">
        <v>234.57</v>
      </c>
      <c r="V151" s="52">
        <v>229.21</v>
      </c>
      <c r="W151" s="52">
        <v>223.86</v>
      </c>
      <c r="X151" s="485">
        <v>147</v>
      </c>
      <c r="Y151" s="489">
        <v>172.58</v>
      </c>
      <c r="Z151" s="489">
        <v>176.35</v>
      </c>
      <c r="AA151" s="489">
        <v>180.13</v>
      </c>
      <c r="AB151" s="489">
        <v>183.91</v>
      </c>
      <c r="AC151" s="489">
        <v>187.69</v>
      </c>
      <c r="AD151" s="299">
        <v>191.47</v>
      </c>
      <c r="AE151" s="299">
        <v>195.24</v>
      </c>
      <c r="AF151" s="299">
        <v>199.02</v>
      </c>
      <c r="AG151" s="300">
        <v>202.8</v>
      </c>
      <c r="AH151" s="301">
        <v>206.58</v>
      </c>
      <c r="AI151" s="301">
        <v>210.36</v>
      </c>
      <c r="AJ151" s="626">
        <v>214.13</v>
      </c>
      <c r="AK151" s="490">
        <v>217.91</v>
      </c>
      <c r="AL151" s="482">
        <v>221.69</v>
      </c>
      <c r="AM151" s="491">
        <v>225.47</v>
      </c>
      <c r="AN151" s="646">
        <v>229.25</v>
      </c>
      <c r="AO151" s="52">
        <v>233.02</v>
      </c>
      <c r="AP151" s="52">
        <v>236.8</v>
      </c>
      <c r="AQ151" s="52">
        <v>240.58</v>
      </c>
      <c r="AR151" s="52">
        <v>244.36</v>
      </c>
      <c r="AS151" s="52">
        <v>248.13</v>
      </c>
      <c r="AT151" s="52">
        <v>146.57</v>
      </c>
      <c r="AU151" s="52">
        <v>142.79</v>
      </c>
    </row>
    <row r="152" spans="1:47">
      <c r="A152" s="489">
        <v>275.01</v>
      </c>
      <c r="B152" s="300">
        <v>332.68</v>
      </c>
      <c r="C152" s="301">
        <v>338.07</v>
      </c>
      <c r="D152" s="301">
        <v>343.46</v>
      </c>
      <c r="E152" s="621">
        <v>348.84</v>
      </c>
      <c r="F152" s="490">
        <v>301.94</v>
      </c>
      <c r="G152" s="490">
        <v>307.33</v>
      </c>
      <c r="H152" s="491">
        <v>312.72000000000003</v>
      </c>
      <c r="I152" s="52">
        <v>318.10000000000002</v>
      </c>
      <c r="J152" s="52">
        <v>323.49</v>
      </c>
      <c r="K152" s="52">
        <v>328.88</v>
      </c>
      <c r="L152" s="52">
        <v>334.27</v>
      </c>
      <c r="M152" s="52">
        <v>339.65</v>
      </c>
      <c r="N152" s="52">
        <v>345.04</v>
      </c>
      <c r="O152" s="52">
        <v>327.69</v>
      </c>
      <c r="P152" s="52">
        <v>333.08</v>
      </c>
      <c r="Q152" s="52">
        <v>338.47</v>
      </c>
      <c r="R152" s="52">
        <v>343.85</v>
      </c>
      <c r="S152" s="52">
        <v>246.88</v>
      </c>
      <c r="T152" s="52">
        <v>241.5</v>
      </c>
      <c r="U152" s="52">
        <v>236.11</v>
      </c>
      <c r="V152" s="52">
        <v>230.72</v>
      </c>
      <c r="W152" s="52">
        <v>225.34</v>
      </c>
      <c r="X152" s="485">
        <v>148</v>
      </c>
      <c r="Y152" s="489">
        <v>173.73</v>
      </c>
      <c r="Z152" s="489">
        <v>177.53</v>
      </c>
      <c r="AA152" s="489">
        <v>181.34</v>
      </c>
      <c r="AB152" s="489">
        <v>185.14</v>
      </c>
      <c r="AC152" s="489">
        <v>188.94</v>
      </c>
      <c r="AD152" s="299">
        <v>192.75</v>
      </c>
      <c r="AE152" s="299">
        <v>196.55</v>
      </c>
      <c r="AF152" s="299">
        <v>200.36</v>
      </c>
      <c r="AG152" s="300">
        <v>204.16</v>
      </c>
      <c r="AH152" s="301">
        <v>207.96</v>
      </c>
      <c r="AI152" s="301">
        <v>211.77</v>
      </c>
      <c r="AJ152" s="626">
        <v>215.57</v>
      </c>
      <c r="AK152" s="490">
        <v>219.37</v>
      </c>
      <c r="AL152" s="482">
        <v>223.18</v>
      </c>
      <c r="AM152" s="491">
        <v>226.98</v>
      </c>
      <c r="AN152" s="646">
        <v>230.78</v>
      </c>
      <c r="AO152" s="52">
        <v>234.59</v>
      </c>
      <c r="AP152" s="52">
        <v>238.39</v>
      </c>
      <c r="AQ152" s="52">
        <v>242.19</v>
      </c>
      <c r="AR152" s="52">
        <v>246</v>
      </c>
      <c r="AS152" s="52">
        <v>249.8</v>
      </c>
      <c r="AT152" s="52">
        <v>147.55000000000001</v>
      </c>
      <c r="AU152" s="52">
        <v>143.75</v>
      </c>
    </row>
    <row r="153" spans="1:47">
      <c r="A153" s="489">
        <v>276.8</v>
      </c>
      <c r="B153" s="300">
        <v>334.85</v>
      </c>
      <c r="C153" s="301">
        <v>340.27</v>
      </c>
      <c r="D153" s="301">
        <v>345.7</v>
      </c>
      <c r="E153" s="621">
        <v>351.12</v>
      </c>
      <c r="F153" s="490">
        <v>303.92</v>
      </c>
      <c r="G153" s="490">
        <v>309.33999999999997</v>
      </c>
      <c r="H153" s="491">
        <v>314.77</v>
      </c>
      <c r="I153" s="52">
        <v>320.19</v>
      </c>
      <c r="J153" s="52">
        <v>325.62</v>
      </c>
      <c r="K153" s="52">
        <v>331.04</v>
      </c>
      <c r="L153" s="52">
        <v>336.46</v>
      </c>
      <c r="M153" s="52">
        <v>341.89</v>
      </c>
      <c r="N153" s="52">
        <v>347.31</v>
      </c>
      <c r="O153" s="52">
        <v>329.86</v>
      </c>
      <c r="P153" s="52">
        <v>335.28</v>
      </c>
      <c r="Q153" s="52">
        <v>340.71</v>
      </c>
      <c r="R153" s="52">
        <v>346.13</v>
      </c>
      <c r="S153" s="52">
        <v>248.51</v>
      </c>
      <c r="T153" s="52">
        <v>243.08</v>
      </c>
      <c r="U153" s="52">
        <v>237.66</v>
      </c>
      <c r="V153" s="52">
        <v>232.23</v>
      </c>
      <c r="W153" s="52">
        <v>226.81</v>
      </c>
      <c r="X153" s="485">
        <v>149</v>
      </c>
      <c r="Y153" s="489">
        <v>174.98</v>
      </c>
      <c r="Z153" s="489">
        <v>178.81</v>
      </c>
      <c r="AA153" s="489">
        <v>182.64</v>
      </c>
      <c r="AB153" s="489">
        <v>186.47</v>
      </c>
      <c r="AC153" s="489">
        <v>190.3</v>
      </c>
      <c r="AD153" s="299">
        <v>194.13</v>
      </c>
      <c r="AE153" s="299">
        <v>197.96</v>
      </c>
      <c r="AF153" s="299">
        <v>201.79</v>
      </c>
      <c r="AG153" s="300">
        <v>205.62</v>
      </c>
      <c r="AH153" s="301">
        <v>209.45</v>
      </c>
      <c r="AI153" s="301">
        <v>213.28</v>
      </c>
      <c r="AJ153" s="626">
        <v>217.11</v>
      </c>
      <c r="AK153" s="490">
        <v>220.93</v>
      </c>
      <c r="AL153" s="482">
        <v>224.76</v>
      </c>
      <c r="AM153" s="491">
        <v>228.59</v>
      </c>
      <c r="AN153" s="646">
        <v>232.42</v>
      </c>
      <c r="AO153" s="52">
        <v>236.25</v>
      </c>
      <c r="AP153" s="52">
        <v>240.08</v>
      </c>
      <c r="AQ153" s="52">
        <v>243.91</v>
      </c>
      <c r="AR153" s="52">
        <v>247.74</v>
      </c>
      <c r="AS153" s="52">
        <v>251.57</v>
      </c>
      <c r="AT153" s="52">
        <v>148.6</v>
      </c>
      <c r="AU153" s="52">
        <v>144.77000000000001</v>
      </c>
    </row>
    <row r="154" spans="1:47">
      <c r="A154" s="489">
        <v>278.88</v>
      </c>
      <c r="B154" s="300">
        <v>337.39</v>
      </c>
      <c r="C154" s="301">
        <v>342.85</v>
      </c>
      <c r="D154" s="301">
        <v>348.31</v>
      </c>
      <c r="E154" s="621">
        <v>353.77</v>
      </c>
      <c r="F154" s="490">
        <v>306.18</v>
      </c>
      <c r="G154" s="490">
        <v>311.64</v>
      </c>
      <c r="H154" s="491">
        <v>317.10000000000002</v>
      </c>
      <c r="I154" s="52">
        <v>322.56</v>
      </c>
      <c r="J154" s="52">
        <v>328.02</v>
      </c>
      <c r="K154" s="52">
        <v>333.48</v>
      </c>
      <c r="L154" s="52">
        <v>338.94</v>
      </c>
      <c r="M154" s="52">
        <v>344.4</v>
      </c>
      <c r="N154" s="52">
        <v>349.86</v>
      </c>
      <c r="O154" s="52">
        <v>332.25</v>
      </c>
      <c r="P154" s="52">
        <v>337.71</v>
      </c>
      <c r="Q154" s="52">
        <v>343.17</v>
      </c>
      <c r="R154" s="52">
        <v>348.63</v>
      </c>
      <c r="S154" s="52">
        <v>250.35</v>
      </c>
      <c r="T154" s="52">
        <v>244.89</v>
      </c>
      <c r="U154" s="52">
        <v>239.43</v>
      </c>
      <c r="V154" s="52">
        <v>233.97</v>
      </c>
      <c r="W154" s="52">
        <v>228.51</v>
      </c>
      <c r="X154" s="485">
        <v>150</v>
      </c>
      <c r="Y154" s="489">
        <v>176.14</v>
      </c>
      <c r="Z154" s="489">
        <v>179.99</v>
      </c>
      <c r="AA154" s="489">
        <v>183.85</v>
      </c>
      <c r="AB154" s="489">
        <v>187.7</v>
      </c>
      <c r="AC154" s="489">
        <v>191.56</v>
      </c>
      <c r="AD154" s="299">
        <v>195.41</v>
      </c>
      <c r="AE154" s="299">
        <v>199.27</v>
      </c>
      <c r="AF154" s="299">
        <v>203.12</v>
      </c>
      <c r="AG154" s="300">
        <v>206.98</v>
      </c>
      <c r="AH154" s="301">
        <v>210.83</v>
      </c>
      <c r="AI154" s="301">
        <v>214.69</v>
      </c>
      <c r="AJ154" s="626">
        <v>218.54</v>
      </c>
      <c r="AK154" s="490">
        <v>222.4</v>
      </c>
      <c r="AL154" s="482">
        <v>226.25</v>
      </c>
      <c r="AM154" s="491">
        <v>230.11</v>
      </c>
      <c r="AN154" s="646">
        <v>233.96</v>
      </c>
      <c r="AO154" s="52">
        <v>237.82</v>
      </c>
      <c r="AP154" s="52">
        <v>241.67</v>
      </c>
      <c r="AQ154" s="52">
        <v>245.53</v>
      </c>
      <c r="AR154" s="52">
        <v>249.38</v>
      </c>
      <c r="AS154" s="52">
        <v>253.24</v>
      </c>
      <c r="AT154" s="52">
        <v>149.58000000000001</v>
      </c>
      <c r="AU154" s="52">
        <v>145.72999999999999</v>
      </c>
    </row>
    <row r="155" spans="1:47">
      <c r="A155" s="489">
        <v>280.69</v>
      </c>
      <c r="B155" s="300">
        <v>339.57</v>
      </c>
      <c r="C155" s="301">
        <v>345.07</v>
      </c>
      <c r="D155" s="301">
        <v>350.56</v>
      </c>
      <c r="E155" s="621">
        <v>356.06</v>
      </c>
      <c r="F155" s="490">
        <v>308.17</v>
      </c>
      <c r="G155" s="490">
        <v>313.67</v>
      </c>
      <c r="H155" s="491">
        <v>319.17</v>
      </c>
      <c r="I155" s="52">
        <v>324.66000000000003</v>
      </c>
      <c r="J155" s="52">
        <v>330.16</v>
      </c>
      <c r="K155" s="52">
        <v>335.65</v>
      </c>
      <c r="L155" s="52">
        <v>341.15</v>
      </c>
      <c r="M155" s="52">
        <v>346.65</v>
      </c>
      <c r="N155" s="52">
        <v>352.14</v>
      </c>
      <c r="O155" s="52">
        <v>334.42</v>
      </c>
      <c r="P155" s="52">
        <v>339.92</v>
      </c>
      <c r="Q155" s="52">
        <v>345.41</v>
      </c>
      <c r="R155" s="52">
        <v>350.91</v>
      </c>
      <c r="S155" s="52">
        <v>251.97</v>
      </c>
      <c r="T155" s="52">
        <v>246.48</v>
      </c>
      <c r="U155" s="52">
        <v>240.98</v>
      </c>
      <c r="V155" s="52">
        <v>235.49</v>
      </c>
      <c r="W155" s="52">
        <v>229.99</v>
      </c>
      <c r="X155" s="485">
        <v>151</v>
      </c>
      <c r="Y155" s="489">
        <v>177.3</v>
      </c>
      <c r="Z155" s="489">
        <v>181.18</v>
      </c>
      <c r="AA155" s="489">
        <v>185.06</v>
      </c>
      <c r="AB155" s="489">
        <v>188.94</v>
      </c>
      <c r="AC155" s="489">
        <v>192.82</v>
      </c>
      <c r="AD155" s="299">
        <v>196.7</v>
      </c>
      <c r="AE155" s="299">
        <v>200.58</v>
      </c>
      <c r="AF155" s="299">
        <v>204.46</v>
      </c>
      <c r="AG155" s="300">
        <v>208.34</v>
      </c>
      <c r="AH155" s="301">
        <v>212.22</v>
      </c>
      <c r="AI155" s="301">
        <v>216.1</v>
      </c>
      <c r="AJ155" s="626">
        <v>219.98</v>
      </c>
      <c r="AK155" s="490">
        <v>223.86</v>
      </c>
      <c r="AL155" s="482">
        <v>227.75</v>
      </c>
      <c r="AM155" s="491">
        <v>231.63</v>
      </c>
      <c r="AN155" s="646">
        <v>235.51</v>
      </c>
      <c r="AO155" s="52">
        <v>239.39</v>
      </c>
      <c r="AP155" s="52">
        <v>243.27</v>
      </c>
      <c r="AQ155" s="52">
        <v>247.15</v>
      </c>
      <c r="AR155" s="52">
        <v>251.03</v>
      </c>
      <c r="AS155" s="52">
        <v>254.91</v>
      </c>
      <c r="AT155" s="52">
        <v>150.57</v>
      </c>
      <c r="AU155" s="52">
        <v>146.69</v>
      </c>
    </row>
    <row r="156" spans="1:47">
      <c r="A156" s="489">
        <v>282.5</v>
      </c>
      <c r="B156" s="300">
        <v>341.75</v>
      </c>
      <c r="C156" s="301">
        <v>347.29</v>
      </c>
      <c r="D156" s="301">
        <v>352.82</v>
      </c>
      <c r="E156" s="621">
        <v>358.35</v>
      </c>
      <c r="F156" s="490">
        <v>310.16000000000003</v>
      </c>
      <c r="G156" s="490">
        <v>315.7</v>
      </c>
      <c r="H156" s="491">
        <v>321.23</v>
      </c>
      <c r="I156" s="52">
        <v>326.76</v>
      </c>
      <c r="J156" s="52">
        <v>332.3</v>
      </c>
      <c r="K156" s="52">
        <v>337.83</v>
      </c>
      <c r="L156" s="52">
        <v>343.36</v>
      </c>
      <c r="M156" s="52">
        <v>348.89</v>
      </c>
      <c r="N156" s="52">
        <v>354.43</v>
      </c>
      <c r="O156" s="52">
        <v>336.6</v>
      </c>
      <c r="P156" s="52">
        <v>342.13</v>
      </c>
      <c r="Q156" s="52">
        <v>347.66</v>
      </c>
      <c r="R156" s="52">
        <v>353.2</v>
      </c>
      <c r="S156" s="52">
        <v>253.6</v>
      </c>
      <c r="T156" s="52">
        <v>248.07</v>
      </c>
      <c r="U156" s="52">
        <v>242.54</v>
      </c>
      <c r="V156" s="52">
        <v>237.01</v>
      </c>
      <c r="W156" s="52">
        <v>231.47</v>
      </c>
      <c r="X156" s="485">
        <v>152</v>
      </c>
      <c r="Y156" s="489">
        <v>178.46</v>
      </c>
      <c r="Z156" s="489">
        <v>182.36</v>
      </c>
      <c r="AA156" s="489">
        <v>186.27</v>
      </c>
      <c r="AB156" s="489">
        <v>190.17</v>
      </c>
      <c r="AC156" s="489">
        <v>194.08</v>
      </c>
      <c r="AD156" s="299">
        <v>197.99</v>
      </c>
      <c r="AE156" s="299">
        <v>201.89</v>
      </c>
      <c r="AF156" s="299">
        <v>205.8</v>
      </c>
      <c r="AG156" s="300">
        <v>209.71</v>
      </c>
      <c r="AH156" s="301">
        <v>213.61</v>
      </c>
      <c r="AI156" s="301">
        <v>217.52</v>
      </c>
      <c r="AJ156" s="626">
        <v>221.43</v>
      </c>
      <c r="AK156" s="490">
        <v>225.33</v>
      </c>
      <c r="AL156" s="482">
        <v>229.24</v>
      </c>
      <c r="AM156" s="491">
        <v>233.14</v>
      </c>
      <c r="AN156" s="646">
        <v>237.05</v>
      </c>
      <c r="AO156" s="52">
        <v>240.96</v>
      </c>
      <c r="AP156" s="52">
        <v>244.86</v>
      </c>
      <c r="AQ156" s="52">
        <v>248.77</v>
      </c>
      <c r="AR156" s="52">
        <v>252.68</v>
      </c>
      <c r="AS156" s="52">
        <v>256.58</v>
      </c>
      <c r="AT156" s="52">
        <v>151.56</v>
      </c>
      <c r="AU156" s="52">
        <v>147.65</v>
      </c>
    </row>
    <row r="157" spans="1:47">
      <c r="A157" s="489">
        <v>284.31</v>
      </c>
      <c r="B157" s="300">
        <v>343.94</v>
      </c>
      <c r="C157" s="301">
        <v>349.51</v>
      </c>
      <c r="D157" s="301">
        <v>355.08</v>
      </c>
      <c r="E157" s="621">
        <v>360.65</v>
      </c>
      <c r="F157" s="490">
        <v>312.16000000000003</v>
      </c>
      <c r="G157" s="490">
        <v>317.73</v>
      </c>
      <c r="H157" s="491">
        <v>323.3</v>
      </c>
      <c r="I157" s="52">
        <v>328.87</v>
      </c>
      <c r="J157" s="52">
        <v>334.44</v>
      </c>
      <c r="K157" s="52">
        <v>340</v>
      </c>
      <c r="L157" s="52">
        <v>345.57</v>
      </c>
      <c r="M157" s="52">
        <v>351.14</v>
      </c>
      <c r="N157" s="52">
        <v>356.71</v>
      </c>
      <c r="O157" s="52">
        <v>338.78</v>
      </c>
      <c r="P157" s="52">
        <v>344.34</v>
      </c>
      <c r="Q157" s="52">
        <v>349.91</v>
      </c>
      <c r="R157" s="52">
        <v>355.48</v>
      </c>
      <c r="S157" s="52">
        <v>255.24</v>
      </c>
      <c r="T157" s="52">
        <v>249.67</v>
      </c>
      <c r="U157" s="52">
        <v>244.1</v>
      </c>
      <c r="V157" s="52">
        <v>238.53</v>
      </c>
      <c r="W157" s="52">
        <v>232.96</v>
      </c>
      <c r="X157" s="485">
        <v>153</v>
      </c>
      <c r="Y157" s="489">
        <v>179.61</v>
      </c>
      <c r="Z157" s="489">
        <v>183.55</v>
      </c>
      <c r="AA157" s="489">
        <v>187.48</v>
      </c>
      <c r="AB157" s="489">
        <v>191.41</v>
      </c>
      <c r="AC157" s="489">
        <v>195.34</v>
      </c>
      <c r="AD157" s="299">
        <v>199.28</v>
      </c>
      <c r="AE157" s="299">
        <v>203.21</v>
      </c>
      <c r="AF157" s="299">
        <v>207.14</v>
      </c>
      <c r="AG157" s="300">
        <v>211.07</v>
      </c>
      <c r="AH157" s="301">
        <v>215</v>
      </c>
      <c r="AI157" s="301">
        <v>218.94</v>
      </c>
      <c r="AJ157" s="626">
        <v>2225.87</v>
      </c>
      <c r="AK157" s="490">
        <v>226.8</v>
      </c>
      <c r="AL157" s="482">
        <v>230.73</v>
      </c>
      <c r="AM157" s="491">
        <v>234.66</v>
      </c>
      <c r="AN157" s="646">
        <v>238.6</v>
      </c>
      <c r="AO157" s="52">
        <v>242.53</v>
      </c>
      <c r="AP157" s="52">
        <v>246.46</v>
      </c>
      <c r="AQ157" s="52">
        <v>250.39</v>
      </c>
      <c r="AR157" s="52">
        <v>254.32</v>
      </c>
      <c r="AS157" s="52">
        <v>258.26</v>
      </c>
      <c r="AT157" s="52">
        <v>152.55000000000001</v>
      </c>
      <c r="AU157" s="52">
        <v>148.61000000000001</v>
      </c>
    </row>
    <row r="158" spans="1:47">
      <c r="A158" s="489">
        <v>286.13</v>
      </c>
      <c r="B158" s="300">
        <v>346.13</v>
      </c>
      <c r="C158" s="301">
        <v>351.74</v>
      </c>
      <c r="D158" s="301">
        <v>357.34</v>
      </c>
      <c r="E158" s="621">
        <v>362.95</v>
      </c>
      <c r="F158" s="490">
        <v>314.16000000000003</v>
      </c>
      <c r="G158" s="490">
        <v>319.76</v>
      </c>
      <c r="H158" s="491">
        <v>325.37</v>
      </c>
      <c r="I158" s="52">
        <v>330.97</v>
      </c>
      <c r="J158" s="52">
        <v>336.58</v>
      </c>
      <c r="K158" s="52">
        <v>342.18</v>
      </c>
      <c r="L158" s="52">
        <v>347.79</v>
      </c>
      <c r="M158" s="52">
        <v>353.4</v>
      </c>
      <c r="N158" s="52">
        <v>359</v>
      </c>
      <c r="O158" s="52">
        <v>340.96</v>
      </c>
      <c r="P158" s="52">
        <v>346.56</v>
      </c>
      <c r="Q158" s="52">
        <v>352.17</v>
      </c>
      <c r="R158" s="52">
        <v>357.77</v>
      </c>
      <c r="S158" s="52">
        <v>256.87</v>
      </c>
      <c r="T158" s="52">
        <v>251.27</v>
      </c>
      <c r="U158" s="52">
        <v>245.66</v>
      </c>
      <c r="V158" s="52">
        <v>240.06</v>
      </c>
      <c r="W158" s="52">
        <v>234.45</v>
      </c>
      <c r="X158" s="485">
        <v>154</v>
      </c>
      <c r="Y158" s="489">
        <v>180.78</v>
      </c>
      <c r="Z158" s="489">
        <v>184.73</v>
      </c>
      <c r="AA158" s="489">
        <v>188.69</v>
      </c>
      <c r="AB158" s="489">
        <v>192.65</v>
      </c>
      <c r="AC158" s="489">
        <v>196.61</v>
      </c>
      <c r="AD158" s="299">
        <v>200.56</v>
      </c>
      <c r="AE158" s="299">
        <v>204.52</v>
      </c>
      <c r="AF158" s="299">
        <v>208.48</v>
      </c>
      <c r="AG158" s="300">
        <v>212.44</v>
      </c>
      <c r="AH158" s="301">
        <v>216.4</v>
      </c>
      <c r="AI158" s="301">
        <v>220.35</v>
      </c>
      <c r="AJ158" s="626">
        <v>224.31</v>
      </c>
      <c r="AK158" s="490">
        <v>228.27</v>
      </c>
      <c r="AL158" s="482">
        <v>232.23</v>
      </c>
      <c r="AM158" s="491">
        <v>236.18</v>
      </c>
      <c r="AN158" s="646">
        <v>240.14</v>
      </c>
      <c r="AO158" s="52">
        <v>244.1</v>
      </c>
      <c r="AP158" s="52">
        <v>248.06</v>
      </c>
      <c r="AQ158" s="52">
        <v>252.02</v>
      </c>
      <c r="AR158" s="52">
        <v>255.97</v>
      </c>
      <c r="AS158" s="52">
        <v>259.93</v>
      </c>
      <c r="AT158" s="52">
        <v>153.53</v>
      </c>
      <c r="AU158" s="52">
        <v>149.58000000000001</v>
      </c>
    </row>
    <row r="159" spans="1:47">
      <c r="A159" s="489">
        <v>287.95</v>
      </c>
      <c r="B159" s="300">
        <v>348.33</v>
      </c>
      <c r="C159" s="301">
        <v>353.97</v>
      </c>
      <c r="D159" s="301">
        <v>359.61</v>
      </c>
      <c r="E159" s="621">
        <v>365.26</v>
      </c>
      <c r="F159" s="490">
        <v>316.16000000000003</v>
      </c>
      <c r="G159" s="490">
        <v>321.8</v>
      </c>
      <c r="H159" s="491">
        <v>327.44</v>
      </c>
      <c r="I159" s="52">
        <v>333.08</v>
      </c>
      <c r="J159" s="52">
        <v>338.73</v>
      </c>
      <c r="K159" s="52">
        <v>344.37</v>
      </c>
      <c r="L159" s="52">
        <v>350.01</v>
      </c>
      <c r="M159" s="52">
        <v>355.65</v>
      </c>
      <c r="N159" s="52">
        <v>361.29</v>
      </c>
      <c r="O159" s="52">
        <v>343.14</v>
      </c>
      <c r="P159" s="52">
        <v>348.78</v>
      </c>
      <c r="Q159" s="52">
        <v>354.42</v>
      </c>
      <c r="R159" s="52">
        <v>360.07</v>
      </c>
      <c r="S159" s="52">
        <v>258.51</v>
      </c>
      <c r="T159" s="52">
        <v>252.87</v>
      </c>
      <c r="U159" s="52">
        <v>247.23</v>
      </c>
      <c r="V159" s="52">
        <v>241.58</v>
      </c>
      <c r="W159" s="52">
        <v>235.94</v>
      </c>
      <c r="X159" s="485">
        <v>155</v>
      </c>
      <c r="Y159" s="489">
        <v>181.94</v>
      </c>
      <c r="Z159" s="489">
        <v>185.92</v>
      </c>
      <c r="AA159" s="489">
        <v>189.9</v>
      </c>
      <c r="AB159" s="489">
        <v>193.89</v>
      </c>
      <c r="AC159" s="489">
        <v>197.87</v>
      </c>
      <c r="AD159" s="299">
        <v>201.86</v>
      </c>
      <c r="AE159" s="299">
        <v>205.84</v>
      </c>
      <c r="AF159" s="299">
        <v>209.82</v>
      </c>
      <c r="AG159" s="300">
        <v>213.81</v>
      </c>
      <c r="AH159" s="301">
        <v>217.79</v>
      </c>
      <c r="AI159" s="301">
        <v>221.77</v>
      </c>
      <c r="AJ159" s="626">
        <v>225.76</v>
      </c>
      <c r="AK159" s="490">
        <v>229.74</v>
      </c>
      <c r="AL159" s="482">
        <v>233.72</v>
      </c>
      <c r="AM159" s="491">
        <v>237.71</v>
      </c>
      <c r="AN159" s="646">
        <v>241.69</v>
      </c>
      <c r="AO159" s="52">
        <v>245.67</v>
      </c>
      <c r="AP159" s="52">
        <v>249.66</v>
      </c>
      <c r="AQ159" s="52">
        <v>253.64</v>
      </c>
      <c r="AR159" s="52">
        <v>257.62</v>
      </c>
      <c r="AS159" s="52">
        <v>261.61</v>
      </c>
      <c r="AT159" s="52">
        <v>154.52000000000001</v>
      </c>
      <c r="AU159" s="52">
        <v>150.54</v>
      </c>
    </row>
    <row r="160" spans="1:47">
      <c r="A160" s="489">
        <v>289.77</v>
      </c>
      <c r="B160" s="300">
        <v>350.53</v>
      </c>
      <c r="C160" s="301">
        <v>356.21</v>
      </c>
      <c r="D160" s="301">
        <v>361.89</v>
      </c>
      <c r="E160" s="621">
        <v>367.57</v>
      </c>
      <c r="F160" s="490">
        <v>318.16000000000003</v>
      </c>
      <c r="G160" s="490">
        <v>323.83999999999997</v>
      </c>
      <c r="H160" s="491">
        <v>329.52</v>
      </c>
      <c r="I160" s="52">
        <v>335.2</v>
      </c>
      <c r="J160" s="52">
        <v>340.88</v>
      </c>
      <c r="K160" s="52">
        <v>346.55</v>
      </c>
      <c r="L160" s="52">
        <v>352.23</v>
      </c>
      <c r="M160" s="52">
        <v>357.91</v>
      </c>
      <c r="N160" s="52">
        <v>363.59</v>
      </c>
      <c r="O160" s="52">
        <v>345.33</v>
      </c>
      <c r="P160" s="52">
        <v>351.01</v>
      </c>
      <c r="Q160" s="52">
        <v>356.68</v>
      </c>
      <c r="R160" s="52">
        <v>362.36</v>
      </c>
      <c r="S160" s="52">
        <v>260.14999999999998</v>
      </c>
      <c r="T160" s="52">
        <v>254.47</v>
      </c>
      <c r="U160" s="52">
        <v>248.79</v>
      </c>
      <c r="V160" s="52">
        <v>243.12</v>
      </c>
      <c r="W160" s="52">
        <v>237.44</v>
      </c>
      <c r="X160" s="485">
        <v>156</v>
      </c>
      <c r="Y160" s="489">
        <v>183.1</v>
      </c>
      <c r="Z160" s="489">
        <v>187.11</v>
      </c>
      <c r="AA160" s="489">
        <v>191.12</v>
      </c>
      <c r="AB160" s="489">
        <v>195.13</v>
      </c>
      <c r="AC160" s="489">
        <v>199.14</v>
      </c>
      <c r="AD160" s="299">
        <v>203.15</v>
      </c>
      <c r="AE160" s="299">
        <v>207.16</v>
      </c>
      <c r="AF160" s="299">
        <v>211.17</v>
      </c>
      <c r="AG160" s="300">
        <v>215.17</v>
      </c>
      <c r="AH160" s="301">
        <v>219.18</v>
      </c>
      <c r="AI160" s="301">
        <v>223.19</v>
      </c>
      <c r="AJ160" s="626">
        <v>227.2</v>
      </c>
      <c r="AK160" s="490">
        <v>231.21</v>
      </c>
      <c r="AL160" s="482">
        <v>235.22</v>
      </c>
      <c r="AM160" s="491">
        <v>239.23</v>
      </c>
      <c r="AN160" s="646">
        <v>243.24</v>
      </c>
      <c r="AO160" s="52">
        <v>247.25</v>
      </c>
      <c r="AP160" s="52">
        <v>251.26</v>
      </c>
      <c r="AQ160" s="52">
        <v>255.27</v>
      </c>
      <c r="AR160" s="52">
        <v>259.27999999999997</v>
      </c>
      <c r="AS160" s="52">
        <v>263.29000000000002</v>
      </c>
      <c r="AT160" s="52">
        <v>155.51</v>
      </c>
      <c r="AU160" s="52">
        <v>151.5</v>
      </c>
    </row>
    <row r="161" spans="1:47">
      <c r="A161" s="489">
        <v>291.60000000000002</v>
      </c>
      <c r="B161" s="300">
        <v>352.74</v>
      </c>
      <c r="C161" s="301">
        <v>358.45</v>
      </c>
      <c r="D161" s="301">
        <v>364.16</v>
      </c>
      <c r="E161" s="621">
        <v>369.88</v>
      </c>
      <c r="F161" s="490">
        <v>320.17</v>
      </c>
      <c r="G161" s="490">
        <v>325.89</v>
      </c>
      <c r="H161" s="491">
        <v>331.6</v>
      </c>
      <c r="I161" s="52">
        <v>337.31</v>
      </c>
      <c r="J161" s="52">
        <v>343.03</v>
      </c>
      <c r="K161" s="52">
        <v>348.74</v>
      </c>
      <c r="L161" s="52">
        <v>354.46</v>
      </c>
      <c r="M161" s="52">
        <v>360.17</v>
      </c>
      <c r="N161" s="52">
        <v>365.89</v>
      </c>
      <c r="O161" s="52">
        <v>347.52</v>
      </c>
      <c r="P161" s="52">
        <v>353.23</v>
      </c>
      <c r="Q161" s="52">
        <v>358.95</v>
      </c>
      <c r="R161" s="52">
        <v>364.66</v>
      </c>
      <c r="S161" s="52">
        <v>261.79000000000002</v>
      </c>
      <c r="T161" s="52">
        <v>256.08</v>
      </c>
      <c r="U161" s="52">
        <v>250.36</v>
      </c>
      <c r="V161" s="52">
        <v>244.65</v>
      </c>
      <c r="W161" s="52">
        <v>238.94</v>
      </c>
      <c r="X161" s="485">
        <v>157</v>
      </c>
      <c r="Y161" s="489">
        <v>184.27</v>
      </c>
      <c r="Z161" s="489">
        <v>188.3</v>
      </c>
      <c r="AA161" s="489">
        <v>192.34</v>
      </c>
      <c r="AB161" s="489">
        <v>196.37</v>
      </c>
      <c r="AC161" s="489">
        <v>200.41</v>
      </c>
      <c r="AD161" s="299">
        <v>204.44</v>
      </c>
      <c r="AE161" s="299">
        <v>208.48</v>
      </c>
      <c r="AF161" s="299">
        <v>212.51</v>
      </c>
      <c r="AG161" s="300">
        <v>216.55</v>
      </c>
      <c r="AH161" s="301">
        <v>220.58</v>
      </c>
      <c r="AI161" s="301">
        <v>224.62</v>
      </c>
      <c r="AJ161" s="626">
        <v>228.65</v>
      </c>
      <c r="AK161" s="490">
        <v>232.68</v>
      </c>
      <c r="AL161" s="482">
        <v>236.72</v>
      </c>
      <c r="AM161" s="491">
        <v>240.75</v>
      </c>
      <c r="AN161" s="646">
        <v>244.79</v>
      </c>
      <c r="AO161" s="52">
        <v>248.82</v>
      </c>
      <c r="AP161" s="52">
        <v>252.86</v>
      </c>
      <c r="AQ161" s="52">
        <v>256.89</v>
      </c>
      <c r="AR161" s="52">
        <v>260.93</v>
      </c>
      <c r="AS161" s="52">
        <v>264.95999999999998</v>
      </c>
      <c r="AT161" s="52">
        <v>156.51</v>
      </c>
      <c r="AU161" s="52">
        <v>152.47</v>
      </c>
    </row>
    <row r="162" spans="1:47">
      <c r="A162" s="489">
        <v>293.74</v>
      </c>
      <c r="B162" s="300">
        <v>355.36</v>
      </c>
      <c r="C162" s="301">
        <v>361.11</v>
      </c>
      <c r="D162" s="301">
        <v>366.86</v>
      </c>
      <c r="E162" s="621">
        <v>372.62</v>
      </c>
      <c r="F162" s="490">
        <v>322.49</v>
      </c>
      <c r="G162" s="490">
        <v>328.25</v>
      </c>
      <c r="H162" s="491">
        <v>334</v>
      </c>
      <c r="I162" s="52">
        <v>339.75</v>
      </c>
      <c r="J162" s="52">
        <v>345.5</v>
      </c>
      <c r="K162" s="52">
        <v>351.25</v>
      </c>
      <c r="L162" s="52">
        <v>357</v>
      </c>
      <c r="M162" s="52">
        <v>362.75</v>
      </c>
      <c r="N162" s="52">
        <v>368.5</v>
      </c>
      <c r="O162" s="52">
        <v>349.95</v>
      </c>
      <c r="P162" s="52">
        <v>355.7</v>
      </c>
      <c r="Q162" s="52">
        <v>361.45</v>
      </c>
      <c r="R162" s="52">
        <v>367.21</v>
      </c>
      <c r="S162" s="52">
        <v>263.68</v>
      </c>
      <c r="T162" s="52">
        <v>257.93</v>
      </c>
      <c r="U162" s="52">
        <v>252.18</v>
      </c>
      <c r="V162" s="52">
        <v>246.43</v>
      </c>
      <c r="W162" s="52">
        <v>240.68</v>
      </c>
      <c r="X162" s="485">
        <v>158</v>
      </c>
      <c r="Y162" s="489">
        <v>185.43</v>
      </c>
      <c r="Z162" s="489">
        <v>189.49</v>
      </c>
      <c r="AA162" s="489">
        <v>193.55</v>
      </c>
      <c r="AB162" s="489">
        <v>197.61</v>
      </c>
      <c r="AC162" s="489">
        <v>201.67</v>
      </c>
      <c r="AD162" s="299">
        <v>205.74</v>
      </c>
      <c r="AE162" s="299">
        <v>209.8</v>
      </c>
      <c r="AF162" s="299">
        <v>213.86</v>
      </c>
      <c r="AG162" s="300">
        <v>217.92</v>
      </c>
      <c r="AH162" s="301">
        <v>221.98</v>
      </c>
      <c r="AI162" s="301">
        <v>226.04</v>
      </c>
      <c r="AJ162" s="626">
        <v>230.1</v>
      </c>
      <c r="AK162" s="490">
        <v>234.16</v>
      </c>
      <c r="AL162" s="482">
        <v>238.22</v>
      </c>
      <c r="AM162" s="491">
        <v>242.28</v>
      </c>
      <c r="AN162" s="646">
        <v>246.34</v>
      </c>
      <c r="AO162" s="52">
        <v>250.4</v>
      </c>
      <c r="AP162" s="52">
        <v>254.46</v>
      </c>
      <c r="AQ162" s="52">
        <v>258.52</v>
      </c>
      <c r="AR162" s="52">
        <v>262.58</v>
      </c>
      <c r="AS162" s="52">
        <v>266.64</v>
      </c>
      <c r="AT162" s="52">
        <v>157.5</v>
      </c>
      <c r="AU162" s="52">
        <v>153.44</v>
      </c>
    </row>
    <row r="163" spans="1:47">
      <c r="A163" s="489">
        <v>295.58</v>
      </c>
      <c r="B163" s="300">
        <v>357.58</v>
      </c>
      <c r="C163" s="301">
        <v>363.37</v>
      </c>
      <c r="D163" s="301">
        <v>369.16</v>
      </c>
      <c r="E163" s="621">
        <v>374.94</v>
      </c>
      <c r="F163" s="490">
        <v>324.51</v>
      </c>
      <c r="G163" s="490">
        <v>330.3</v>
      </c>
      <c r="H163" s="491">
        <v>336.09</v>
      </c>
      <c r="I163" s="52">
        <v>341.88</v>
      </c>
      <c r="J163" s="52">
        <v>347.66</v>
      </c>
      <c r="K163" s="52">
        <v>353.45</v>
      </c>
      <c r="L163" s="52">
        <v>359.24</v>
      </c>
      <c r="M163" s="52">
        <v>365.03</v>
      </c>
      <c r="N163" s="52">
        <v>370.81</v>
      </c>
      <c r="O163" s="52">
        <v>352.15</v>
      </c>
      <c r="P163" s="52">
        <v>357.94</v>
      </c>
      <c r="Q163" s="52">
        <v>363.72</v>
      </c>
      <c r="R163" s="52">
        <v>369.51</v>
      </c>
      <c r="S163" s="52">
        <v>265.33999999999997</v>
      </c>
      <c r="T163" s="52">
        <v>259.55</v>
      </c>
      <c r="U163" s="52">
        <v>253.76</v>
      </c>
      <c r="V163" s="52">
        <v>247.97</v>
      </c>
      <c r="W163" s="52">
        <v>242.18</v>
      </c>
      <c r="X163" s="485">
        <v>159</v>
      </c>
      <c r="Y163" s="489">
        <v>186.6</v>
      </c>
      <c r="Z163" s="489">
        <v>190.69</v>
      </c>
      <c r="AA163" s="489">
        <v>194.77</v>
      </c>
      <c r="AB163" s="489">
        <v>198.86</v>
      </c>
      <c r="AC163" s="489">
        <v>202.94</v>
      </c>
      <c r="AD163" s="299">
        <v>207.03</v>
      </c>
      <c r="AE163" s="299">
        <v>211.12</v>
      </c>
      <c r="AF163" s="299">
        <v>215.2</v>
      </c>
      <c r="AG163" s="300">
        <v>219.29</v>
      </c>
      <c r="AH163" s="301">
        <v>223.38</v>
      </c>
      <c r="AI163" s="301">
        <v>227.46</v>
      </c>
      <c r="AJ163" s="626">
        <v>231.55</v>
      </c>
      <c r="AK163" s="490">
        <v>235.63</v>
      </c>
      <c r="AL163" s="482">
        <v>239.72</v>
      </c>
      <c r="AM163" s="491">
        <v>243.81</v>
      </c>
      <c r="AN163" s="646">
        <v>247.89</v>
      </c>
      <c r="AO163" s="52">
        <v>251.98</v>
      </c>
      <c r="AP163" s="52">
        <v>256.07</v>
      </c>
      <c r="AQ163" s="52">
        <v>260.14999999999998</v>
      </c>
      <c r="AR163" s="52">
        <v>264.24</v>
      </c>
      <c r="AS163" s="52">
        <v>268.33</v>
      </c>
      <c r="AT163" s="52">
        <v>158.49</v>
      </c>
      <c r="AU163" s="52">
        <v>154.4</v>
      </c>
    </row>
    <row r="164" spans="1:47">
      <c r="A164" s="489">
        <v>297.42</v>
      </c>
      <c r="B164" s="300">
        <v>359.81</v>
      </c>
      <c r="C164" s="301">
        <v>365.63</v>
      </c>
      <c r="D164" s="301">
        <v>371.45</v>
      </c>
      <c r="E164" s="621">
        <v>377.28</v>
      </c>
      <c r="F164" s="490">
        <v>326.54000000000002</v>
      </c>
      <c r="G164" s="490">
        <v>332.36</v>
      </c>
      <c r="H164" s="491">
        <v>338.18</v>
      </c>
      <c r="I164" s="52">
        <v>344.01</v>
      </c>
      <c r="J164" s="52">
        <v>349.83</v>
      </c>
      <c r="K164" s="52">
        <v>355.66</v>
      </c>
      <c r="L164" s="52">
        <v>361.48</v>
      </c>
      <c r="M164" s="52">
        <v>367.3</v>
      </c>
      <c r="N164" s="52">
        <v>373.13</v>
      </c>
      <c r="O164" s="52">
        <v>354.35</v>
      </c>
      <c r="P164" s="52">
        <v>360.17</v>
      </c>
      <c r="Q164" s="52">
        <v>366</v>
      </c>
      <c r="R164" s="52">
        <v>371.82</v>
      </c>
      <c r="S164" s="52">
        <v>266.99</v>
      </c>
      <c r="T164" s="52">
        <v>261.17</v>
      </c>
      <c r="U164" s="52">
        <v>255.34</v>
      </c>
      <c r="V164" s="52">
        <v>249.52</v>
      </c>
      <c r="W164" s="52">
        <v>243.69</v>
      </c>
      <c r="X164" s="485">
        <v>160</v>
      </c>
      <c r="Y164" s="489">
        <v>187.77</v>
      </c>
      <c r="Z164" s="489">
        <v>191.88</v>
      </c>
      <c r="AA164" s="489">
        <v>195.99</v>
      </c>
      <c r="AB164" s="489">
        <v>200.1</v>
      </c>
      <c r="AC164" s="489">
        <v>204.22</v>
      </c>
      <c r="AD164" s="299">
        <v>208.33</v>
      </c>
      <c r="AE164" s="299">
        <v>212.44</v>
      </c>
      <c r="AF164" s="299">
        <v>216.55</v>
      </c>
      <c r="AG164" s="300">
        <v>220.66</v>
      </c>
      <c r="AH164" s="301">
        <v>224.78</v>
      </c>
      <c r="AI164" s="301">
        <v>228.89</v>
      </c>
      <c r="AJ164" s="626">
        <v>233</v>
      </c>
      <c r="AK164" s="490">
        <v>237.11</v>
      </c>
      <c r="AL164" s="482">
        <v>241.22</v>
      </c>
      <c r="AM164" s="491">
        <v>245.34</v>
      </c>
      <c r="AN164" s="646">
        <v>249.45</v>
      </c>
      <c r="AO164" s="52">
        <v>253.56</v>
      </c>
      <c r="AP164" s="52">
        <v>257.67</v>
      </c>
      <c r="AQ164" s="52">
        <v>261.77999999999997</v>
      </c>
      <c r="AR164" s="52">
        <v>265.89999999999998</v>
      </c>
      <c r="AS164" s="52">
        <v>270.01</v>
      </c>
      <c r="AT164" s="52">
        <v>159.47999999999999</v>
      </c>
      <c r="AU164" s="52">
        <v>155.37</v>
      </c>
    </row>
    <row r="165" spans="1:47">
      <c r="A165" s="489">
        <v>299.26</v>
      </c>
      <c r="B165" s="300">
        <v>362.04</v>
      </c>
      <c r="C165" s="301">
        <v>367.9</v>
      </c>
      <c r="D165" s="301">
        <v>373.76</v>
      </c>
      <c r="E165" s="621">
        <v>379.62</v>
      </c>
      <c r="F165" s="490">
        <v>328.56</v>
      </c>
      <c r="G165" s="490">
        <v>334.42</v>
      </c>
      <c r="H165" s="491">
        <v>340.28</v>
      </c>
      <c r="I165" s="52">
        <v>346.14</v>
      </c>
      <c r="J165" s="52">
        <v>352</v>
      </c>
      <c r="K165" s="52">
        <v>357.87</v>
      </c>
      <c r="L165" s="52">
        <v>363.73</v>
      </c>
      <c r="M165" s="52">
        <v>369.59</v>
      </c>
      <c r="N165" s="52">
        <v>375.45</v>
      </c>
      <c r="O165" s="52">
        <v>356.55</v>
      </c>
      <c r="P165" s="52">
        <v>362.41</v>
      </c>
      <c r="Q165" s="52">
        <v>368.27</v>
      </c>
      <c r="R165" s="52">
        <v>374.13</v>
      </c>
      <c r="S165" s="52">
        <v>268.64999999999998</v>
      </c>
      <c r="T165" s="52">
        <v>262.79000000000002</v>
      </c>
      <c r="U165" s="52">
        <v>256.93</v>
      </c>
      <c r="V165" s="52">
        <v>251.07</v>
      </c>
      <c r="W165" s="52">
        <v>245.21</v>
      </c>
      <c r="X165" s="485">
        <v>161</v>
      </c>
      <c r="Y165" s="489">
        <v>188.94</v>
      </c>
      <c r="Z165" s="489">
        <v>193.08</v>
      </c>
      <c r="AA165" s="489">
        <v>197.21</v>
      </c>
      <c r="AB165" s="489">
        <v>201.35</v>
      </c>
      <c r="AC165" s="489">
        <v>205.49</v>
      </c>
      <c r="AD165" s="299">
        <v>209.63</v>
      </c>
      <c r="AE165" s="299">
        <v>213.76</v>
      </c>
      <c r="AF165" s="299">
        <v>217.9</v>
      </c>
      <c r="AG165" s="300">
        <v>222.04</v>
      </c>
      <c r="AH165" s="301">
        <v>226.18</v>
      </c>
      <c r="AI165" s="301">
        <v>230.31</v>
      </c>
      <c r="AJ165" s="626">
        <v>234.45</v>
      </c>
      <c r="AK165" s="490">
        <v>238.59</v>
      </c>
      <c r="AL165" s="482">
        <v>242.73</v>
      </c>
      <c r="AM165" s="491">
        <v>246.87</v>
      </c>
      <c r="AN165" s="646">
        <v>251</v>
      </c>
      <c r="AO165" s="52">
        <v>255.14</v>
      </c>
      <c r="AP165" s="52">
        <v>259.27999999999997</v>
      </c>
      <c r="AQ165" s="52">
        <v>263.42</v>
      </c>
      <c r="AR165" s="52">
        <v>267.55</v>
      </c>
      <c r="AS165" s="52">
        <v>271.69</v>
      </c>
      <c r="AT165" s="52">
        <v>160.47999999999999</v>
      </c>
      <c r="AU165" s="52">
        <v>156.34</v>
      </c>
    </row>
    <row r="166" spans="1:47">
      <c r="A166" s="489">
        <v>301.11</v>
      </c>
      <c r="B166" s="300">
        <v>364.27</v>
      </c>
      <c r="C166" s="301">
        <v>370.17</v>
      </c>
      <c r="D166" s="301">
        <v>376.06</v>
      </c>
      <c r="E166" s="621">
        <v>381.96</v>
      </c>
      <c r="F166" s="490">
        <v>330.59</v>
      </c>
      <c r="G166" s="490">
        <v>336.49</v>
      </c>
      <c r="H166" s="491">
        <v>342.39</v>
      </c>
      <c r="I166" s="52">
        <v>348.28</v>
      </c>
      <c r="J166" s="52">
        <v>354.18</v>
      </c>
      <c r="K166" s="52">
        <v>360.08</v>
      </c>
      <c r="L166" s="52">
        <v>365.97</v>
      </c>
      <c r="M166" s="52">
        <v>371.87</v>
      </c>
      <c r="N166" s="52">
        <v>377.77</v>
      </c>
      <c r="O166" s="52">
        <v>358.76</v>
      </c>
      <c r="P166" s="52">
        <v>364.66</v>
      </c>
      <c r="Q166" s="52">
        <v>370.55</v>
      </c>
      <c r="R166" s="52">
        <v>376.45</v>
      </c>
      <c r="S166" s="52">
        <v>270.31</v>
      </c>
      <c r="T166" s="52">
        <v>264.41000000000003</v>
      </c>
      <c r="U166" s="52">
        <v>258.51</v>
      </c>
      <c r="V166" s="52">
        <v>252.62</v>
      </c>
      <c r="W166" s="52">
        <v>246.72</v>
      </c>
      <c r="X166" s="485">
        <v>162</v>
      </c>
      <c r="Y166" s="489">
        <v>190.11</v>
      </c>
      <c r="Z166" s="489">
        <v>194.27</v>
      </c>
      <c r="AA166" s="489">
        <v>198.44</v>
      </c>
      <c r="AB166" s="489">
        <v>202.6</v>
      </c>
      <c r="AC166" s="489">
        <v>206.76</v>
      </c>
      <c r="AD166" s="299">
        <v>210.93</v>
      </c>
      <c r="AE166" s="299">
        <v>215.09</v>
      </c>
      <c r="AF166" s="299">
        <v>219.25</v>
      </c>
      <c r="AG166" s="300">
        <v>223.42</v>
      </c>
      <c r="AH166" s="301">
        <v>227.58</v>
      </c>
      <c r="AI166" s="301">
        <v>231.74</v>
      </c>
      <c r="AJ166" s="626">
        <v>235.91</v>
      </c>
      <c r="AK166" s="490">
        <v>240.07</v>
      </c>
      <c r="AL166" s="482">
        <v>244.23</v>
      </c>
      <c r="AM166" s="491">
        <v>248.4</v>
      </c>
      <c r="AN166" s="646">
        <v>252.56</v>
      </c>
      <c r="AO166" s="52">
        <v>256.72000000000003</v>
      </c>
      <c r="AP166" s="52">
        <v>260.89</v>
      </c>
      <c r="AQ166" s="52">
        <v>265.05</v>
      </c>
      <c r="AR166" s="52">
        <v>269.20999999999998</v>
      </c>
      <c r="AS166" s="52">
        <v>273.38</v>
      </c>
      <c r="AT166" s="52">
        <v>161.47</v>
      </c>
      <c r="AU166" s="52">
        <v>157.31</v>
      </c>
    </row>
    <row r="167" spans="1:47">
      <c r="A167" s="489">
        <v>302.95999999999998</v>
      </c>
      <c r="B167" s="300">
        <v>366.51</v>
      </c>
      <c r="C167" s="301">
        <v>372.44</v>
      </c>
      <c r="D167" s="301">
        <v>378.38</v>
      </c>
      <c r="E167" s="621">
        <v>384.31</v>
      </c>
      <c r="F167" s="490">
        <v>332.63</v>
      </c>
      <c r="G167" s="490">
        <v>338.56</v>
      </c>
      <c r="H167" s="491">
        <v>344.49</v>
      </c>
      <c r="I167" s="52">
        <v>350.43</v>
      </c>
      <c r="J167" s="52">
        <v>356.36</v>
      </c>
      <c r="K167" s="52">
        <v>362.29</v>
      </c>
      <c r="L167" s="52">
        <v>368.23</v>
      </c>
      <c r="M167" s="52">
        <v>374.16</v>
      </c>
      <c r="N167" s="52">
        <v>380.09</v>
      </c>
      <c r="O167" s="52">
        <v>360.97</v>
      </c>
      <c r="P167" s="52">
        <v>366.9</v>
      </c>
      <c r="Q167" s="52">
        <v>372.84</v>
      </c>
      <c r="R167" s="52">
        <v>378.77</v>
      </c>
      <c r="S167" s="52">
        <v>271.97000000000003</v>
      </c>
      <c r="T167" s="52">
        <v>266.04000000000002</v>
      </c>
      <c r="U167" s="52">
        <v>260.11</v>
      </c>
      <c r="V167" s="52">
        <v>254.17</v>
      </c>
      <c r="W167" s="52">
        <v>248.24</v>
      </c>
      <c r="X167" s="485">
        <v>163</v>
      </c>
      <c r="Y167" s="489">
        <v>191.28</v>
      </c>
      <c r="Z167" s="489">
        <v>195.47</v>
      </c>
      <c r="AA167" s="489">
        <v>199.66</v>
      </c>
      <c r="AB167" s="489">
        <v>203.85</v>
      </c>
      <c r="AC167" s="489">
        <v>208.04</v>
      </c>
      <c r="AD167" s="299">
        <v>212.23</v>
      </c>
      <c r="AE167" s="299">
        <v>216.42</v>
      </c>
      <c r="AF167" s="299">
        <v>220.61</v>
      </c>
      <c r="AG167" s="300">
        <v>224.79</v>
      </c>
      <c r="AH167" s="301">
        <v>228.98</v>
      </c>
      <c r="AI167" s="301">
        <v>233.17</v>
      </c>
      <c r="AJ167" s="626">
        <v>237.36</v>
      </c>
      <c r="AK167" s="490">
        <v>241.55</v>
      </c>
      <c r="AL167" s="482">
        <v>245.74</v>
      </c>
      <c r="AM167" s="491">
        <v>249.93</v>
      </c>
      <c r="AN167" s="646">
        <v>254.12</v>
      </c>
      <c r="AO167" s="52">
        <v>258.31</v>
      </c>
      <c r="AP167" s="52">
        <v>262.5</v>
      </c>
      <c r="AQ167" s="52">
        <v>266.69</v>
      </c>
      <c r="AR167" s="52">
        <v>270.88</v>
      </c>
      <c r="AS167" s="52">
        <v>275.06</v>
      </c>
      <c r="AT167" s="52">
        <v>162.47</v>
      </c>
      <c r="AU167" s="52">
        <v>158.28</v>
      </c>
    </row>
    <row r="168" spans="1:47">
      <c r="A168" s="489">
        <v>304.82</v>
      </c>
      <c r="B168" s="300">
        <v>368.76</v>
      </c>
      <c r="C168" s="301">
        <v>374.73</v>
      </c>
      <c r="D168" s="301">
        <v>380.7</v>
      </c>
      <c r="E168" s="621">
        <v>386.67</v>
      </c>
      <c r="F168" s="490">
        <v>334.67</v>
      </c>
      <c r="G168" s="490">
        <v>340.64</v>
      </c>
      <c r="H168" s="491">
        <v>346.61</v>
      </c>
      <c r="I168" s="52">
        <v>352.58</v>
      </c>
      <c r="J168" s="52">
        <v>358.55</v>
      </c>
      <c r="K168" s="52">
        <v>364.52</v>
      </c>
      <c r="L168" s="52">
        <v>370.48</v>
      </c>
      <c r="M168" s="52">
        <v>376.45</v>
      </c>
      <c r="N168" s="52">
        <v>382.42</v>
      </c>
      <c r="O168" s="52">
        <v>363.18</v>
      </c>
      <c r="P168" s="52">
        <v>369.15</v>
      </c>
      <c r="Q168" s="52">
        <v>375.12</v>
      </c>
      <c r="R168" s="52">
        <v>381.09</v>
      </c>
      <c r="S168" s="52">
        <v>273.64</v>
      </c>
      <c r="T168" s="52">
        <v>267.67</v>
      </c>
      <c r="U168" s="52">
        <v>261.7</v>
      </c>
      <c r="V168" s="52">
        <v>255.73</v>
      </c>
      <c r="W168" s="52">
        <v>249.76</v>
      </c>
      <c r="X168" s="485">
        <v>164</v>
      </c>
      <c r="Y168" s="489">
        <v>192.46</v>
      </c>
      <c r="Z168" s="489">
        <v>196.67</v>
      </c>
      <c r="AA168" s="489">
        <v>200.89</v>
      </c>
      <c r="AB168" s="489">
        <v>205.1</v>
      </c>
      <c r="AC168" s="489">
        <v>209.32</v>
      </c>
      <c r="AD168" s="299">
        <v>213.53</v>
      </c>
      <c r="AE168" s="299">
        <v>217.75</v>
      </c>
      <c r="AF168" s="299">
        <v>221.96</v>
      </c>
      <c r="AG168" s="300">
        <v>226.17</v>
      </c>
      <c r="AH168" s="301">
        <v>230.39</v>
      </c>
      <c r="AI168" s="301">
        <v>234.6</v>
      </c>
      <c r="AJ168" s="626">
        <v>238.82</v>
      </c>
      <c r="AK168" s="490">
        <v>243.03</v>
      </c>
      <c r="AL168" s="482">
        <v>247.25</v>
      </c>
      <c r="AM168" s="491">
        <v>251.46</v>
      </c>
      <c r="AN168" s="646">
        <v>255.68</v>
      </c>
      <c r="AO168" s="52">
        <v>259.89</v>
      </c>
      <c r="AP168" s="52">
        <v>264.11</v>
      </c>
      <c r="AQ168" s="52">
        <v>268.32</v>
      </c>
      <c r="AR168" s="52">
        <v>272.54000000000002</v>
      </c>
      <c r="AS168" s="52">
        <v>276.75</v>
      </c>
      <c r="AT168" s="52">
        <v>163.47</v>
      </c>
      <c r="AU168" s="52">
        <v>159.25</v>
      </c>
    </row>
    <row r="169" spans="1:47">
      <c r="A169" s="489">
        <v>306.68</v>
      </c>
      <c r="B169" s="300">
        <v>371.01</v>
      </c>
      <c r="C169" s="301">
        <v>377.01</v>
      </c>
      <c r="D169" s="301">
        <v>383.02</v>
      </c>
      <c r="E169" s="621">
        <v>389.03</v>
      </c>
      <c r="F169" s="490">
        <v>336.71</v>
      </c>
      <c r="G169" s="490">
        <v>342.72</v>
      </c>
      <c r="H169" s="491">
        <v>348.72</v>
      </c>
      <c r="I169" s="52">
        <v>354.73</v>
      </c>
      <c r="J169" s="52">
        <v>360.73</v>
      </c>
      <c r="K169" s="52">
        <v>366.74</v>
      </c>
      <c r="L169" s="52">
        <v>372.75</v>
      </c>
      <c r="M169" s="52">
        <v>378.75</v>
      </c>
      <c r="N169" s="52">
        <v>384.76</v>
      </c>
      <c r="O169" s="52">
        <v>365.4</v>
      </c>
      <c r="P169" s="52">
        <v>371.41</v>
      </c>
      <c r="Q169" s="52">
        <v>377.41</v>
      </c>
      <c r="R169" s="52">
        <v>383.42</v>
      </c>
      <c r="S169" s="52">
        <v>275.31</v>
      </c>
      <c r="T169" s="52">
        <v>269.3</v>
      </c>
      <c r="U169" s="52">
        <v>263.3</v>
      </c>
      <c r="V169" s="52">
        <v>257.29000000000002</v>
      </c>
      <c r="W169" s="52">
        <v>251.29</v>
      </c>
      <c r="X169" s="485">
        <v>165</v>
      </c>
      <c r="Y169" s="489">
        <v>193.63</v>
      </c>
      <c r="Z169" s="489">
        <v>197.87</v>
      </c>
      <c r="AA169" s="489">
        <v>202.11</v>
      </c>
      <c r="AB169" s="489">
        <v>206.35</v>
      </c>
      <c r="AC169" s="489">
        <v>210.59</v>
      </c>
      <c r="AD169" s="299">
        <v>214.83</v>
      </c>
      <c r="AE169" s="299">
        <v>219.08</v>
      </c>
      <c r="AF169" s="299">
        <v>223.32</v>
      </c>
      <c r="AG169" s="300">
        <v>227.56</v>
      </c>
      <c r="AH169" s="301">
        <v>231.8</v>
      </c>
      <c r="AI169" s="301">
        <v>236.04</v>
      </c>
      <c r="AJ169" s="626">
        <v>240.28</v>
      </c>
      <c r="AK169" s="490">
        <v>244.52</v>
      </c>
      <c r="AL169" s="482">
        <v>248.76</v>
      </c>
      <c r="AM169" s="491">
        <v>253</v>
      </c>
      <c r="AN169" s="646">
        <v>257.24</v>
      </c>
      <c r="AO169" s="52">
        <v>261.48</v>
      </c>
      <c r="AP169" s="52">
        <v>265.72000000000003</v>
      </c>
      <c r="AQ169" s="52">
        <v>269.95999999999998</v>
      </c>
      <c r="AR169" s="52">
        <v>274.2</v>
      </c>
      <c r="AS169" s="52">
        <v>278.44</v>
      </c>
      <c r="AT169" s="52">
        <v>164.47</v>
      </c>
      <c r="AU169" s="52">
        <v>160.22999999999999</v>
      </c>
    </row>
    <row r="170" spans="1:47">
      <c r="A170" s="489">
        <v>308.54000000000002</v>
      </c>
      <c r="B170" s="300">
        <v>373.27</v>
      </c>
      <c r="C170" s="301">
        <v>379.31</v>
      </c>
      <c r="D170" s="301">
        <v>385.35</v>
      </c>
      <c r="E170" s="621">
        <v>391.39</v>
      </c>
      <c r="F170" s="490">
        <v>338.76</v>
      </c>
      <c r="G170" s="490">
        <v>344.8</v>
      </c>
      <c r="H170" s="491">
        <v>350.84</v>
      </c>
      <c r="I170" s="52">
        <v>356.88</v>
      </c>
      <c r="J170" s="52">
        <v>362.93</v>
      </c>
      <c r="K170" s="52">
        <v>368.97</v>
      </c>
      <c r="L170" s="52">
        <v>375.01</v>
      </c>
      <c r="M170" s="52">
        <v>381.05</v>
      </c>
      <c r="N170" s="52">
        <v>387.1</v>
      </c>
      <c r="O170" s="52">
        <v>367.62</v>
      </c>
      <c r="P170" s="52">
        <v>373.66</v>
      </c>
      <c r="Q170" s="52">
        <v>379.7</v>
      </c>
      <c r="R170" s="52">
        <v>385.75</v>
      </c>
      <c r="S170" s="52">
        <v>276.98</v>
      </c>
      <c r="T170" s="52">
        <v>270.94</v>
      </c>
      <c r="U170" s="52">
        <v>264.89999999999998</v>
      </c>
      <c r="V170" s="52">
        <v>258.86</v>
      </c>
      <c r="W170" s="52">
        <v>252.81</v>
      </c>
      <c r="X170" s="485">
        <v>166</v>
      </c>
      <c r="Y170" s="489">
        <v>194.84</v>
      </c>
      <c r="Z170" s="489">
        <v>199.08</v>
      </c>
      <c r="AA170" s="489">
        <v>203.34</v>
      </c>
      <c r="AB170" s="489">
        <v>207.61</v>
      </c>
      <c r="AC170" s="489">
        <v>211.87</v>
      </c>
      <c r="AD170" s="299">
        <v>216.14</v>
      </c>
      <c r="AE170" s="299">
        <v>220.41</v>
      </c>
      <c r="AF170" s="299">
        <v>224.67</v>
      </c>
      <c r="AG170" s="300">
        <v>228.94</v>
      </c>
      <c r="AH170" s="301">
        <v>233.21</v>
      </c>
      <c r="AI170" s="301">
        <v>237.47</v>
      </c>
      <c r="AJ170" s="626">
        <v>241.74</v>
      </c>
      <c r="AK170" s="490">
        <v>246</v>
      </c>
      <c r="AL170" s="482">
        <v>250.27</v>
      </c>
      <c r="AM170" s="491">
        <v>254.54</v>
      </c>
      <c r="AN170" s="646">
        <v>258.8</v>
      </c>
      <c r="AO170" s="52">
        <v>263.07</v>
      </c>
      <c r="AP170" s="52">
        <v>267.33</v>
      </c>
      <c r="AQ170" s="52">
        <v>271.60000000000002</v>
      </c>
      <c r="AR170" s="52">
        <v>275.87</v>
      </c>
      <c r="AS170" s="52">
        <v>280.13</v>
      </c>
      <c r="AT170" s="52">
        <v>165.46</v>
      </c>
      <c r="AU170" s="52">
        <v>161.19999999999999</v>
      </c>
    </row>
    <row r="171" spans="1:47">
      <c r="A171" s="489">
        <v>310.41000000000003</v>
      </c>
      <c r="B171" s="300">
        <v>375.53</v>
      </c>
      <c r="C171" s="301">
        <v>381.61</v>
      </c>
      <c r="D171" s="301">
        <v>387.69</v>
      </c>
      <c r="E171" s="621">
        <v>393.76</v>
      </c>
      <c r="F171" s="490">
        <v>340.81</v>
      </c>
      <c r="G171" s="490">
        <v>346.89</v>
      </c>
      <c r="H171" s="491">
        <v>352.97</v>
      </c>
      <c r="I171" s="52">
        <v>359.04</v>
      </c>
      <c r="J171" s="52">
        <v>365.12</v>
      </c>
      <c r="K171" s="52">
        <v>371.2</v>
      </c>
      <c r="L171" s="52">
        <v>377.28</v>
      </c>
      <c r="M171" s="52">
        <v>383.36</v>
      </c>
      <c r="N171" s="52">
        <v>389.44</v>
      </c>
      <c r="O171" s="52">
        <v>369.84</v>
      </c>
      <c r="P171" s="52">
        <v>375.92</v>
      </c>
      <c r="Q171" s="52">
        <v>382</v>
      </c>
      <c r="R171" s="52">
        <v>388.08</v>
      </c>
      <c r="S171" s="52">
        <v>278.66000000000003</v>
      </c>
      <c r="T171" s="52">
        <v>272.58</v>
      </c>
      <c r="U171" s="52">
        <v>266.5</v>
      </c>
      <c r="V171" s="52">
        <v>260.42</v>
      </c>
      <c r="W171" s="52">
        <v>254.34</v>
      </c>
      <c r="X171" s="485">
        <v>167</v>
      </c>
      <c r="Y171" s="489">
        <v>195.99</v>
      </c>
      <c r="Z171" s="489">
        <v>200.28</v>
      </c>
      <c r="AA171" s="489">
        <v>204.57</v>
      </c>
      <c r="AB171" s="489">
        <v>208.86</v>
      </c>
      <c r="AC171" s="489">
        <v>213.16</v>
      </c>
      <c r="AD171" s="299">
        <v>217.45</v>
      </c>
      <c r="AE171" s="299">
        <v>221.74</v>
      </c>
      <c r="AF171" s="299">
        <v>226.03</v>
      </c>
      <c r="AG171" s="300">
        <v>230.32</v>
      </c>
      <c r="AH171" s="301">
        <v>234.62</v>
      </c>
      <c r="AI171" s="301">
        <v>238.91</v>
      </c>
      <c r="AJ171" s="626">
        <v>243.2</v>
      </c>
      <c r="AK171" s="490">
        <v>247.49</v>
      </c>
      <c r="AL171" s="482">
        <v>251.78</v>
      </c>
      <c r="AM171" s="491">
        <v>256.07</v>
      </c>
      <c r="AN171" s="646">
        <v>260.37</v>
      </c>
      <c r="AO171" s="52">
        <v>264.66000000000003</v>
      </c>
      <c r="AP171" s="52">
        <v>268.95</v>
      </c>
      <c r="AQ171" s="52">
        <v>273.24</v>
      </c>
      <c r="AR171" s="52">
        <v>277.52999999999997</v>
      </c>
      <c r="AS171" s="52">
        <v>281.83</v>
      </c>
      <c r="AT171" s="52">
        <v>166.46</v>
      </c>
      <c r="AU171" s="52">
        <v>162.16999999999999</v>
      </c>
    </row>
    <row r="172" spans="1:47">
      <c r="A172" s="489">
        <v>312.29000000000002</v>
      </c>
      <c r="B172" s="300">
        <v>377.8</v>
      </c>
      <c r="C172" s="301">
        <v>383.91</v>
      </c>
      <c r="D172" s="301">
        <v>390.03</v>
      </c>
      <c r="E172" s="621">
        <v>396.14</v>
      </c>
      <c r="F172" s="490">
        <v>342.86</v>
      </c>
      <c r="G172" s="490">
        <v>348.98</v>
      </c>
      <c r="H172" s="491">
        <v>355.09</v>
      </c>
      <c r="I172" s="52">
        <v>361.21</v>
      </c>
      <c r="J172" s="52">
        <v>367.32</v>
      </c>
      <c r="K172" s="52">
        <v>373.44</v>
      </c>
      <c r="L172" s="52">
        <v>379.55</v>
      </c>
      <c r="M172" s="52">
        <v>385.67</v>
      </c>
      <c r="N172" s="52">
        <v>391.79</v>
      </c>
      <c r="O172" s="52">
        <v>372.07</v>
      </c>
      <c r="P172" s="52">
        <v>378.18</v>
      </c>
      <c r="Q172" s="52">
        <v>384.3</v>
      </c>
      <c r="R172" s="52">
        <v>390.41</v>
      </c>
      <c r="S172" s="52">
        <v>280.33999999999997</v>
      </c>
      <c r="T172" s="52">
        <v>274.22000000000003</v>
      </c>
      <c r="U172" s="52">
        <v>268.11</v>
      </c>
      <c r="V172" s="52">
        <v>261.99</v>
      </c>
      <c r="W172" s="52">
        <v>255.88</v>
      </c>
      <c r="X172" s="485">
        <v>168</v>
      </c>
      <c r="Y172" s="489">
        <v>197.17</v>
      </c>
      <c r="Z172" s="489">
        <v>201.49</v>
      </c>
      <c r="AA172" s="489">
        <v>205.8</v>
      </c>
      <c r="AB172" s="489">
        <v>210.12</v>
      </c>
      <c r="AC172" s="489">
        <v>214.44</v>
      </c>
      <c r="AD172" s="299">
        <v>218.76</v>
      </c>
      <c r="AE172" s="299">
        <v>223.07</v>
      </c>
      <c r="AF172" s="299">
        <v>227.39</v>
      </c>
      <c r="AG172" s="300">
        <v>231.71</v>
      </c>
      <c r="AH172" s="301">
        <v>236.03</v>
      </c>
      <c r="AI172" s="301">
        <v>240.34</v>
      </c>
      <c r="AJ172" s="626">
        <v>244.66</v>
      </c>
      <c r="AK172" s="490">
        <v>248.98</v>
      </c>
      <c r="AL172" s="482">
        <v>253.3</v>
      </c>
      <c r="AM172" s="491">
        <v>257.61</v>
      </c>
      <c r="AN172" s="646">
        <v>261.93</v>
      </c>
      <c r="AO172" s="52">
        <v>266.25</v>
      </c>
      <c r="AP172" s="52">
        <v>270.57</v>
      </c>
      <c r="AQ172" s="52">
        <v>274.89</v>
      </c>
      <c r="AR172" s="52">
        <v>279.2</v>
      </c>
      <c r="AS172" s="52">
        <v>283.52</v>
      </c>
      <c r="AT172" s="52">
        <v>167.47</v>
      </c>
      <c r="AU172" s="52">
        <v>163.15</v>
      </c>
    </row>
    <row r="173" spans="1:47">
      <c r="A173" s="489">
        <v>313.81</v>
      </c>
      <c r="B173" s="300">
        <v>379.59</v>
      </c>
      <c r="C173" s="301">
        <v>385.75</v>
      </c>
      <c r="D173" s="301">
        <v>391.9</v>
      </c>
      <c r="E173" s="621">
        <v>398.05</v>
      </c>
      <c r="F173" s="490">
        <v>344.57</v>
      </c>
      <c r="G173" s="490">
        <v>350.72</v>
      </c>
      <c r="H173" s="491">
        <v>356.87</v>
      </c>
      <c r="I173" s="52">
        <v>363.02</v>
      </c>
      <c r="J173" s="52">
        <v>369.17</v>
      </c>
      <c r="K173" s="52">
        <v>375.32</v>
      </c>
      <c r="L173" s="52">
        <v>381.48</v>
      </c>
      <c r="M173" s="52">
        <v>387.63</v>
      </c>
      <c r="N173" s="52">
        <v>393.78</v>
      </c>
      <c r="O173" s="52">
        <v>374.02</v>
      </c>
      <c r="P173" s="52">
        <v>380.17</v>
      </c>
      <c r="Q173" s="52">
        <v>386.32</v>
      </c>
      <c r="R173" s="52">
        <v>392.47</v>
      </c>
      <c r="S173" s="52">
        <v>281.75</v>
      </c>
      <c r="T173" s="52">
        <v>275.58999999999997</v>
      </c>
      <c r="U173" s="52">
        <v>269.44</v>
      </c>
      <c r="V173" s="52">
        <v>263.29000000000002</v>
      </c>
      <c r="W173" s="52">
        <v>257.14</v>
      </c>
      <c r="X173" s="485">
        <v>169</v>
      </c>
      <c r="Y173" s="489">
        <v>198.35</v>
      </c>
      <c r="Z173" s="489">
        <v>202.69</v>
      </c>
      <c r="AA173" s="489">
        <v>207.04</v>
      </c>
      <c r="AB173" s="489">
        <v>211.38</v>
      </c>
      <c r="AC173" s="489">
        <v>21572</v>
      </c>
      <c r="AD173" s="299">
        <v>220.07</v>
      </c>
      <c r="AE173" s="299">
        <v>224.41</v>
      </c>
      <c r="AF173" s="299">
        <v>228.75</v>
      </c>
      <c r="AG173" s="300">
        <v>233.1</v>
      </c>
      <c r="AH173" s="301">
        <v>237.44</v>
      </c>
      <c r="AI173" s="301">
        <v>241.78</v>
      </c>
      <c r="AJ173" s="626">
        <v>246.13</v>
      </c>
      <c r="AK173" s="490">
        <v>250.47</v>
      </c>
      <c r="AL173" s="482">
        <v>254.81</v>
      </c>
      <c r="AM173" s="491">
        <v>259.16000000000003</v>
      </c>
      <c r="AN173" s="646">
        <v>263.5</v>
      </c>
      <c r="AO173" s="52">
        <v>267.83999999999997</v>
      </c>
      <c r="AP173" s="52">
        <v>272.19</v>
      </c>
      <c r="AQ173" s="52">
        <v>276.52999999999997</v>
      </c>
      <c r="AR173" s="52">
        <v>280.87</v>
      </c>
      <c r="AS173" s="52">
        <v>285.22000000000003</v>
      </c>
      <c r="AT173" s="52">
        <v>168.47</v>
      </c>
      <c r="AU173" s="52">
        <v>164.12</v>
      </c>
    </row>
    <row r="174" spans="1:47">
      <c r="A174" s="489">
        <v>315.69</v>
      </c>
      <c r="B174" s="300">
        <v>381.87</v>
      </c>
      <c r="C174" s="301">
        <v>388.06</v>
      </c>
      <c r="D174" s="301">
        <v>394.25</v>
      </c>
      <c r="E174" s="621">
        <v>400.43</v>
      </c>
      <c r="F174" s="490">
        <v>346.63</v>
      </c>
      <c r="G174" s="490">
        <v>352.81</v>
      </c>
      <c r="H174" s="491">
        <v>359</v>
      </c>
      <c r="I174" s="52">
        <v>365.19</v>
      </c>
      <c r="J174" s="52">
        <v>371.38</v>
      </c>
      <c r="K174" s="52">
        <v>377.57</v>
      </c>
      <c r="L174" s="52">
        <v>383.75</v>
      </c>
      <c r="M174" s="52">
        <v>389.94</v>
      </c>
      <c r="N174" s="52">
        <v>396.13</v>
      </c>
      <c r="O174" s="52">
        <v>376.25</v>
      </c>
      <c r="P174" s="52">
        <v>382.44</v>
      </c>
      <c r="Q174" s="52">
        <v>388.62</v>
      </c>
      <c r="R174" s="52">
        <v>394.81</v>
      </c>
      <c r="S174" s="52">
        <v>283.75</v>
      </c>
      <c r="T174" s="52">
        <v>277.24</v>
      </c>
      <c r="U174" s="52">
        <v>271.05</v>
      </c>
      <c r="V174" s="52">
        <v>264.86</v>
      </c>
      <c r="W174" s="52">
        <v>258.68</v>
      </c>
      <c r="X174" s="485">
        <v>170</v>
      </c>
      <c r="Y174" s="489">
        <v>199.53</v>
      </c>
      <c r="Z174" s="489">
        <v>203.9</v>
      </c>
      <c r="AA174" s="489">
        <v>208.27</v>
      </c>
      <c r="AB174" s="489">
        <v>212.64</v>
      </c>
      <c r="AC174" s="489">
        <v>217.01</v>
      </c>
      <c r="AD174" s="299">
        <v>221.38</v>
      </c>
      <c r="AE174" s="299">
        <v>225.75</v>
      </c>
      <c r="AF174" s="299">
        <v>230.12</v>
      </c>
      <c r="AG174" s="300">
        <v>234.49</v>
      </c>
      <c r="AH174" s="301">
        <v>238.85</v>
      </c>
      <c r="AI174" s="301">
        <v>243.22</v>
      </c>
      <c r="AJ174" s="626">
        <v>247.59</v>
      </c>
      <c r="AK174" s="490">
        <v>251.96</v>
      </c>
      <c r="AL174" s="482">
        <v>256.33</v>
      </c>
      <c r="AM174" s="491">
        <v>260.7</v>
      </c>
      <c r="AN174" s="646">
        <v>265.07</v>
      </c>
      <c r="AO174" s="52">
        <v>269.44</v>
      </c>
      <c r="AP174" s="52">
        <v>273.81</v>
      </c>
      <c r="AQ174" s="52">
        <v>278.18</v>
      </c>
      <c r="AR174" s="52">
        <v>282.54000000000002</v>
      </c>
      <c r="AS174" s="52">
        <v>286.91000000000003</v>
      </c>
      <c r="AT174" s="52">
        <v>169.47</v>
      </c>
      <c r="AU174" s="52">
        <v>165.1</v>
      </c>
    </row>
    <row r="175" spans="1:47">
      <c r="A175" s="489">
        <v>317.57</v>
      </c>
      <c r="B175" s="300">
        <v>384.15</v>
      </c>
      <c r="C175" s="301">
        <v>390.37</v>
      </c>
      <c r="D175" s="301">
        <v>396.6</v>
      </c>
      <c r="E175" s="621">
        <v>402.82</v>
      </c>
      <c r="F175" s="490">
        <v>348.69</v>
      </c>
      <c r="G175" s="490">
        <v>354.92</v>
      </c>
      <c r="H175" s="491">
        <v>361.14</v>
      </c>
      <c r="I175" s="52">
        <v>367.36</v>
      </c>
      <c r="J175" s="52">
        <v>373.59</v>
      </c>
      <c r="K175" s="52">
        <v>379.81</v>
      </c>
      <c r="L175" s="52">
        <v>386.04</v>
      </c>
      <c r="M175" s="52">
        <v>392.26</v>
      </c>
      <c r="N175" s="52">
        <v>398.49</v>
      </c>
      <c r="O175" s="52">
        <v>378.48</v>
      </c>
      <c r="P175" s="52">
        <v>384.71</v>
      </c>
      <c r="Q175" s="52">
        <v>390.93</v>
      </c>
      <c r="R175" s="52">
        <v>397.16</v>
      </c>
      <c r="S175" s="52">
        <v>285.12</v>
      </c>
      <c r="T175" s="52">
        <v>278.89</v>
      </c>
      <c r="U175" s="52">
        <v>272.67</v>
      </c>
      <c r="V175" s="52">
        <v>266.44</v>
      </c>
      <c r="W175" s="52">
        <v>260.22000000000003</v>
      </c>
      <c r="X175" s="485">
        <v>171</v>
      </c>
      <c r="Y175" s="489">
        <v>200.72</v>
      </c>
      <c r="Z175" s="489">
        <v>250.11</v>
      </c>
      <c r="AA175" s="489">
        <v>209.51</v>
      </c>
      <c r="AB175" s="489">
        <v>213.9</v>
      </c>
      <c r="AC175" s="489">
        <v>218.3</v>
      </c>
      <c r="AD175" s="299">
        <v>222.69</v>
      </c>
      <c r="AE175" s="299">
        <v>227.09</v>
      </c>
      <c r="AF175" s="299">
        <v>231.48</v>
      </c>
      <c r="AG175" s="300">
        <v>235.88</v>
      </c>
      <c r="AH175" s="301">
        <v>240.27</v>
      </c>
      <c r="AI175" s="301">
        <v>244.67</v>
      </c>
      <c r="AJ175" s="626">
        <v>249.06</v>
      </c>
      <c r="AK175" s="490">
        <v>253.46</v>
      </c>
      <c r="AL175" s="482">
        <v>257.85000000000002</v>
      </c>
      <c r="AM175" s="491">
        <v>262.24</v>
      </c>
      <c r="AN175" s="646">
        <v>266.64</v>
      </c>
      <c r="AO175" s="52">
        <v>271.02999999999997</v>
      </c>
      <c r="AP175" s="52">
        <v>275.43</v>
      </c>
      <c r="AQ175" s="52">
        <v>279.82</v>
      </c>
      <c r="AR175" s="52">
        <v>284.22000000000003</v>
      </c>
      <c r="AS175" s="52">
        <v>288.61</v>
      </c>
      <c r="AT175" s="52">
        <v>170.47</v>
      </c>
      <c r="AU175" s="52">
        <v>166.08</v>
      </c>
    </row>
    <row r="176" spans="1:47">
      <c r="A176" s="489">
        <v>319.45999999999998</v>
      </c>
      <c r="B176" s="300">
        <v>386.44</v>
      </c>
      <c r="C176" s="301">
        <v>392.7</v>
      </c>
      <c r="D176" s="301">
        <v>398.96</v>
      </c>
      <c r="E176" s="621">
        <v>405.22</v>
      </c>
      <c r="F176" s="490">
        <v>350.76</v>
      </c>
      <c r="G176" s="490">
        <v>357.02</v>
      </c>
      <c r="H176" s="491">
        <v>363.28</v>
      </c>
      <c r="I176" s="52">
        <v>369.54</v>
      </c>
      <c r="J176" s="52">
        <v>375.8</v>
      </c>
      <c r="K176" s="52">
        <v>382.06</v>
      </c>
      <c r="L176" s="52">
        <v>388.32</v>
      </c>
      <c r="M176" s="52">
        <v>394.59</v>
      </c>
      <c r="N176" s="52">
        <v>400.85</v>
      </c>
      <c r="O176" s="52">
        <v>380.72</v>
      </c>
      <c r="P176" s="52">
        <v>386.98</v>
      </c>
      <c r="Q176" s="52">
        <v>393.24</v>
      </c>
      <c r="R176" s="52">
        <v>399.5</v>
      </c>
      <c r="S176" s="52">
        <v>286.81</v>
      </c>
      <c r="T176" s="52">
        <v>280.55</v>
      </c>
      <c r="U176" s="52">
        <v>274.27999999999997</v>
      </c>
      <c r="V176" s="52">
        <v>268.02</v>
      </c>
      <c r="W176" s="52">
        <v>261.76</v>
      </c>
      <c r="X176" s="485">
        <v>172</v>
      </c>
      <c r="Y176" s="489">
        <v>201.91</v>
      </c>
      <c r="Z176" s="489">
        <v>206.33</v>
      </c>
      <c r="AA176" s="489">
        <v>210.75</v>
      </c>
      <c r="AB176" s="489">
        <v>215.17</v>
      </c>
      <c r="AC176" s="489">
        <v>219.59</v>
      </c>
      <c r="AD176" s="299">
        <v>224.01</v>
      </c>
      <c r="AE176" s="299">
        <v>228.43</v>
      </c>
      <c r="AF176" s="299">
        <v>232.85</v>
      </c>
      <c r="AG176" s="300">
        <v>237.27</v>
      </c>
      <c r="AH176" s="301">
        <v>241.69</v>
      </c>
      <c r="AI176" s="301">
        <v>246.11</v>
      </c>
      <c r="AJ176" s="626">
        <v>250.53</v>
      </c>
      <c r="AK176" s="490">
        <v>254.95</v>
      </c>
      <c r="AL176" s="482">
        <v>259.37</v>
      </c>
      <c r="AM176" s="491">
        <v>263.79000000000002</v>
      </c>
      <c r="AN176" s="646">
        <v>268.20999999999998</v>
      </c>
      <c r="AO176" s="52">
        <v>272.63</v>
      </c>
      <c r="AP176" s="52">
        <v>277.05</v>
      </c>
      <c r="AQ176" s="52">
        <v>281.47000000000003</v>
      </c>
      <c r="AR176" s="52">
        <v>285.89</v>
      </c>
      <c r="AS176" s="52">
        <v>290.31</v>
      </c>
      <c r="AT176" s="52">
        <v>171.48</v>
      </c>
      <c r="AU176" s="52">
        <v>167.06</v>
      </c>
    </row>
    <row r="177" spans="1:47">
      <c r="A177" s="489">
        <v>321.35000000000002</v>
      </c>
      <c r="B177" s="300">
        <v>388.73</v>
      </c>
      <c r="C177" s="301">
        <v>395.03</v>
      </c>
      <c r="D177" s="301">
        <v>401.32</v>
      </c>
      <c r="E177" s="621">
        <v>407.62</v>
      </c>
      <c r="F177" s="490">
        <v>352.83</v>
      </c>
      <c r="G177" s="490">
        <v>359.13</v>
      </c>
      <c r="H177" s="491">
        <v>365.43</v>
      </c>
      <c r="I177" s="52">
        <v>371.73</v>
      </c>
      <c r="J177" s="52">
        <v>378.02</v>
      </c>
      <c r="K177" s="52">
        <v>384.32</v>
      </c>
      <c r="L177" s="52">
        <v>390.62</v>
      </c>
      <c r="M177" s="52">
        <v>396.91</v>
      </c>
      <c r="N177" s="52">
        <v>403.21</v>
      </c>
      <c r="O177" s="52">
        <v>382.96</v>
      </c>
      <c r="P177" s="52">
        <v>389.26</v>
      </c>
      <c r="Q177" s="52">
        <v>395.55</v>
      </c>
      <c r="R177" s="52">
        <v>401.85</v>
      </c>
      <c r="S177" s="52">
        <v>288.5</v>
      </c>
      <c r="T177" s="52">
        <v>282.2</v>
      </c>
      <c r="U177" s="52">
        <v>275.91000000000003</v>
      </c>
      <c r="V177" s="52">
        <v>269.61</v>
      </c>
      <c r="W177" s="52">
        <v>263.31</v>
      </c>
      <c r="X177" s="485">
        <v>173</v>
      </c>
      <c r="Y177" s="489">
        <v>202.96</v>
      </c>
      <c r="Z177" s="489">
        <v>207.41</v>
      </c>
      <c r="AA177" s="489">
        <v>211.85</v>
      </c>
      <c r="AB177" s="489">
        <v>216.3</v>
      </c>
      <c r="AC177" s="489">
        <v>220.74</v>
      </c>
      <c r="AD177" s="299">
        <v>225.19</v>
      </c>
      <c r="AE177" s="299">
        <v>229.64</v>
      </c>
      <c r="AF177" s="299">
        <v>234.08</v>
      </c>
      <c r="AG177" s="300">
        <v>238.53</v>
      </c>
      <c r="AH177" s="301">
        <v>242.98</v>
      </c>
      <c r="AI177" s="301">
        <v>247.42</v>
      </c>
      <c r="AJ177" s="626">
        <v>251.87</v>
      </c>
      <c r="AK177" s="490">
        <v>256.31</v>
      </c>
      <c r="AL177" s="482">
        <v>260.76</v>
      </c>
      <c r="AM177" s="491">
        <v>265.20999999999998</v>
      </c>
      <c r="AN177" s="646">
        <v>269.64999999999998</v>
      </c>
      <c r="AO177" s="52">
        <v>274.10000000000002</v>
      </c>
      <c r="AP177" s="52">
        <v>278.55</v>
      </c>
      <c r="AQ177" s="52">
        <v>282.99</v>
      </c>
      <c r="AR177" s="52">
        <v>287.44</v>
      </c>
      <c r="AS177" s="52">
        <v>291.88</v>
      </c>
      <c r="AT177" s="52">
        <v>172.4</v>
      </c>
      <c r="AU177" s="52">
        <v>167.96</v>
      </c>
    </row>
    <row r="178" spans="1:47">
      <c r="A178" s="489">
        <v>323.24</v>
      </c>
      <c r="B178" s="300">
        <v>391.03</v>
      </c>
      <c r="C178" s="301">
        <v>397.36</v>
      </c>
      <c r="D178" s="301">
        <v>403.69</v>
      </c>
      <c r="E178" s="621">
        <v>410.03</v>
      </c>
      <c r="F178" s="490">
        <v>354.91</v>
      </c>
      <c r="G178" s="490">
        <v>361.25</v>
      </c>
      <c r="H178" s="491">
        <v>367.58</v>
      </c>
      <c r="I178" s="52">
        <v>373.91</v>
      </c>
      <c r="J178" s="52">
        <v>380.25</v>
      </c>
      <c r="K178" s="52">
        <v>386.58</v>
      </c>
      <c r="L178" s="52">
        <v>392.91</v>
      </c>
      <c r="M178" s="52">
        <v>399.25</v>
      </c>
      <c r="N178" s="52">
        <v>405.58</v>
      </c>
      <c r="O178" s="52">
        <v>385.2</v>
      </c>
      <c r="P178" s="52">
        <v>391.54</v>
      </c>
      <c r="Q178" s="52">
        <v>397.87</v>
      </c>
      <c r="R178" s="52">
        <v>404.2</v>
      </c>
      <c r="S178" s="52">
        <v>290.2</v>
      </c>
      <c r="T178" s="52">
        <v>283.87</v>
      </c>
      <c r="U178" s="52">
        <v>277.52999999999997</v>
      </c>
      <c r="V178" s="52">
        <v>271.2</v>
      </c>
      <c r="W178" s="52">
        <v>264.86</v>
      </c>
      <c r="X178" s="485">
        <v>174</v>
      </c>
      <c r="Y178" s="489">
        <v>204.15</v>
      </c>
      <c r="Z178" s="489">
        <v>208.62</v>
      </c>
      <c r="AA178" s="489">
        <v>213.09</v>
      </c>
      <c r="AB178" s="489">
        <v>217.57</v>
      </c>
      <c r="AC178" s="489">
        <v>222.02</v>
      </c>
      <c r="AD178" s="299">
        <v>226.51</v>
      </c>
      <c r="AE178" s="299">
        <v>230.98</v>
      </c>
      <c r="AF178" s="299">
        <v>235.45</v>
      </c>
      <c r="AG178" s="300">
        <v>239.92</v>
      </c>
      <c r="AH178" s="301">
        <v>244.4</v>
      </c>
      <c r="AI178" s="301">
        <v>248.87</v>
      </c>
      <c r="AJ178" s="626">
        <v>253.34</v>
      </c>
      <c r="AK178" s="490">
        <v>257.81</v>
      </c>
      <c r="AL178" s="482">
        <v>262.27999999999997</v>
      </c>
      <c r="AM178" s="491">
        <v>266.76</v>
      </c>
      <c r="AN178" s="646">
        <v>271.23</v>
      </c>
      <c r="AO178" s="52">
        <v>275.7</v>
      </c>
      <c r="AP178" s="52">
        <v>280.17</v>
      </c>
      <c r="AQ178" s="52">
        <v>284.64</v>
      </c>
      <c r="AR178" s="52">
        <v>289.11</v>
      </c>
      <c r="AS178" s="52">
        <v>293.58999999999997</v>
      </c>
      <c r="AT178" s="52">
        <v>173.41</v>
      </c>
      <c r="AU178" s="52">
        <v>168.94</v>
      </c>
    </row>
    <row r="179" spans="1:47">
      <c r="A179" s="489">
        <v>325.14999999999998</v>
      </c>
      <c r="B179" s="300">
        <v>393.33</v>
      </c>
      <c r="C179" s="301">
        <v>399.7</v>
      </c>
      <c r="D179" s="301">
        <v>406.07</v>
      </c>
      <c r="E179" s="621">
        <v>412.44</v>
      </c>
      <c r="F179" s="490">
        <v>357</v>
      </c>
      <c r="G179" s="490">
        <v>363.37</v>
      </c>
      <c r="H179" s="491">
        <v>369.74</v>
      </c>
      <c r="I179" s="52">
        <v>376.11</v>
      </c>
      <c r="J179" s="52">
        <v>382.48</v>
      </c>
      <c r="K179" s="52">
        <v>388.85</v>
      </c>
      <c r="L179" s="52">
        <v>395.22</v>
      </c>
      <c r="M179" s="52">
        <v>401.59</v>
      </c>
      <c r="N179" s="52">
        <v>407.96</v>
      </c>
      <c r="O179" s="52">
        <v>387.45</v>
      </c>
      <c r="P179" s="52">
        <v>393.82</v>
      </c>
      <c r="Q179" s="52">
        <v>400.19</v>
      </c>
      <c r="R179" s="52">
        <v>406.56</v>
      </c>
      <c r="S179" s="52">
        <v>291.89999999999998</v>
      </c>
      <c r="T179" s="52">
        <v>285.52999999999997</v>
      </c>
      <c r="U179" s="52">
        <v>279.16000000000003</v>
      </c>
      <c r="V179" s="52">
        <v>272.79000000000002</v>
      </c>
      <c r="W179" s="52">
        <v>266.42</v>
      </c>
      <c r="X179" s="485">
        <v>175</v>
      </c>
      <c r="Y179" s="489">
        <v>205.34</v>
      </c>
      <c r="Z179" s="489">
        <v>209.84</v>
      </c>
      <c r="AA179" s="489">
        <v>214.34</v>
      </c>
      <c r="AB179" s="489">
        <v>218.83</v>
      </c>
      <c r="AC179" s="489">
        <v>223.33</v>
      </c>
      <c r="AD179" s="299">
        <v>227.83</v>
      </c>
      <c r="AE179" s="299">
        <v>232.33</v>
      </c>
      <c r="AF179" s="299">
        <v>236.82</v>
      </c>
      <c r="AG179" s="300">
        <v>241.32</v>
      </c>
      <c r="AH179" s="301">
        <v>245.82</v>
      </c>
      <c r="AI179" s="301">
        <v>250.32</v>
      </c>
      <c r="AJ179" s="626">
        <v>254.81</v>
      </c>
      <c r="AK179" s="490">
        <v>259.31</v>
      </c>
      <c r="AL179" s="482">
        <v>263.81</v>
      </c>
      <c r="AM179" s="491">
        <v>268.31</v>
      </c>
      <c r="AN179" s="646">
        <v>272.8</v>
      </c>
      <c r="AO179" s="52">
        <v>277.3</v>
      </c>
      <c r="AP179" s="52">
        <v>281.8</v>
      </c>
      <c r="AQ179" s="52">
        <v>286.3</v>
      </c>
      <c r="AR179" s="52">
        <v>290.79000000000002</v>
      </c>
      <c r="AS179" s="52">
        <v>295.29000000000002</v>
      </c>
      <c r="AT179" s="52">
        <v>174.42</v>
      </c>
      <c r="AU179" s="52">
        <v>169.92</v>
      </c>
    </row>
    <row r="180" spans="1:47">
      <c r="A180" s="489">
        <v>327.05</v>
      </c>
      <c r="B180" s="300">
        <v>395.65</v>
      </c>
      <c r="C180" s="301">
        <v>402.05</v>
      </c>
      <c r="D180" s="301">
        <v>408.46</v>
      </c>
      <c r="E180" s="621">
        <v>414.86</v>
      </c>
      <c r="F180" s="490">
        <v>359.08</v>
      </c>
      <c r="G180" s="490">
        <v>365.49</v>
      </c>
      <c r="H180" s="491">
        <v>371.9</v>
      </c>
      <c r="I180" s="52">
        <v>378.3</v>
      </c>
      <c r="J180" s="52">
        <v>384.71</v>
      </c>
      <c r="K180" s="52">
        <v>391.12</v>
      </c>
      <c r="L180" s="52">
        <v>397.52</v>
      </c>
      <c r="M180" s="52">
        <v>403.93</v>
      </c>
      <c r="N180" s="52">
        <v>410.34</v>
      </c>
      <c r="O180" s="52">
        <v>389.7</v>
      </c>
      <c r="P180" s="52">
        <v>396.11</v>
      </c>
      <c r="Q180" s="52">
        <v>402.52</v>
      </c>
      <c r="R180" s="52">
        <v>408.92</v>
      </c>
      <c r="S180" s="52">
        <v>293.61</v>
      </c>
      <c r="T180" s="52">
        <v>287.2</v>
      </c>
      <c r="U180" s="52">
        <v>280.79000000000002</v>
      </c>
      <c r="V180" s="52">
        <v>274.39</v>
      </c>
      <c r="W180" s="52">
        <v>267.98</v>
      </c>
      <c r="X180" s="485">
        <v>176</v>
      </c>
      <c r="Y180" s="489">
        <v>206.53</v>
      </c>
      <c r="Z180" s="489">
        <v>211.06</v>
      </c>
      <c r="AA180" s="489">
        <v>215.58</v>
      </c>
      <c r="AB180" s="489">
        <v>220.1</v>
      </c>
      <c r="AC180" s="489">
        <v>224.63</v>
      </c>
      <c r="AD180" s="299">
        <v>229.15</v>
      </c>
      <c r="AE180" s="299">
        <v>233.67</v>
      </c>
      <c r="AF180" s="299">
        <v>238.19</v>
      </c>
      <c r="AG180" s="300">
        <v>242.72</v>
      </c>
      <c r="AH180" s="301">
        <v>247.24</v>
      </c>
      <c r="AI180" s="301">
        <v>251.76</v>
      </c>
      <c r="AJ180" s="626">
        <v>256.29000000000002</v>
      </c>
      <c r="AK180" s="490">
        <v>260.81</v>
      </c>
      <c r="AL180" s="482">
        <v>265.33</v>
      </c>
      <c r="AM180" s="491">
        <v>269.86</v>
      </c>
      <c r="AN180" s="646">
        <v>274.38</v>
      </c>
      <c r="AO180" s="52" t="s">
        <v>344</v>
      </c>
      <c r="AP180" s="52">
        <v>283.43</v>
      </c>
      <c r="AQ180" s="52">
        <v>287.95</v>
      </c>
      <c r="AR180" s="52">
        <v>292.47000000000003</v>
      </c>
      <c r="AS180" s="52">
        <v>297</v>
      </c>
      <c r="AT180" s="52">
        <v>175.42</v>
      </c>
      <c r="AU180" s="52">
        <v>170.9</v>
      </c>
    </row>
    <row r="181" spans="1:47">
      <c r="A181" s="489">
        <v>328.96</v>
      </c>
      <c r="B181" s="300">
        <v>397.96</v>
      </c>
      <c r="C181" s="301">
        <v>404.41</v>
      </c>
      <c r="D181" s="301">
        <v>410.85</v>
      </c>
      <c r="E181" s="621">
        <v>417.29</v>
      </c>
      <c r="F181" s="490">
        <v>361.18</v>
      </c>
      <c r="G181" s="490">
        <v>367.62</v>
      </c>
      <c r="H181" s="491">
        <v>374.06</v>
      </c>
      <c r="I181" s="52">
        <v>380.51</v>
      </c>
      <c r="J181" s="52">
        <v>386.95</v>
      </c>
      <c r="K181" s="52">
        <v>393.39</v>
      </c>
      <c r="L181" s="52">
        <v>399.83</v>
      </c>
      <c r="M181" s="52">
        <v>406.28</v>
      </c>
      <c r="N181" s="52">
        <v>412.72</v>
      </c>
      <c r="O181" s="52">
        <v>391.96</v>
      </c>
      <c r="P181" s="52">
        <v>398.4</v>
      </c>
      <c r="Q181" s="52">
        <v>404.84</v>
      </c>
      <c r="R181" s="52">
        <v>411.29</v>
      </c>
      <c r="S181" s="52">
        <v>295.32</v>
      </c>
      <c r="T181" s="52">
        <v>288.87</v>
      </c>
      <c r="U181" s="52">
        <v>282.43</v>
      </c>
      <c r="V181" s="52">
        <v>275.99</v>
      </c>
      <c r="W181" s="52">
        <v>269.54000000000002</v>
      </c>
      <c r="X181" s="485">
        <v>177</v>
      </c>
      <c r="Y181" s="489">
        <v>207.73</v>
      </c>
      <c r="Z181" s="489">
        <v>212.28</v>
      </c>
      <c r="AA181" s="489">
        <v>216.82</v>
      </c>
      <c r="AB181" s="489">
        <v>221.37</v>
      </c>
      <c r="AC181" s="489">
        <v>225.92</v>
      </c>
      <c r="AD181" s="299">
        <v>230.47</v>
      </c>
      <c r="AE181" s="299">
        <v>235.02</v>
      </c>
      <c r="AF181" s="299">
        <v>239.57</v>
      </c>
      <c r="AG181" s="300">
        <v>244.12</v>
      </c>
      <c r="AH181" s="301">
        <v>248.67</v>
      </c>
      <c r="AI181" s="301">
        <v>253.22</v>
      </c>
      <c r="AJ181" s="626">
        <v>257.76</v>
      </c>
      <c r="AK181" s="490">
        <v>262.31</v>
      </c>
      <c r="AL181" s="482">
        <v>266.86</v>
      </c>
      <c r="AM181" s="491">
        <v>271.41000000000003</v>
      </c>
      <c r="AN181" s="646">
        <v>275.95999999999998</v>
      </c>
      <c r="AO181" s="52">
        <v>280.51</v>
      </c>
      <c r="AP181" s="52">
        <v>285.06</v>
      </c>
      <c r="AQ181" s="52">
        <v>289.61</v>
      </c>
      <c r="AR181" s="52">
        <v>294.16000000000003</v>
      </c>
      <c r="AS181" s="52">
        <v>298.7</v>
      </c>
      <c r="AT181" s="52">
        <v>176.43</v>
      </c>
      <c r="AU181" s="52">
        <v>171.89</v>
      </c>
    </row>
    <row r="182" spans="1:47">
      <c r="A182" s="489">
        <v>330.48</v>
      </c>
      <c r="B182" s="300">
        <v>399.76</v>
      </c>
      <c r="C182" s="301">
        <v>406.24</v>
      </c>
      <c r="D182" s="301">
        <v>412.72</v>
      </c>
      <c r="E182" s="621">
        <v>419.2</v>
      </c>
      <c r="F182" s="490">
        <v>362.88</v>
      </c>
      <c r="G182" s="490">
        <v>369.36</v>
      </c>
      <c r="H182" s="491">
        <v>375.84</v>
      </c>
      <c r="I182" s="52">
        <v>382.32</v>
      </c>
      <c r="J182" s="52">
        <v>388.8</v>
      </c>
      <c r="K182" s="52">
        <v>395.28</v>
      </c>
      <c r="L182" s="52">
        <v>401.76</v>
      </c>
      <c r="M182" s="52">
        <v>408.24</v>
      </c>
      <c r="N182" s="52">
        <v>414.71</v>
      </c>
      <c r="O182" s="52">
        <v>393.91</v>
      </c>
      <c r="P182" s="52">
        <v>400.39</v>
      </c>
      <c r="Q182" s="52">
        <v>406.87</v>
      </c>
      <c r="R182" s="52">
        <v>413.35</v>
      </c>
      <c r="S182" s="52">
        <v>296.72000000000003</v>
      </c>
      <c r="T182" s="52">
        <v>290.24</v>
      </c>
      <c r="U182" s="52">
        <v>283.76</v>
      </c>
      <c r="V182" s="52">
        <v>277.27999999999997</v>
      </c>
      <c r="W182" s="52">
        <v>270.81</v>
      </c>
      <c r="X182" s="485">
        <v>178</v>
      </c>
      <c r="Y182" s="489">
        <v>208.92</v>
      </c>
      <c r="Z182" s="489">
        <v>213.5</v>
      </c>
      <c r="AA182" s="489">
        <v>218.07</v>
      </c>
      <c r="AB182" s="489">
        <v>222.65</v>
      </c>
      <c r="AC182" s="489">
        <v>227.22</v>
      </c>
      <c r="AD182" s="299">
        <v>231.79</v>
      </c>
      <c r="AE182" s="299">
        <v>236.37</v>
      </c>
      <c r="AF182" s="299">
        <v>240.94</v>
      </c>
      <c r="AG182" s="300">
        <v>245.52</v>
      </c>
      <c r="AH182" s="301">
        <v>250.09</v>
      </c>
      <c r="AI182" s="301">
        <v>254.67</v>
      </c>
      <c r="AJ182" s="626">
        <v>259.24</v>
      </c>
      <c r="AK182" s="490">
        <v>263.82</v>
      </c>
      <c r="AL182" s="482">
        <v>268.39</v>
      </c>
      <c r="AM182" s="491">
        <v>272.97000000000003</v>
      </c>
      <c r="AN182" s="646">
        <v>277.54000000000002</v>
      </c>
      <c r="AO182" s="52">
        <v>282.12</v>
      </c>
      <c r="AP182" s="52">
        <v>286.69</v>
      </c>
      <c r="AQ182" s="52">
        <v>291.26</v>
      </c>
      <c r="AR182" s="52">
        <v>295.83999999999997</v>
      </c>
      <c r="AS182" s="52">
        <v>300.41000000000003</v>
      </c>
      <c r="AT182" s="52">
        <v>177.44</v>
      </c>
      <c r="AU182" s="52">
        <v>172.87</v>
      </c>
    </row>
    <row r="183" spans="1:47">
      <c r="A183" s="489">
        <v>332.4</v>
      </c>
      <c r="B183" s="300">
        <v>402.09</v>
      </c>
      <c r="C183" s="301">
        <v>408.6</v>
      </c>
      <c r="D183" s="301">
        <v>415.12</v>
      </c>
      <c r="E183" s="621">
        <v>421.64</v>
      </c>
      <c r="F183" s="490">
        <v>364.98</v>
      </c>
      <c r="G183" s="490">
        <v>371.49</v>
      </c>
      <c r="H183" s="491">
        <v>378.01</v>
      </c>
      <c r="I183" s="52">
        <v>384.53</v>
      </c>
      <c r="J183" s="52">
        <v>391.04</v>
      </c>
      <c r="K183" s="52">
        <v>397.56</v>
      </c>
      <c r="L183" s="52">
        <v>404.07</v>
      </c>
      <c r="M183" s="52">
        <v>410.59</v>
      </c>
      <c r="N183" s="52">
        <v>417.1</v>
      </c>
      <c r="O183" s="52">
        <v>396.17</v>
      </c>
      <c r="P183" s="52">
        <v>402.69</v>
      </c>
      <c r="Q183" s="52">
        <v>409.2</v>
      </c>
      <c r="R183" s="52">
        <v>415.72</v>
      </c>
      <c r="S183" s="52">
        <v>298.44</v>
      </c>
      <c r="T183" s="52">
        <v>291.92</v>
      </c>
      <c r="U183" s="52">
        <v>285.39999999999998</v>
      </c>
      <c r="V183" s="52">
        <v>278.89</v>
      </c>
      <c r="W183" s="52">
        <v>272.37</v>
      </c>
      <c r="X183" s="485">
        <v>179</v>
      </c>
      <c r="Y183" s="489">
        <v>209.98</v>
      </c>
      <c r="Z183" s="489">
        <v>214.58</v>
      </c>
      <c r="AA183" s="489">
        <v>219.18</v>
      </c>
      <c r="AB183" s="489">
        <v>223.78</v>
      </c>
      <c r="AC183" s="489">
        <v>228.38</v>
      </c>
      <c r="AD183" s="299">
        <v>232.98</v>
      </c>
      <c r="AE183" s="299">
        <v>237.58</v>
      </c>
      <c r="AF183" s="299">
        <v>242.18</v>
      </c>
      <c r="AG183" s="300">
        <v>246.78</v>
      </c>
      <c r="AH183" s="301">
        <v>251.38</v>
      </c>
      <c r="AI183" s="301">
        <v>255.98</v>
      </c>
      <c r="AJ183" s="626">
        <v>260.58</v>
      </c>
      <c r="AK183" s="490">
        <v>265.18</v>
      </c>
      <c r="AL183" s="482">
        <v>269.77999999999997</v>
      </c>
      <c r="AM183" s="491">
        <v>274.38</v>
      </c>
      <c r="AN183" s="646">
        <v>278.98</v>
      </c>
      <c r="AO183" s="52">
        <v>283.58</v>
      </c>
      <c r="AP183" s="52">
        <v>288.18</v>
      </c>
      <c r="AQ183" s="52">
        <v>292.77999999999997</v>
      </c>
      <c r="AR183" s="52">
        <v>297.38</v>
      </c>
      <c r="AS183" s="52">
        <v>301.98</v>
      </c>
      <c r="AT183" s="52">
        <v>178.37</v>
      </c>
      <c r="AU183" s="52">
        <v>173.77</v>
      </c>
    </row>
    <row r="184" spans="1:47">
      <c r="A184" s="489">
        <v>334.32</v>
      </c>
      <c r="B184" s="300">
        <v>404.42</v>
      </c>
      <c r="C184" s="301">
        <v>410.97</v>
      </c>
      <c r="D184" s="301">
        <v>417.53</v>
      </c>
      <c r="E184" s="621">
        <v>424.08</v>
      </c>
      <c r="F184" s="490">
        <v>367.08</v>
      </c>
      <c r="G184" s="490">
        <v>373.64</v>
      </c>
      <c r="H184" s="491">
        <v>380.19</v>
      </c>
      <c r="I184" s="52">
        <v>386.74</v>
      </c>
      <c r="J184" s="52">
        <v>393.29</v>
      </c>
      <c r="K184" s="52">
        <v>399.84</v>
      </c>
      <c r="L184" s="52">
        <v>406.4</v>
      </c>
      <c r="M184" s="52">
        <v>412.95</v>
      </c>
      <c r="N184" s="52">
        <v>419.5</v>
      </c>
      <c r="O184" s="52">
        <v>398.43</v>
      </c>
      <c r="P184" s="52">
        <v>404.99</v>
      </c>
      <c r="Q184" s="52">
        <v>411.54</v>
      </c>
      <c r="R184" s="52">
        <v>418.09</v>
      </c>
      <c r="S184" s="52">
        <v>300.14999999999998</v>
      </c>
      <c r="T184" s="52">
        <v>293.60000000000002</v>
      </c>
      <c r="U184" s="52">
        <v>287.05</v>
      </c>
      <c r="V184" s="52">
        <v>280.5</v>
      </c>
      <c r="W184" s="52">
        <v>273.95</v>
      </c>
      <c r="X184" s="485">
        <v>180</v>
      </c>
      <c r="Y184" s="489">
        <v>211.18</v>
      </c>
      <c r="Z184" s="489">
        <v>215.8</v>
      </c>
      <c r="AA184" s="489">
        <v>220.43</v>
      </c>
      <c r="AB184" s="489">
        <v>225.05</v>
      </c>
      <c r="AC184" s="489">
        <v>229.68</v>
      </c>
      <c r="AD184" s="299">
        <v>234.31</v>
      </c>
      <c r="AE184" s="299">
        <v>238.93</v>
      </c>
      <c r="AF184" s="299">
        <v>243.56</v>
      </c>
      <c r="AG184" s="300">
        <v>248.18</v>
      </c>
      <c r="AH184" s="301">
        <v>252.81</v>
      </c>
      <c r="AI184" s="301">
        <v>257.44</v>
      </c>
      <c r="AJ184" s="626">
        <v>262.06</v>
      </c>
      <c r="AK184" s="490">
        <v>266.69</v>
      </c>
      <c r="AL184" s="482">
        <v>271.31</v>
      </c>
      <c r="AM184" s="491">
        <v>275.94</v>
      </c>
      <c r="AN184" s="646">
        <v>280.57</v>
      </c>
      <c r="AO184" s="52">
        <v>285.19</v>
      </c>
      <c r="AP184" s="52">
        <v>289.82</v>
      </c>
      <c r="AQ184" s="52">
        <v>294.44</v>
      </c>
      <c r="AR184" s="52">
        <v>299.07</v>
      </c>
      <c r="AS184" s="52">
        <v>303.7</v>
      </c>
      <c r="AT184" s="52">
        <v>179.38</v>
      </c>
      <c r="AU184" s="52">
        <v>174.75</v>
      </c>
    </row>
    <row r="185" spans="1:47">
      <c r="A185" s="489">
        <v>336.25</v>
      </c>
      <c r="B185" s="300">
        <v>406.76</v>
      </c>
      <c r="C185" s="301">
        <v>413.35</v>
      </c>
      <c r="D185" s="301">
        <v>419.94</v>
      </c>
      <c r="E185" s="621">
        <v>426.53</v>
      </c>
      <c r="F185" s="490">
        <v>369.19</v>
      </c>
      <c r="G185" s="490">
        <v>375.78</v>
      </c>
      <c r="H185" s="491">
        <v>382.37</v>
      </c>
      <c r="I185" s="52">
        <v>388.96</v>
      </c>
      <c r="J185" s="52">
        <v>395.55</v>
      </c>
      <c r="K185" s="52">
        <v>402.13</v>
      </c>
      <c r="L185" s="52">
        <v>408.72</v>
      </c>
      <c r="M185" s="52">
        <v>415.31</v>
      </c>
      <c r="N185" s="52">
        <v>421.9</v>
      </c>
      <c r="O185" s="52">
        <v>400.7</v>
      </c>
      <c r="P185" s="52">
        <v>407.29</v>
      </c>
      <c r="Q185" s="52">
        <v>413.88</v>
      </c>
      <c r="R185" s="52">
        <v>420.47</v>
      </c>
      <c r="S185" s="52">
        <v>301.88</v>
      </c>
      <c r="T185" s="52">
        <v>295.29000000000002</v>
      </c>
      <c r="U185" s="52">
        <v>288.7</v>
      </c>
      <c r="V185" s="52">
        <v>282.11</v>
      </c>
      <c r="W185" s="52">
        <v>275.52</v>
      </c>
      <c r="X185" s="485">
        <v>181</v>
      </c>
      <c r="Y185" s="489">
        <v>212.38</v>
      </c>
      <c r="Z185" s="489">
        <v>217.03</v>
      </c>
      <c r="AA185" s="489">
        <v>221.68</v>
      </c>
      <c r="AB185" s="489">
        <v>226.33</v>
      </c>
      <c r="AC185" s="489">
        <v>230.98</v>
      </c>
      <c r="AD185" s="299">
        <v>235.63</v>
      </c>
      <c r="AE185" s="299">
        <v>240.29</v>
      </c>
      <c r="AF185" s="299">
        <v>244.94</v>
      </c>
      <c r="AG185" s="300">
        <v>249.59</v>
      </c>
      <c r="AH185" s="301">
        <v>254.24</v>
      </c>
      <c r="AI185" s="301">
        <v>258.89</v>
      </c>
      <c r="AJ185" s="626">
        <v>263.54000000000002</v>
      </c>
      <c r="AK185" s="490">
        <v>268.2</v>
      </c>
      <c r="AL185" s="482">
        <v>272.85000000000002</v>
      </c>
      <c r="AM185" s="491">
        <v>277.5</v>
      </c>
      <c r="AN185" s="646">
        <v>282.14999999999998</v>
      </c>
      <c r="AO185" s="52">
        <v>286.8</v>
      </c>
      <c r="AP185" s="52">
        <v>291.45</v>
      </c>
      <c r="AQ185" s="52">
        <v>296.11</v>
      </c>
      <c r="AR185" s="52">
        <v>300.76</v>
      </c>
      <c r="AS185" s="52">
        <v>305.41000000000003</v>
      </c>
      <c r="AT185" s="52">
        <v>180.39</v>
      </c>
      <c r="AU185" s="52">
        <v>175.74</v>
      </c>
    </row>
    <row r="186" spans="1:47">
      <c r="A186" s="489">
        <v>338.18</v>
      </c>
      <c r="B186" s="300">
        <v>409.11</v>
      </c>
      <c r="C186" s="301">
        <v>415.73</v>
      </c>
      <c r="D186" s="301">
        <v>422.36</v>
      </c>
      <c r="E186" s="621">
        <v>428.98</v>
      </c>
      <c r="F186" s="490">
        <v>371.31</v>
      </c>
      <c r="G186" s="490">
        <v>377.93</v>
      </c>
      <c r="H186" s="491">
        <v>384.56</v>
      </c>
      <c r="I186" s="52">
        <v>391.18</v>
      </c>
      <c r="J186" s="52">
        <v>397.81</v>
      </c>
      <c r="K186" s="52">
        <v>404.43</v>
      </c>
      <c r="L186" s="52">
        <v>411.06</v>
      </c>
      <c r="M186" s="52">
        <v>417.68</v>
      </c>
      <c r="N186" s="52">
        <v>424.31</v>
      </c>
      <c r="O186" s="52">
        <v>402.97</v>
      </c>
      <c r="P186" s="52">
        <v>409.5</v>
      </c>
      <c r="Q186" s="52">
        <v>416.22</v>
      </c>
      <c r="R186" s="52">
        <v>422.85</v>
      </c>
      <c r="S186" s="52">
        <v>303.60000000000002</v>
      </c>
      <c r="T186" s="52">
        <v>296.98</v>
      </c>
      <c r="U186" s="52">
        <v>290.35000000000002</v>
      </c>
      <c r="V186" s="52">
        <v>283.73</v>
      </c>
      <c r="W186" s="52">
        <v>277.10000000000002</v>
      </c>
      <c r="X186" s="485">
        <v>182</v>
      </c>
      <c r="Y186" s="489">
        <v>213.58</v>
      </c>
      <c r="Z186" s="489">
        <v>218.25</v>
      </c>
      <c r="AA186" s="489">
        <v>222.923</v>
      </c>
      <c r="AB186" s="489">
        <v>227.64099999999999</v>
      </c>
      <c r="AC186" s="489">
        <v>232.29</v>
      </c>
      <c r="AD186" s="299">
        <v>236.96</v>
      </c>
      <c r="AE186" s="299">
        <v>241.64</v>
      </c>
      <c r="AF186" s="299">
        <v>246.32</v>
      </c>
      <c r="AG186" s="300">
        <v>251</v>
      </c>
      <c r="AH186" s="301">
        <v>255.67</v>
      </c>
      <c r="AI186" s="301">
        <v>260.35000000000002</v>
      </c>
      <c r="AJ186" s="626">
        <v>265.02999999999997</v>
      </c>
      <c r="AK186" s="490">
        <v>269.70999999999998</v>
      </c>
      <c r="AL186" s="482">
        <v>274.38</v>
      </c>
      <c r="AM186" s="491">
        <v>279.06</v>
      </c>
      <c r="AN186" s="646">
        <v>283.74</v>
      </c>
      <c r="AO186" s="52">
        <v>288.41000000000003</v>
      </c>
      <c r="AP186" s="52">
        <v>293.08999999999997</v>
      </c>
      <c r="AQ186" s="52">
        <v>297.77</v>
      </c>
      <c r="AR186" s="52">
        <v>302.45</v>
      </c>
      <c r="AS186" s="52">
        <v>307.12</v>
      </c>
      <c r="AT186" s="52">
        <v>181.41</v>
      </c>
      <c r="AU186" s="52">
        <v>176.73</v>
      </c>
    </row>
    <row r="187" spans="1:47">
      <c r="A187" s="489">
        <v>340.12</v>
      </c>
      <c r="B187" s="300">
        <v>411.46</v>
      </c>
      <c r="C187" s="301">
        <v>418.13</v>
      </c>
      <c r="D187" s="301">
        <v>424.79</v>
      </c>
      <c r="E187" s="621">
        <v>431.45</v>
      </c>
      <c r="F187" s="490">
        <v>373.43</v>
      </c>
      <c r="G187" s="490">
        <v>380.09</v>
      </c>
      <c r="H187" s="491">
        <v>386.75</v>
      </c>
      <c r="I187" s="52">
        <v>393.41</v>
      </c>
      <c r="J187" s="52">
        <v>400.07</v>
      </c>
      <c r="K187" s="52">
        <v>406.73</v>
      </c>
      <c r="L187" s="52">
        <v>413.4</v>
      </c>
      <c r="M187" s="52">
        <v>420.06</v>
      </c>
      <c r="N187" s="52">
        <v>426.72</v>
      </c>
      <c r="O187" s="52">
        <v>405.25</v>
      </c>
      <c r="P187" s="52">
        <v>411.91</v>
      </c>
      <c r="Q187" s="52">
        <v>418.57</v>
      </c>
      <c r="R187" s="52">
        <v>425.23</v>
      </c>
      <c r="S187" s="52">
        <v>305.33</v>
      </c>
      <c r="T187" s="52">
        <v>298.67</v>
      </c>
      <c r="U187" s="52">
        <v>292.01</v>
      </c>
      <c r="V187" s="52">
        <v>285.35000000000002</v>
      </c>
      <c r="W187" s="52">
        <v>278.69</v>
      </c>
      <c r="X187" s="485">
        <v>183</v>
      </c>
      <c r="Y187" s="489">
        <v>214.78</v>
      </c>
      <c r="Z187" s="489">
        <v>219.48</v>
      </c>
      <c r="AA187" s="489">
        <v>224.19</v>
      </c>
      <c r="AB187" s="489">
        <v>228.89</v>
      </c>
      <c r="AC187" s="489">
        <v>233.59</v>
      </c>
      <c r="AD187" s="299">
        <v>238.3</v>
      </c>
      <c r="AE187" s="299">
        <v>243</v>
      </c>
      <c r="AF187" s="299">
        <v>247.7</v>
      </c>
      <c r="AG187" s="300">
        <v>252.4</v>
      </c>
      <c r="AH187" s="301">
        <v>257.11</v>
      </c>
      <c r="AI187" s="301">
        <v>261.81</v>
      </c>
      <c r="AJ187" s="626">
        <v>266.51</v>
      </c>
      <c r="AK187" s="490">
        <v>271.22000000000003</v>
      </c>
      <c r="AL187" s="482">
        <v>275.92</v>
      </c>
      <c r="AM187" s="491">
        <v>280.62</v>
      </c>
      <c r="AN187" s="646">
        <v>285.33</v>
      </c>
      <c r="AO187" s="52">
        <v>290.02999999999997</v>
      </c>
      <c r="AP187" s="52">
        <v>294.73</v>
      </c>
      <c r="AQ187" s="52">
        <v>299.44</v>
      </c>
      <c r="AR187" s="52">
        <v>304.14</v>
      </c>
      <c r="AS187" s="52">
        <v>308.83999999999997</v>
      </c>
      <c r="AT187" s="52">
        <v>182.42</v>
      </c>
      <c r="AU187" s="52">
        <v>177.72</v>
      </c>
    </row>
    <row r="188" spans="1:47">
      <c r="A188" s="489">
        <v>341.64</v>
      </c>
      <c r="B188" s="300">
        <v>413.26</v>
      </c>
      <c r="C188" s="301">
        <v>419.96</v>
      </c>
      <c r="D188" s="301">
        <v>426.66</v>
      </c>
      <c r="E188" s="621">
        <v>433.36</v>
      </c>
      <c r="F188" s="490">
        <v>375.13</v>
      </c>
      <c r="G188" s="490">
        <v>381.83</v>
      </c>
      <c r="H188" s="491">
        <v>388.53</v>
      </c>
      <c r="I188" s="52">
        <v>395.22</v>
      </c>
      <c r="J188" s="52">
        <v>401.92</v>
      </c>
      <c r="K188" s="52">
        <v>408.62</v>
      </c>
      <c r="L188" s="52">
        <v>415.32</v>
      </c>
      <c r="M188" s="52">
        <v>422.01</v>
      </c>
      <c r="N188" s="52">
        <v>428.71</v>
      </c>
      <c r="O188" s="52">
        <v>407.2</v>
      </c>
      <c r="P188" s="52">
        <v>413.9</v>
      </c>
      <c r="Q188" s="52">
        <v>420.6</v>
      </c>
      <c r="R188" s="52">
        <v>427.29</v>
      </c>
      <c r="S188" s="52">
        <v>306.74</v>
      </c>
      <c r="T188" s="52">
        <v>300.04000000000002</v>
      </c>
      <c r="U188" s="52">
        <v>293.33999999999997</v>
      </c>
      <c r="V188" s="52">
        <v>286.64999999999998</v>
      </c>
      <c r="W188" s="52">
        <v>279.95</v>
      </c>
      <c r="X188" s="485">
        <v>184</v>
      </c>
      <c r="Y188" s="489">
        <v>215.84</v>
      </c>
      <c r="Z188" s="489">
        <v>220.56</v>
      </c>
      <c r="AA188" s="489">
        <v>225.29</v>
      </c>
      <c r="AB188" s="489">
        <v>230.02</v>
      </c>
      <c r="AC188" s="489">
        <v>234.75</v>
      </c>
      <c r="AD188" s="299">
        <v>239.48</v>
      </c>
      <c r="AE188" s="299">
        <v>244.21</v>
      </c>
      <c r="AF188" s="299">
        <v>248.94</v>
      </c>
      <c r="AG188" s="300">
        <v>253.67</v>
      </c>
      <c r="AH188" s="301">
        <v>258.39999999999998</v>
      </c>
      <c r="AI188" s="301">
        <v>263.12</v>
      </c>
      <c r="AJ188" s="626">
        <v>267.85000000000002</v>
      </c>
      <c r="AK188" s="490">
        <v>272.58</v>
      </c>
      <c r="AL188" s="482">
        <v>277.31</v>
      </c>
      <c r="AM188" s="491">
        <v>282.04000000000002</v>
      </c>
      <c r="AN188" s="646">
        <v>286.77</v>
      </c>
      <c r="AO188" s="52">
        <v>291.5</v>
      </c>
      <c r="AP188" s="52">
        <v>296.23</v>
      </c>
      <c r="AQ188" s="52">
        <v>300.95</v>
      </c>
      <c r="AR188" s="52">
        <v>305.68</v>
      </c>
      <c r="AS188" s="52">
        <v>310.41000000000003</v>
      </c>
      <c r="AT188" s="52">
        <v>183.35</v>
      </c>
      <c r="AU188" s="52">
        <v>178.62</v>
      </c>
    </row>
    <row r="189" spans="1:47">
      <c r="A189" s="489">
        <v>343.59</v>
      </c>
      <c r="B189" s="300">
        <v>415.62</v>
      </c>
      <c r="C189" s="301">
        <v>422.36</v>
      </c>
      <c r="D189" s="301">
        <v>429.09</v>
      </c>
      <c r="E189" s="621">
        <v>435.83</v>
      </c>
      <c r="F189" s="490">
        <v>377.26</v>
      </c>
      <c r="G189" s="490">
        <v>383.99</v>
      </c>
      <c r="H189" s="491">
        <v>390.73</v>
      </c>
      <c r="I189" s="52">
        <v>397.46</v>
      </c>
      <c r="J189" s="52">
        <v>404.19</v>
      </c>
      <c r="K189" s="52">
        <v>410.93</v>
      </c>
      <c r="L189" s="52">
        <v>417.66</v>
      </c>
      <c r="M189" s="52">
        <v>424.4</v>
      </c>
      <c r="N189" s="52">
        <v>431.13</v>
      </c>
      <c r="O189" s="52">
        <v>409.48</v>
      </c>
      <c r="P189" s="52">
        <v>416.22</v>
      </c>
      <c r="Q189" s="52">
        <v>422.95</v>
      </c>
      <c r="R189" s="52">
        <v>429.69</v>
      </c>
      <c r="S189" s="52">
        <v>308.47000000000003</v>
      </c>
      <c r="T189" s="52">
        <v>301.74</v>
      </c>
      <c r="U189" s="52">
        <v>295.01</v>
      </c>
      <c r="V189" s="52">
        <v>288.27</v>
      </c>
      <c r="W189" s="52">
        <v>281.54000000000002</v>
      </c>
      <c r="X189" s="485">
        <v>185</v>
      </c>
      <c r="Y189" s="489">
        <v>217.04</v>
      </c>
      <c r="Z189" s="489">
        <v>221.8</v>
      </c>
      <c r="AA189" s="489">
        <v>226.55</v>
      </c>
      <c r="AB189" s="489">
        <v>231.31</v>
      </c>
      <c r="AC189" s="489">
        <v>236.03</v>
      </c>
      <c r="AD189" s="299">
        <v>240.81</v>
      </c>
      <c r="AE189" s="299">
        <v>245.57</v>
      </c>
      <c r="AF189" s="299">
        <v>250.32</v>
      </c>
      <c r="AG189" s="300">
        <v>255.08</v>
      </c>
      <c r="AH189" s="301">
        <v>259.83</v>
      </c>
      <c r="AI189" s="301">
        <v>264.58999999999997</v>
      </c>
      <c r="AJ189" s="626">
        <v>269.33999999999997</v>
      </c>
      <c r="AK189" s="490">
        <v>274.10000000000002</v>
      </c>
      <c r="AL189" s="482">
        <v>278.85000000000002</v>
      </c>
      <c r="AM189" s="491">
        <v>283.60000000000002</v>
      </c>
      <c r="AN189" s="646">
        <v>288.36</v>
      </c>
      <c r="AO189" s="52">
        <v>293.11</v>
      </c>
      <c r="AP189" s="52">
        <v>297.87</v>
      </c>
      <c r="AQ189" s="52">
        <v>302.62</v>
      </c>
      <c r="AR189" s="52">
        <v>307.38</v>
      </c>
      <c r="AS189" s="52">
        <v>312.13</v>
      </c>
      <c r="AT189" s="52">
        <v>184.36</v>
      </c>
      <c r="AU189" s="52">
        <v>179.61</v>
      </c>
    </row>
    <row r="190" spans="1:47">
      <c r="A190" s="489">
        <v>345.54</v>
      </c>
      <c r="B190" s="300">
        <v>418</v>
      </c>
      <c r="C190" s="301">
        <v>424.77</v>
      </c>
      <c r="D190" s="301">
        <v>431.54</v>
      </c>
      <c r="E190" s="621">
        <v>438.31</v>
      </c>
      <c r="F190" s="490">
        <v>379.39</v>
      </c>
      <c r="G190" s="490">
        <v>386.16</v>
      </c>
      <c r="H190" s="491">
        <v>392.93</v>
      </c>
      <c r="I190" s="52">
        <v>399.7</v>
      </c>
      <c r="J190" s="52">
        <v>406.47</v>
      </c>
      <c r="K190" s="52">
        <v>413.24</v>
      </c>
      <c r="L190" s="52">
        <v>420.01</v>
      </c>
      <c r="M190" s="52">
        <v>426.78</v>
      </c>
      <c r="N190" s="52">
        <v>433.55</v>
      </c>
      <c r="O190" s="52">
        <v>411.77</v>
      </c>
      <c r="P190" s="52">
        <v>418.54</v>
      </c>
      <c r="Q190" s="52">
        <v>425.31</v>
      </c>
      <c r="R190" s="52">
        <v>432.08</v>
      </c>
      <c r="S190" s="52">
        <v>310.20999999999998</v>
      </c>
      <c r="T190" s="52">
        <v>303.44</v>
      </c>
      <c r="U190" s="52">
        <v>296.67</v>
      </c>
      <c r="V190" s="52">
        <v>289.89999999999998</v>
      </c>
      <c r="W190" s="52">
        <v>283.13</v>
      </c>
      <c r="X190" s="485">
        <v>186</v>
      </c>
      <c r="Y190" s="489">
        <v>218.25</v>
      </c>
      <c r="Z190" s="489">
        <v>223.03</v>
      </c>
      <c r="AA190" s="489">
        <v>227.81</v>
      </c>
      <c r="AB190" s="489">
        <v>232.59</v>
      </c>
      <c r="AC190" s="489">
        <v>237.37</v>
      </c>
      <c r="AD190" s="299">
        <v>242.15</v>
      </c>
      <c r="AE190" s="299">
        <v>246.93</v>
      </c>
      <c r="AF190" s="299">
        <v>251.71</v>
      </c>
      <c r="AG190" s="300">
        <v>256.49</v>
      </c>
      <c r="AH190" s="301">
        <v>261.27</v>
      </c>
      <c r="AI190" s="301">
        <v>266.05</v>
      </c>
      <c r="AJ190" s="626">
        <v>270.83</v>
      </c>
      <c r="AK190" s="490">
        <v>275.61</v>
      </c>
      <c r="AL190" s="482">
        <v>280.39</v>
      </c>
      <c r="AM190" s="491">
        <v>285.17</v>
      </c>
      <c r="AN190" s="646">
        <v>289.95</v>
      </c>
      <c r="AO190" s="52">
        <v>294.73</v>
      </c>
      <c r="AP190" s="52">
        <v>299.51</v>
      </c>
      <c r="AQ190" s="52">
        <v>304.29000000000002</v>
      </c>
      <c r="AR190" s="52">
        <v>309.07</v>
      </c>
      <c r="AS190" s="52">
        <v>313.85000000000002</v>
      </c>
      <c r="AT190" s="52">
        <v>185.38</v>
      </c>
      <c r="AU190" s="52">
        <v>180.6</v>
      </c>
    </row>
    <row r="191" spans="1:47">
      <c r="A191" s="489">
        <v>347.49</v>
      </c>
      <c r="B191" s="300">
        <v>420.37</v>
      </c>
      <c r="C191" s="301">
        <v>427.18</v>
      </c>
      <c r="D191" s="301">
        <v>433.99</v>
      </c>
      <c r="E191" s="621">
        <v>440.79</v>
      </c>
      <c r="F191" s="490">
        <v>381.53</v>
      </c>
      <c r="G191" s="490">
        <v>388.33</v>
      </c>
      <c r="H191" s="491">
        <v>395.14</v>
      </c>
      <c r="I191" s="52">
        <v>401.95</v>
      </c>
      <c r="J191" s="52">
        <v>408.75</v>
      </c>
      <c r="K191" s="52">
        <v>415.56</v>
      </c>
      <c r="L191" s="52">
        <v>422.37</v>
      </c>
      <c r="M191" s="52">
        <v>429.17</v>
      </c>
      <c r="N191" s="52">
        <v>435.98</v>
      </c>
      <c r="O191" s="52">
        <v>414.06</v>
      </c>
      <c r="P191" s="52">
        <v>420.87</v>
      </c>
      <c r="Q191" s="52">
        <v>427.67</v>
      </c>
      <c r="R191" s="52">
        <v>434.48</v>
      </c>
      <c r="S191" s="52">
        <v>311.95999999999998</v>
      </c>
      <c r="T191" s="52">
        <v>305.14999999999998</v>
      </c>
      <c r="U191" s="52">
        <v>298.33999999999997</v>
      </c>
      <c r="V191" s="52">
        <v>291.54000000000002</v>
      </c>
      <c r="W191" s="52">
        <v>284.73</v>
      </c>
      <c r="X191" s="485">
        <v>187</v>
      </c>
      <c r="Y191" s="489">
        <v>219.46</v>
      </c>
      <c r="Z191" s="489">
        <v>224.26</v>
      </c>
      <c r="AA191" s="489">
        <v>229.07</v>
      </c>
      <c r="AB191" s="489">
        <v>233.88</v>
      </c>
      <c r="AC191" s="489">
        <v>238.68</v>
      </c>
      <c r="AD191" s="299">
        <v>243.49</v>
      </c>
      <c r="AE191" s="299">
        <v>248.29</v>
      </c>
      <c r="AF191" s="299">
        <v>253.1</v>
      </c>
      <c r="AG191" s="300">
        <v>257.91000000000003</v>
      </c>
      <c r="AH191" s="301">
        <v>262.70999999999998</v>
      </c>
      <c r="AI191" s="301">
        <v>267.52</v>
      </c>
      <c r="AJ191" s="626">
        <v>272.32</v>
      </c>
      <c r="AK191" s="490">
        <v>277.13</v>
      </c>
      <c r="AL191" s="482">
        <v>281.94</v>
      </c>
      <c r="AM191" s="491">
        <v>286.74</v>
      </c>
      <c r="AN191" s="646">
        <v>291.55</v>
      </c>
      <c r="AO191" s="52">
        <v>296.35000000000002</v>
      </c>
      <c r="AP191" s="52">
        <v>301.16000000000003</v>
      </c>
      <c r="AQ191" s="52">
        <v>305.95999999999998</v>
      </c>
      <c r="AR191" s="52">
        <v>310.77</v>
      </c>
      <c r="AS191" s="52">
        <v>315.58</v>
      </c>
      <c r="AT191" s="52">
        <v>186.4</v>
      </c>
      <c r="AU191" s="52">
        <v>181.59</v>
      </c>
    </row>
    <row r="192" spans="1:47">
      <c r="A192" s="489">
        <v>349.01</v>
      </c>
      <c r="B192" s="300">
        <v>422.17</v>
      </c>
      <c r="C192" s="301">
        <v>429.01</v>
      </c>
      <c r="D192" s="301">
        <v>435.86</v>
      </c>
      <c r="E192" s="621">
        <v>442.7</v>
      </c>
      <c r="F192" s="490">
        <v>383.23</v>
      </c>
      <c r="G192" s="490">
        <v>390.07</v>
      </c>
      <c r="H192" s="491">
        <v>396.92</v>
      </c>
      <c r="I192" s="52">
        <v>403.76</v>
      </c>
      <c r="J192" s="52">
        <v>410.6</v>
      </c>
      <c r="K192" s="52">
        <v>417.45</v>
      </c>
      <c r="L192" s="52">
        <v>424.29</v>
      </c>
      <c r="M192" s="52">
        <v>431.13</v>
      </c>
      <c r="N192" s="52">
        <v>437.98</v>
      </c>
      <c r="O192" s="52">
        <v>416.01</v>
      </c>
      <c r="P192" s="52">
        <v>422.85</v>
      </c>
      <c r="Q192" s="52">
        <v>429.7</v>
      </c>
      <c r="R192" s="52">
        <v>436.54</v>
      </c>
      <c r="S192" s="52">
        <v>313.36</v>
      </c>
      <c r="T192" s="52">
        <v>306.52</v>
      </c>
      <c r="U192" s="52">
        <v>299.68</v>
      </c>
      <c r="V192" s="52">
        <v>292.83</v>
      </c>
      <c r="W192" s="52">
        <v>285.99</v>
      </c>
      <c r="X192" s="485">
        <v>188</v>
      </c>
      <c r="Y192" s="489">
        <v>220.52</v>
      </c>
      <c r="Z192" s="489">
        <v>225.35</v>
      </c>
      <c r="AA192" s="489">
        <v>230.18</v>
      </c>
      <c r="AB192" s="489">
        <v>235.01</v>
      </c>
      <c r="AC192" s="489">
        <v>239.84</v>
      </c>
      <c r="AD192" s="299">
        <v>244.67</v>
      </c>
      <c r="AE192" s="299">
        <v>249.5</v>
      </c>
      <c r="AF192" s="299">
        <v>254.34</v>
      </c>
      <c r="AG192" s="300">
        <v>259.17</v>
      </c>
      <c r="AH192" s="301">
        <v>264</v>
      </c>
      <c r="AI192" s="301">
        <v>268.83</v>
      </c>
      <c r="AJ192" s="626">
        <v>273.66000000000003</v>
      </c>
      <c r="AK192" s="490">
        <v>278.49</v>
      </c>
      <c r="AL192" s="482">
        <v>283.33</v>
      </c>
      <c r="AM192" s="491">
        <v>288.16000000000003</v>
      </c>
      <c r="AN192" s="646">
        <v>292.99</v>
      </c>
      <c r="AO192" s="52">
        <v>297.82</v>
      </c>
      <c r="AP192" s="52">
        <v>302.64999999999998</v>
      </c>
      <c r="AQ192" s="52">
        <v>307.48</v>
      </c>
      <c r="AR192" s="52">
        <v>312.32</v>
      </c>
      <c r="AS192" s="52">
        <v>317.14999999999998</v>
      </c>
      <c r="AT192" s="52">
        <v>187.32</v>
      </c>
      <c r="AU192" s="52">
        <v>182.49</v>
      </c>
    </row>
    <row r="193" spans="1:47">
      <c r="A193" s="489">
        <v>350.98</v>
      </c>
      <c r="B193" s="300">
        <v>424.56</v>
      </c>
      <c r="C193" s="301">
        <v>431.44</v>
      </c>
      <c r="D193" s="301">
        <v>438.32</v>
      </c>
      <c r="E193" s="621">
        <v>445.2</v>
      </c>
      <c r="F193" s="490">
        <v>385.37</v>
      </c>
      <c r="G193" s="490">
        <v>392.25</v>
      </c>
      <c r="H193" s="491">
        <v>399.13</v>
      </c>
      <c r="I193" s="52">
        <v>406.01</v>
      </c>
      <c r="J193" s="52">
        <v>412.89</v>
      </c>
      <c r="K193" s="52">
        <v>419.77</v>
      </c>
      <c r="L193" s="52">
        <v>426.65</v>
      </c>
      <c r="M193" s="52">
        <v>433.53</v>
      </c>
      <c r="N193" s="52">
        <v>440.41</v>
      </c>
      <c r="O193" s="52">
        <v>418.31</v>
      </c>
      <c r="P193" s="52">
        <v>425.19</v>
      </c>
      <c r="Q193" s="52">
        <v>432.06</v>
      </c>
      <c r="R193" s="52">
        <v>438.94</v>
      </c>
      <c r="S193" s="52">
        <v>315.11</v>
      </c>
      <c r="T193" s="52">
        <v>308.23</v>
      </c>
      <c r="U193" s="52">
        <v>301.35000000000002</v>
      </c>
      <c r="V193" s="52">
        <v>294.47000000000003</v>
      </c>
      <c r="W193" s="52">
        <v>287.58999999999997</v>
      </c>
      <c r="X193" s="485">
        <v>189</v>
      </c>
      <c r="Y193" s="489">
        <v>221.73</v>
      </c>
      <c r="Z193" s="489">
        <v>226.58</v>
      </c>
      <c r="AA193" s="489">
        <v>231.44</v>
      </c>
      <c r="AB193" s="489">
        <v>236.3</v>
      </c>
      <c r="AC193" s="489">
        <v>241.16</v>
      </c>
      <c r="AD193" s="299">
        <v>246.01</v>
      </c>
      <c r="AE193" s="299">
        <v>250.87</v>
      </c>
      <c r="AF193" s="299">
        <v>255.73</v>
      </c>
      <c r="AG193" s="300">
        <v>260.58999999999997</v>
      </c>
      <c r="AH193" s="301">
        <v>265.44</v>
      </c>
      <c r="AI193" s="301">
        <v>270.3</v>
      </c>
      <c r="AJ193" s="626">
        <v>275.16000000000003</v>
      </c>
      <c r="AK193" s="490">
        <v>280.01</v>
      </c>
      <c r="AL193" s="482">
        <v>284.87</v>
      </c>
      <c r="AM193" s="491">
        <v>289.73</v>
      </c>
      <c r="AN193" s="646">
        <v>294.58999999999997</v>
      </c>
      <c r="AO193" s="52">
        <v>299.44</v>
      </c>
      <c r="AP193" s="52">
        <v>304.3</v>
      </c>
      <c r="AQ193" s="52">
        <v>309.16000000000003</v>
      </c>
      <c r="AR193" s="52">
        <v>314.02</v>
      </c>
      <c r="AS193" s="52">
        <v>318.87</v>
      </c>
      <c r="AT193" s="52">
        <v>188.34</v>
      </c>
      <c r="AU193" s="52">
        <v>183.49</v>
      </c>
    </row>
    <row r="194" spans="1:47">
      <c r="A194" s="489">
        <v>352.94</v>
      </c>
      <c r="B194" s="300">
        <v>426.95</v>
      </c>
      <c r="C194" s="301">
        <v>433.87</v>
      </c>
      <c r="D194" s="301">
        <v>440.78</v>
      </c>
      <c r="E194" s="621">
        <v>447.7</v>
      </c>
      <c r="F194" s="490">
        <v>387.52</v>
      </c>
      <c r="G194" s="490">
        <v>394.44</v>
      </c>
      <c r="H194" s="491">
        <v>401.36</v>
      </c>
      <c r="I194" s="52">
        <v>408.27</v>
      </c>
      <c r="J194" s="52">
        <v>415.19</v>
      </c>
      <c r="K194" s="52">
        <v>422.1</v>
      </c>
      <c r="L194" s="52">
        <v>429.02</v>
      </c>
      <c r="M194" s="52">
        <v>435.94</v>
      </c>
      <c r="N194" s="52">
        <v>442.85</v>
      </c>
      <c r="O194" s="52">
        <v>420.61</v>
      </c>
      <c r="P194" s="52">
        <v>427.52</v>
      </c>
      <c r="Q194" s="52">
        <v>434.44</v>
      </c>
      <c r="R194" s="52">
        <v>441.35</v>
      </c>
      <c r="S194" s="52">
        <v>316.87</v>
      </c>
      <c r="T194" s="52">
        <v>309.95</v>
      </c>
      <c r="U194" s="52">
        <v>303.02999999999997</v>
      </c>
      <c r="V194" s="52">
        <v>296.12</v>
      </c>
      <c r="W194" s="52">
        <v>289.2</v>
      </c>
      <c r="X194" s="485">
        <v>190</v>
      </c>
      <c r="Y194" s="489">
        <v>222.94</v>
      </c>
      <c r="Z194" s="489">
        <v>227.82</v>
      </c>
      <c r="AA194" s="489">
        <v>232.71</v>
      </c>
      <c r="AB194" s="489">
        <v>237.59</v>
      </c>
      <c r="AC194" s="489">
        <v>242.47</v>
      </c>
      <c r="AD194" s="299">
        <v>247.36</v>
      </c>
      <c r="AE194" s="299">
        <v>252.24</v>
      </c>
      <c r="AF194" s="299">
        <v>257.12</v>
      </c>
      <c r="AG194" s="300">
        <v>262</v>
      </c>
      <c r="AH194" s="301">
        <v>266.89</v>
      </c>
      <c r="AI194" s="301">
        <v>271.77</v>
      </c>
      <c r="AJ194" s="626">
        <v>276.64999999999998</v>
      </c>
      <c r="AK194" s="490">
        <v>281.54000000000002</v>
      </c>
      <c r="AL194" s="482">
        <v>286.42</v>
      </c>
      <c r="AM194" s="491">
        <v>291.3</v>
      </c>
      <c r="AN194" s="646">
        <v>296.19</v>
      </c>
      <c r="AO194" s="52">
        <v>301.07</v>
      </c>
      <c r="AP194" s="52">
        <v>305.95</v>
      </c>
      <c r="AQ194" s="52">
        <v>310.83</v>
      </c>
      <c r="AR194" s="52">
        <v>315.72000000000003</v>
      </c>
      <c r="AS194" s="52">
        <v>320.60000000000002</v>
      </c>
      <c r="AT194" s="52">
        <v>189.37</v>
      </c>
      <c r="AU194" s="52">
        <v>184.48</v>
      </c>
    </row>
    <row r="195" spans="1:47">
      <c r="A195" s="489">
        <v>354.92</v>
      </c>
      <c r="B195" s="300">
        <v>429.36</v>
      </c>
      <c r="C195" s="301">
        <v>436.31</v>
      </c>
      <c r="D195" s="301">
        <v>443.26</v>
      </c>
      <c r="E195" s="621">
        <v>450.21</v>
      </c>
      <c r="F195" s="490">
        <v>389.68</v>
      </c>
      <c r="G195" s="490">
        <v>396.63</v>
      </c>
      <c r="H195" s="491">
        <v>403.59</v>
      </c>
      <c r="I195" s="52">
        <v>410.54</v>
      </c>
      <c r="J195" s="52">
        <v>417.49</v>
      </c>
      <c r="K195" s="52">
        <v>424.44</v>
      </c>
      <c r="L195" s="52">
        <v>431.4</v>
      </c>
      <c r="M195" s="52">
        <v>438.35</v>
      </c>
      <c r="N195" s="52">
        <v>445.3</v>
      </c>
      <c r="O195" s="52">
        <v>422.91</v>
      </c>
      <c r="P195" s="52">
        <v>429.86</v>
      </c>
      <c r="Q195" s="52">
        <v>436.81</v>
      </c>
      <c r="R195" s="52">
        <v>443.77</v>
      </c>
      <c r="S195" s="52">
        <v>318.62</v>
      </c>
      <c r="T195" s="52">
        <v>311.67</v>
      </c>
      <c r="U195" s="52">
        <v>304.72000000000003</v>
      </c>
      <c r="V195" s="52">
        <v>297.77</v>
      </c>
      <c r="W195" s="52">
        <v>290.81</v>
      </c>
      <c r="X195" s="485">
        <v>191</v>
      </c>
      <c r="Y195" s="489">
        <v>224.26</v>
      </c>
      <c r="Z195" s="489">
        <v>229.07</v>
      </c>
      <c r="AA195" s="489">
        <v>233.97</v>
      </c>
      <c r="AB195" s="489">
        <v>238.88</v>
      </c>
      <c r="AC195" s="489">
        <v>243.79</v>
      </c>
      <c r="AD195" s="299">
        <v>248.7</v>
      </c>
      <c r="AE195" s="299">
        <v>253.61</v>
      </c>
      <c r="AF195" s="299">
        <v>258.52</v>
      </c>
      <c r="AG195" s="300">
        <v>263.43</v>
      </c>
      <c r="AH195" s="301">
        <v>268.33999999999997</v>
      </c>
      <c r="AI195" s="301">
        <v>273.24</v>
      </c>
      <c r="AJ195" s="626">
        <v>278.14999999999998</v>
      </c>
      <c r="AK195" s="490">
        <v>283.06</v>
      </c>
      <c r="AL195" s="482">
        <v>287.97000000000003</v>
      </c>
      <c r="AM195" s="491">
        <v>292.88</v>
      </c>
      <c r="AN195" s="646">
        <v>297.79000000000002</v>
      </c>
      <c r="AO195" s="52">
        <v>302.7</v>
      </c>
      <c r="AP195" s="52">
        <v>307.61</v>
      </c>
      <c r="AQ195" s="52">
        <v>312.51</v>
      </c>
      <c r="AR195" s="52">
        <v>317.42</v>
      </c>
      <c r="AS195" s="52">
        <v>322.33</v>
      </c>
      <c r="AT195" s="52">
        <v>190.39</v>
      </c>
      <c r="AU195" s="52">
        <v>185.48</v>
      </c>
    </row>
    <row r="196" spans="1:47">
      <c r="A196" s="489">
        <v>356.44</v>
      </c>
      <c r="B196" s="300">
        <v>431.15</v>
      </c>
      <c r="C196" s="301">
        <v>438.14</v>
      </c>
      <c r="D196" s="301">
        <v>445.13</v>
      </c>
      <c r="E196" s="621">
        <v>452.12</v>
      </c>
      <c r="F196" s="490">
        <v>391.38</v>
      </c>
      <c r="G196" s="490">
        <v>398.37</v>
      </c>
      <c r="H196" s="491">
        <v>405.36</v>
      </c>
      <c r="I196" s="52">
        <v>412.35</v>
      </c>
      <c r="J196" s="52">
        <v>419.34</v>
      </c>
      <c r="K196" s="52">
        <v>426.33</v>
      </c>
      <c r="L196" s="52">
        <v>433.32</v>
      </c>
      <c r="M196" s="52">
        <v>440.31</v>
      </c>
      <c r="N196" s="52">
        <v>447.29</v>
      </c>
      <c r="O196" s="52">
        <v>424.86</v>
      </c>
      <c r="P196" s="52">
        <v>431.85</v>
      </c>
      <c r="Q196" s="52">
        <v>438.84</v>
      </c>
      <c r="R196" s="52">
        <v>445.83</v>
      </c>
      <c r="S196" s="52">
        <v>320.02999999999997</v>
      </c>
      <c r="T196" s="52">
        <v>313.04000000000002</v>
      </c>
      <c r="U196" s="52">
        <v>306.05</v>
      </c>
      <c r="V196" s="52">
        <v>299.06</v>
      </c>
      <c r="W196" s="52">
        <v>292.07</v>
      </c>
      <c r="X196" s="485">
        <v>192</v>
      </c>
      <c r="Y196" s="489">
        <v>225.21</v>
      </c>
      <c r="Z196" s="489">
        <v>230.15</v>
      </c>
      <c r="AA196" s="489">
        <v>235.08</v>
      </c>
      <c r="AB196" s="489">
        <v>240.02</v>
      </c>
      <c r="AC196" s="489">
        <v>244.95</v>
      </c>
      <c r="AD196" s="299">
        <v>249.89</v>
      </c>
      <c r="AE196" s="299">
        <v>254.82</v>
      </c>
      <c r="AF196" s="299">
        <v>259.75</v>
      </c>
      <c r="AG196" s="300">
        <v>264.69</v>
      </c>
      <c r="AH196" s="301">
        <v>269.62</v>
      </c>
      <c r="AI196" s="301">
        <v>274.56</v>
      </c>
      <c r="AJ196" s="626">
        <v>279.49</v>
      </c>
      <c r="AK196" s="490">
        <v>284.43</v>
      </c>
      <c r="AL196" s="482">
        <v>289.36</v>
      </c>
      <c r="AM196" s="491">
        <v>294.3</v>
      </c>
      <c r="AN196" s="646">
        <v>299.23</v>
      </c>
      <c r="AO196" s="52">
        <v>304.16000000000003</v>
      </c>
      <c r="AP196" s="52">
        <v>309.10000000000002</v>
      </c>
      <c r="AQ196" s="52">
        <v>314.02999999999997</v>
      </c>
      <c r="AR196" s="52">
        <v>318.97000000000003</v>
      </c>
      <c r="AS196" s="52">
        <v>323.89999999999998</v>
      </c>
      <c r="AT196" s="52">
        <v>191.31</v>
      </c>
      <c r="AU196" s="52">
        <v>186.38</v>
      </c>
    </row>
    <row r="197" spans="1:47">
      <c r="A197" s="489">
        <v>358.42</v>
      </c>
      <c r="B197" s="300">
        <v>433.57</v>
      </c>
      <c r="C197" s="301">
        <v>440.59</v>
      </c>
      <c r="D197" s="301">
        <v>447.62</v>
      </c>
      <c r="E197" s="621">
        <v>454.64</v>
      </c>
      <c r="F197" s="490">
        <v>393.55</v>
      </c>
      <c r="G197" s="490">
        <v>400.57</v>
      </c>
      <c r="H197" s="491">
        <v>407.6</v>
      </c>
      <c r="I197" s="52">
        <v>414.62</v>
      </c>
      <c r="J197" s="52">
        <v>421.65</v>
      </c>
      <c r="K197" s="52">
        <v>428.67</v>
      </c>
      <c r="L197" s="52">
        <v>435.7</v>
      </c>
      <c r="M197" s="52">
        <v>442.72</v>
      </c>
      <c r="N197" s="52">
        <v>449.75</v>
      </c>
      <c r="O197" s="52">
        <v>427.17</v>
      </c>
      <c r="P197" s="52">
        <v>434.2</v>
      </c>
      <c r="Q197" s="52">
        <v>441.22</v>
      </c>
      <c r="R197" s="52">
        <v>448.25</v>
      </c>
      <c r="S197" s="52">
        <v>321.79000000000002</v>
      </c>
      <c r="T197" s="52">
        <v>314.77</v>
      </c>
      <c r="U197" s="52">
        <v>307.74</v>
      </c>
      <c r="V197" s="52">
        <v>300.72000000000003</v>
      </c>
      <c r="W197" s="52">
        <v>293.69</v>
      </c>
      <c r="X197" s="485">
        <v>193</v>
      </c>
      <c r="Y197" s="489">
        <v>226.43</v>
      </c>
      <c r="Z197" s="489">
        <v>231.39</v>
      </c>
      <c r="AA197" s="489">
        <v>236.35</v>
      </c>
      <c r="AB197" s="489">
        <v>241.31</v>
      </c>
      <c r="AC197" s="489">
        <v>246.27</v>
      </c>
      <c r="AD197" s="299">
        <v>251.23</v>
      </c>
      <c r="AE197" s="299">
        <v>256.19</v>
      </c>
      <c r="AF197" s="299">
        <v>261.14999999999998</v>
      </c>
      <c r="AG197" s="300">
        <v>266.11</v>
      </c>
      <c r="AH197" s="301">
        <v>271.07</v>
      </c>
      <c r="AI197" s="301">
        <v>276.02999999999997</v>
      </c>
      <c r="AJ197" s="626">
        <v>280.99</v>
      </c>
      <c r="AK197" s="490">
        <v>285.95</v>
      </c>
      <c r="AL197" s="482">
        <v>290.91000000000003</v>
      </c>
      <c r="AM197" s="491">
        <v>295.87</v>
      </c>
      <c r="AN197" s="646">
        <v>300.83</v>
      </c>
      <c r="AO197" s="52">
        <v>305.79000000000002</v>
      </c>
      <c r="AP197" s="52">
        <v>310.75</v>
      </c>
      <c r="AQ197" s="52">
        <v>315.70999999999998</v>
      </c>
      <c r="AR197" s="52">
        <v>320.67</v>
      </c>
      <c r="AS197" s="52">
        <v>325.02999999999997</v>
      </c>
      <c r="AT197" s="52">
        <v>192.34</v>
      </c>
      <c r="AU197" s="52">
        <v>187.38</v>
      </c>
    </row>
    <row r="198" spans="1:47">
      <c r="A198" s="489">
        <v>360.41</v>
      </c>
      <c r="B198" s="300">
        <v>435.99</v>
      </c>
      <c r="C198" s="301">
        <v>443.05</v>
      </c>
      <c r="D198" s="301">
        <v>450.11</v>
      </c>
      <c r="E198" s="621">
        <v>457.17</v>
      </c>
      <c r="F198" s="490">
        <v>395.72</v>
      </c>
      <c r="G198" s="490">
        <v>402.78</v>
      </c>
      <c r="H198" s="491">
        <v>409.84</v>
      </c>
      <c r="I198" s="52">
        <v>416.9</v>
      </c>
      <c r="J198" s="52">
        <v>423.96</v>
      </c>
      <c r="K198" s="52">
        <v>431.02</v>
      </c>
      <c r="L198" s="52">
        <v>438.09</v>
      </c>
      <c r="M198" s="52">
        <v>445.15</v>
      </c>
      <c r="N198" s="52">
        <v>452.21</v>
      </c>
      <c r="O198" s="52">
        <v>429.49</v>
      </c>
      <c r="P198" s="52">
        <v>436.55</v>
      </c>
      <c r="Q198" s="52">
        <v>443.61</v>
      </c>
      <c r="R198" s="52">
        <v>450.67</v>
      </c>
      <c r="S198" s="52">
        <v>323.56</v>
      </c>
      <c r="T198" s="52">
        <v>316.5</v>
      </c>
      <c r="U198" s="52">
        <v>309.44</v>
      </c>
      <c r="V198" s="52">
        <v>302.38</v>
      </c>
      <c r="W198" s="52">
        <v>295.32</v>
      </c>
      <c r="X198" s="485">
        <v>194</v>
      </c>
      <c r="Y198" s="489">
        <v>227.65</v>
      </c>
      <c r="Z198" s="489">
        <v>232.64</v>
      </c>
      <c r="AA198" s="489">
        <v>237.62</v>
      </c>
      <c r="AB198" s="489">
        <v>242.61</v>
      </c>
      <c r="AC198" s="489">
        <v>247.6</v>
      </c>
      <c r="AD198" s="299">
        <v>252.58</v>
      </c>
      <c r="AE198" s="299">
        <v>257.57</v>
      </c>
      <c r="AF198" s="299">
        <v>262.55</v>
      </c>
      <c r="AG198" s="300">
        <v>267.54000000000002</v>
      </c>
      <c r="AH198" s="301">
        <v>272.52999999999997</v>
      </c>
      <c r="AI198" s="301">
        <v>277.51</v>
      </c>
      <c r="AJ198" s="626">
        <v>282.5</v>
      </c>
      <c r="AK198" s="490">
        <v>287.48</v>
      </c>
      <c r="AL198" s="482">
        <v>292.47000000000003</v>
      </c>
      <c r="AM198" s="491">
        <v>297.45</v>
      </c>
      <c r="AN198" s="646">
        <v>302.44</v>
      </c>
      <c r="AO198" s="52">
        <v>307.43</v>
      </c>
      <c r="AP198" s="52">
        <v>312.41000000000003</v>
      </c>
      <c r="AQ198" s="52">
        <v>317.39999999999998</v>
      </c>
      <c r="AR198" s="52">
        <v>322.38</v>
      </c>
      <c r="AS198" s="52">
        <v>327.37</v>
      </c>
      <c r="AT198" s="52">
        <v>193.36</v>
      </c>
      <c r="AU198" s="52">
        <v>188.38</v>
      </c>
    </row>
    <row r="199" spans="1:47">
      <c r="A199" s="489">
        <v>362.4</v>
      </c>
      <c r="B199" s="300">
        <v>438.42</v>
      </c>
      <c r="C199" s="301">
        <v>445.51</v>
      </c>
      <c r="D199" s="301">
        <v>452.61</v>
      </c>
      <c r="E199" s="621">
        <v>459.71</v>
      </c>
      <c r="F199" s="490">
        <v>397.89</v>
      </c>
      <c r="G199" s="490">
        <v>404.99</v>
      </c>
      <c r="H199" s="491">
        <v>412.09</v>
      </c>
      <c r="I199" s="52">
        <v>419.19</v>
      </c>
      <c r="J199" s="52">
        <v>426.29</v>
      </c>
      <c r="K199" s="52">
        <v>433.38</v>
      </c>
      <c r="L199" s="52">
        <v>440.48</v>
      </c>
      <c r="M199" s="52">
        <v>447.58</v>
      </c>
      <c r="N199" s="52">
        <v>454.68</v>
      </c>
      <c r="O199" s="52">
        <v>431.81</v>
      </c>
      <c r="P199" s="52">
        <v>438.9</v>
      </c>
      <c r="Q199" s="52">
        <v>446</v>
      </c>
      <c r="R199" s="52">
        <v>453.1</v>
      </c>
      <c r="S199" s="52">
        <v>325.33999999999997</v>
      </c>
      <c r="T199" s="52">
        <v>318.24</v>
      </c>
      <c r="U199" s="52">
        <v>311.14</v>
      </c>
      <c r="V199" s="52">
        <v>304.04000000000002</v>
      </c>
      <c r="W199" s="52">
        <v>296.94</v>
      </c>
      <c r="X199" s="485">
        <v>195</v>
      </c>
      <c r="Y199" s="489">
        <v>228.71</v>
      </c>
      <c r="Z199" s="489">
        <v>233.72</v>
      </c>
      <c r="AA199" s="489">
        <v>238.73</v>
      </c>
      <c r="AB199" s="489">
        <v>243.74</v>
      </c>
      <c r="AC199" s="489">
        <v>248.76</v>
      </c>
      <c r="AD199" s="299">
        <v>253.77</v>
      </c>
      <c r="AE199" s="299">
        <v>258.77999999999997</v>
      </c>
      <c r="AF199" s="299">
        <v>263.79000000000002</v>
      </c>
      <c r="AG199" s="300">
        <v>268.8</v>
      </c>
      <c r="AH199" s="301">
        <v>273.81</v>
      </c>
      <c r="AI199" s="301">
        <v>278.82</v>
      </c>
      <c r="AJ199" s="626">
        <v>283.83999999999997</v>
      </c>
      <c r="AK199" s="490">
        <v>288.85000000000002</v>
      </c>
      <c r="AL199" s="482">
        <v>293.86</v>
      </c>
      <c r="AM199" s="491">
        <v>298.87</v>
      </c>
      <c r="AN199" s="646">
        <v>303.88</v>
      </c>
      <c r="AO199" s="52">
        <v>308.89</v>
      </c>
      <c r="AP199" s="52">
        <v>313.91000000000003</v>
      </c>
      <c r="AQ199" s="52">
        <v>318.92</v>
      </c>
      <c r="AR199" s="52">
        <v>323.93</v>
      </c>
      <c r="AS199" s="492">
        <v>328</v>
      </c>
      <c r="AT199" s="52">
        <v>194.29</v>
      </c>
      <c r="AU199" s="52">
        <v>189.28</v>
      </c>
    </row>
    <row r="200" spans="1:47">
      <c r="A200" s="489">
        <v>363.92</v>
      </c>
      <c r="B200" s="300">
        <v>440.21</v>
      </c>
      <c r="C200" s="301">
        <v>447.35</v>
      </c>
      <c r="D200" s="301">
        <v>454.48</v>
      </c>
      <c r="E200" s="621">
        <v>461.62</v>
      </c>
      <c r="F200" s="490">
        <v>399.6</v>
      </c>
      <c r="G200" s="490">
        <v>406.73</v>
      </c>
      <c r="H200" s="491">
        <v>413.86</v>
      </c>
      <c r="I200" s="52">
        <v>421</v>
      </c>
      <c r="J200" s="52">
        <v>428.13</v>
      </c>
      <c r="K200" s="52">
        <v>435.27</v>
      </c>
      <c r="L200" s="52">
        <v>442.4</v>
      </c>
      <c r="M200" s="52">
        <v>449.54</v>
      </c>
      <c r="N200" s="52">
        <v>456.67</v>
      </c>
      <c r="O200" s="52">
        <v>433.76</v>
      </c>
      <c r="P200" s="52">
        <v>440.89</v>
      </c>
      <c r="Q200" s="52">
        <v>448.03</v>
      </c>
      <c r="R200" s="52">
        <v>455.16</v>
      </c>
      <c r="S200" s="52">
        <v>326.74</v>
      </c>
      <c r="T200" s="52">
        <v>319.61</v>
      </c>
      <c r="U200" s="52">
        <v>312.47000000000003</v>
      </c>
      <c r="V200" s="52">
        <v>305.33999999999997</v>
      </c>
      <c r="W200" s="52">
        <v>298.20999999999998</v>
      </c>
      <c r="X200" s="485">
        <v>196</v>
      </c>
      <c r="Y200" s="489">
        <v>229.93</v>
      </c>
      <c r="Z200" s="489">
        <v>234.97</v>
      </c>
      <c r="AA200" s="489">
        <v>240.01</v>
      </c>
      <c r="AB200" s="489">
        <v>245.04</v>
      </c>
      <c r="AC200" s="489">
        <v>250.08</v>
      </c>
      <c r="AD200" s="299">
        <v>255.12</v>
      </c>
      <c r="AE200" s="299">
        <v>260.16000000000003</v>
      </c>
      <c r="AF200" s="299">
        <v>265.19</v>
      </c>
      <c r="AG200" s="300">
        <v>270.23</v>
      </c>
      <c r="AH200" s="301">
        <v>275.27</v>
      </c>
      <c r="AI200" s="301">
        <v>280.31</v>
      </c>
      <c r="AJ200" s="626">
        <v>285.33999999999997</v>
      </c>
      <c r="AK200" s="490">
        <v>290.38</v>
      </c>
      <c r="AL200" s="482">
        <v>295.42</v>
      </c>
      <c r="AM200" s="491">
        <v>300.45</v>
      </c>
      <c r="AN200" s="646">
        <v>305.49</v>
      </c>
      <c r="AO200" s="52">
        <v>310.52999999999997</v>
      </c>
      <c r="AP200" s="52">
        <v>315.57</v>
      </c>
      <c r="AQ200" s="52">
        <v>320.60000000000002</v>
      </c>
      <c r="AR200" s="52">
        <v>325.64</v>
      </c>
      <c r="AS200" s="492">
        <v>330.6</v>
      </c>
      <c r="AT200" s="52">
        <v>195.32</v>
      </c>
      <c r="AU200" s="52">
        <v>190.28</v>
      </c>
    </row>
    <row r="201" spans="1:47">
      <c r="A201" s="489">
        <v>365.93</v>
      </c>
      <c r="B201" s="300">
        <v>442.65</v>
      </c>
      <c r="C201" s="301">
        <v>449.82</v>
      </c>
      <c r="D201" s="301">
        <v>456.99</v>
      </c>
      <c r="E201" s="621">
        <v>464.17</v>
      </c>
      <c r="F201" s="490">
        <v>401.78</v>
      </c>
      <c r="G201" s="490">
        <v>408.95</v>
      </c>
      <c r="H201" s="491">
        <v>416.12</v>
      </c>
      <c r="I201" s="52">
        <v>423.29</v>
      </c>
      <c r="J201" s="52">
        <v>430.46</v>
      </c>
      <c r="K201" s="52">
        <v>437.63</v>
      </c>
      <c r="L201" s="52">
        <v>444.8</v>
      </c>
      <c r="M201" s="52">
        <v>451.97</v>
      </c>
      <c r="N201" s="52">
        <v>459.15</v>
      </c>
      <c r="O201" s="52">
        <v>436.08</v>
      </c>
      <c r="P201" s="52">
        <v>443.25</v>
      </c>
      <c r="Q201" s="52">
        <v>450.43</v>
      </c>
      <c r="R201" s="52">
        <v>457.6</v>
      </c>
      <c r="S201" s="52">
        <v>328.52</v>
      </c>
      <c r="T201" s="52">
        <v>321.35000000000002</v>
      </c>
      <c r="U201" s="52">
        <v>314.18</v>
      </c>
      <c r="V201" s="52">
        <v>307.01</v>
      </c>
      <c r="W201" s="52">
        <v>299.83999999999997</v>
      </c>
      <c r="X201" s="485">
        <v>197</v>
      </c>
      <c r="Y201" s="489">
        <v>231.16</v>
      </c>
      <c r="Z201" s="489">
        <v>236.22</v>
      </c>
      <c r="AA201" s="489">
        <v>241.28</v>
      </c>
      <c r="AB201" s="489">
        <v>246.35</v>
      </c>
      <c r="AC201" s="489">
        <v>251.41</v>
      </c>
      <c r="AD201" s="299">
        <v>256.47000000000003</v>
      </c>
      <c r="AE201" s="299">
        <v>261.54000000000002</v>
      </c>
      <c r="AF201" s="299">
        <v>266.60000000000002</v>
      </c>
      <c r="AG201" s="300">
        <v>271.66000000000003</v>
      </c>
      <c r="AH201" s="301">
        <v>276.73</v>
      </c>
      <c r="AI201" s="301">
        <v>281.79000000000002</v>
      </c>
      <c r="AJ201" s="626">
        <v>286.85000000000002</v>
      </c>
      <c r="AK201" s="490">
        <v>291.91000000000003</v>
      </c>
      <c r="AL201" s="482">
        <v>296.98</v>
      </c>
      <c r="AM201" s="491">
        <v>302.04000000000002</v>
      </c>
      <c r="AN201" s="646">
        <v>307.10000000000002</v>
      </c>
      <c r="AO201" s="52">
        <v>312.17</v>
      </c>
      <c r="AP201" s="52">
        <v>317.23</v>
      </c>
      <c r="AQ201" s="52">
        <v>322.29000000000002</v>
      </c>
      <c r="AR201" s="52">
        <v>327.35000000000002</v>
      </c>
      <c r="AS201" s="52">
        <v>332.42</v>
      </c>
      <c r="AT201" s="52">
        <v>196.35</v>
      </c>
      <c r="AU201" s="52">
        <v>191.28</v>
      </c>
    </row>
    <row r="202" spans="1:47">
      <c r="A202" s="469">
        <v>367.93</v>
      </c>
      <c r="B202" s="303">
        <v>445.1</v>
      </c>
      <c r="C202" s="304">
        <v>452.31</v>
      </c>
      <c r="D202" s="304">
        <v>459.52</v>
      </c>
      <c r="E202" s="621">
        <v>466.72</v>
      </c>
      <c r="F202" s="470">
        <v>403.97</v>
      </c>
      <c r="G202" s="470">
        <v>411.18</v>
      </c>
      <c r="H202" s="471">
        <v>418.38</v>
      </c>
      <c r="I202" s="52">
        <v>425.59</v>
      </c>
      <c r="J202" s="52">
        <v>432.8</v>
      </c>
      <c r="K202" s="52">
        <v>440.01</v>
      </c>
      <c r="L202" s="52">
        <v>447.21</v>
      </c>
      <c r="M202" s="52">
        <v>454.42</v>
      </c>
      <c r="N202" s="52">
        <v>461.63</v>
      </c>
      <c r="O202" s="52">
        <v>438.42</v>
      </c>
      <c r="P202" s="52">
        <v>445.62</v>
      </c>
      <c r="Q202" s="52">
        <v>452.83</v>
      </c>
      <c r="R202" s="52">
        <v>460.04</v>
      </c>
      <c r="S202" s="52">
        <v>330.31</v>
      </c>
      <c r="T202" s="52">
        <v>323.10000000000002</v>
      </c>
      <c r="U202" s="52">
        <v>315.89</v>
      </c>
      <c r="V202" s="52">
        <v>308.69</v>
      </c>
      <c r="W202" s="52">
        <v>301.48</v>
      </c>
      <c r="X202" s="485">
        <v>198</v>
      </c>
      <c r="Y202" s="469">
        <v>232.22</v>
      </c>
      <c r="Z202" s="469">
        <v>237.3</v>
      </c>
      <c r="AA202" s="469">
        <v>242.39</v>
      </c>
      <c r="AB202" s="469">
        <v>247.48</v>
      </c>
      <c r="AC202" s="469">
        <v>252.57</v>
      </c>
      <c r="AD202" s="302">
        <v>257.66000000000003</v>
      </c>
      <c r="AE202" s="302">
        <v>262.75</v>
      </c>
      <c r="AF202" s="302">
        <v>267.83999999999997</v>
      </c>
      <c r="AG202" s="303">
        <v>272.92</v>
      </c>
      <c r="AH202" s="304">
        <v>278.01</v>
      </c>
      <c r="AI202" s="304">
        <v>283.10000000000002</v>
      </c>
      <c r="AJ202" s="626">
        <v>288.19</v>
      </c>
      <c r="AK202" s="470">
        <v>293.27999999999997</v>
      </c>
      <c r="AL202" s="482">
        <v>298.37</v>
      </c>
      <c r="AM202" s="471">
        <v>303.45999999999998</v>
      </c>
      <c r="AN202" s="646">
        <v>308.54000000000002</v>
      </c>
      <c r="AO202" s="52">
        <v>313.63</v>
      </c>
      <c r="AP202" s="52">
        <v>318.72000000000003</v>
      </c>
      <c r="AQ202" s="52">
        <v>323.81</v>
      </c>
      <c r="AR202" s="52">
        <v>328.9</v>
      </c>
      <c r="AS202" s="52">
        <v>333.99</v>
      </c>
      <c r="AT202" s="52">
        <v>197.27</v>
      </c>
      <c r="AU202" s="52">
        <v>192.18</v>
      </c>
    </row>
    <row r="203" spans="1:47">
      <c r="A203" s="478">
        <v>369.45</v>
      </c>
      <c r="B203" s="294">
        <v>446.9</v>
      </c>
      <c r="C203" s="295">
        <v>454.14</v>
      </c>
      <c r="D203" s="295">
        <v>461.39</v>
      </c>
      <c r="E203" s="621">
        <v>468.63</v>
      </c>
      <c r="F203" s="479">
        <v>405.67</v>
      </c>
      <c r="G203" s="479">
        <v>412.92</v>
      </c>
      <c r="H203" s="480">
        <v>420.16</v>
      </c>
      <c r="I203" s="52">
        <v>427.4</v>
      </c>
      <c r="J203" s="52">
        <v>434.65</v>
      </c>
      <c r="K203" s="52">
        <v>441.89</v>
      </c>
      <c r="L203" s="52">
        <v>449.13</v>
      </c>
      <c r="M203" s="52">
        <v>456.38</v>
      </c>
      <c r="N203" s="52">
        <v>463.62</v>
      </c>
      <c r="O203" s="52">
        <v>440.37</v>
      </c>
      <c r="P203" s="52">
        <v>447.61</v>
      </c>
      <c r="Q203" s="52">
        <v>454.85</v>
      </c>
      <c r="R203" s="52">
        <v>462.1</v>
      </c>
      <c r="S203" s="52">
        <v>331.71</v>
      </c>
      <c r="T203" s="52">
        <v>324.47000000000003</v>
      </c>
      <c r="U203" s="52">
        <v>317.23</v>
      </c>
      <c r="V203" s="52">
        <v>309.38</v>
      </c>
      <c r="W203" s="52">
        <v>302.74</v>
      </c>
      <c r="X203" s="485">
        <v>199</v>
      </c>
      <c r="Y203" s="478">
        <v>233.44</v>
      </c>
      <c r="Z203" s="478">
        <v>238.56</v>
      </c>
      <c r="AA203" s="478">
        <v>243.67</v>
      </c>
      <c r="AB203" s="478">
        <v>248.79</v>
      </c>
      <c r="AC203" s="478">
        <v>253.9</v>
      </c>
      <c r="AD203" s="293">
        <v>259.02</v>
      </c>
      <c r="AE203" s="293">
        <v>264.13</v>
      </c>
      <c r="AF203" s="293">
        <v>269.24</v>
      </c>
      <c r="AG203" s="294">
        <v>274.36</v>
      </c>
      <c r="AH203" s="295">
        <v>279.47000000000003</v>
      </c>
      <c r="AI203" s="295">
        <v>284.58999999999997</v>
      </c>
      <c r="AJ203" s="626">
        <v>289.7</v>
      </c>
      <c r="AK203" s="479">
        <v>294.82</v>
      </c>
      <c r="AL203" s="482">
        <v>299.93</v>
      </c>
      <c r="AM203" s="480">
        <v>305.04000000000002</v>
      </c>
      <c r="AN203" s="646">
        <v>310.16000000000003</v>
      </c>
      <c r="AO203" s="52">
        <v>315.27</v>
      </c>
      <c r="AP203" s="52">
        <v>320.39</v>
      </c>
      <c r="AQ203" s="52">
        <v>325.5</v>
      </c>
      <c r="AR203" s="52">
        <v>330.62</v>
      </c>
      <c r="AS203" s="52">
        <v>335.73</v>
      </c>
      <c r="AT203" s="52">
        <v>198.3</v>
      </c>
      <c r="AU203" s="52">
        <v>193.19</v>
      </c>
    </row>
    <row r="204" spans="1:47" ht="21.75" thickBot="1">
      <c r="A204" s="493">
        <v>371.47</v>
      </c>
      <c r="B204" s="306">
        <v>449.36</v>
      </c>
      <c r="C204" s="307">
        <v>456.64</v>
      </c>
      <c r="D204" s="307">
        <v>463.92</v>
      </c>
      <c r="E204" s="622">
        <v>471.2</v>
      </c>
      <c r="F204" s="494">
        <v>478.48</v>
      </c>
      <c r="G204" s="494">
        <v>415.15</v>
      </c>
      <c r="H204" s="495">
        <v>422.43</v>
      </c>
      <c r="I204" s="496">
        <v>429.71</v>
      </c>
      <c r="J204" s="496">
        <v>436.99</v>
      </c>
      <c r="K204" s="496">
        <v>444.27</v>
      </c>
      <c r="L204" s="496">
        <v>451.55</v>
      </c>
      <c r="M204" s="496">
        <v>458.83</v>
      </c>
      <c r="N204" s="496">
        <v>466.11</v>
      </c>
      <c r="O204" s="496">
        <v>442.7</v>
      </c>
      <c r="P204" s="496">
        <v>449.98</v>
      </c>
      <c r="Q204" s="496">
        <v>457.26</v>
      </c>
      <c r="R204" s="496">
        <v>464.54</v>
      </c>
      <c r="S204" s="52">
        <v>333.5</v>
      </c>
      <c r="T204" s="52">
        <v>326.22000000000003</v>
      </c>
      <c r="U204" s="52">
        <v>318.94</v>
      </c>
      <c r="V204" s="52">
        <v>311.66000000000003</v>
      </c>
      <c r="W204" s="52">
        <v>304.38</v>
      </c>
      <c r="X204" s="497">
        <v>200</v>
      </c>
      <c r="Y204" s="493">
        <v>234.67</v>
      </c>
      <c r="Z204" s="493">
        <v>239.81</v>
      </c>
      <c r="AA204" s="493">
        <v>244.95</v>
      </c>
      <c r="AB204" s="493">
        <v>250.07</v>
      </c>
      <c r="AC204" s="493">
        <v>255.23</v>
      </c>
      <c r="AD204" s="305">
        <v>260.37</v>
      </c>
      <c r="AE204" s="305">
        <v>265.51</v>
      </c>
      <c r="AF204" s="305">
        <v>270.64999999999998</v>
      </c>
      <c r="AG204" s="306">
        <v>275.79000000000002</v>
      </c>
      <c r="AH204" s="307">
        <v>280.93</v>
      </c>
      <c r="AI204" s="307">
        <v>286.07</v>
      </c>
      <c r="AJ204" s="627">
        <v>291.20999999999998</v>
      </c>
      <c r="AK204" s="494">
        <v>296.35000000000002</v>
      </c>
      <c r="AL204" s="498">
        <v>301.49</v>
      </c>
      <c r="AM204" s="495">
        <v>306.63</v>
      </c>
      <c r="AN204" s="647">
        <v>311.77</v>
      </c>
      <c r="AO204" s="496">
        <v>316.91000000000003</v>
      </c>
      <c r="AP204" s="496">
        <v>322.05</v>
      </c>
      <c r="AQ204" s="496">
        <v>327.19</v>
      </c>
      <c r="AR204" s="496">
        <v>332.33</v>
      </c>
      <c r="AS204" s="496">
        <v>337.47</v>
      </c>
      <c r="AT204" s="52">
        <v>199.33</v>
      </c>
      <c r="AU204" s="52">
        <v>194.19</v>
      </c>
    </row>
    <row r="205" spans="1:47" ht="21.75" thickBot="1">
      <c r="A205" s="499">
        <v>1.86</v>
      </c>
      <c r="B205" s="509">
        <v>2.25</v>
      </c>
      <c r="C205" s="309">
        <v>2.29</v>
      </c>
      <c r="D205" s="309">
        <v>2.3199999999999998</v>
      </c>
      <c r="E205" s="623">
        <v>2.36</v>
      </c>
      <c r="F205" s="500">
        <v>2.39</v>
      </c>
      <c r="G205" s="500">
        <v>2.08</v>
      </c>
      <c r="H205" s="501">
        <v>2.11</v>
      </c>
      <c r="I205" s="500">
        <v>2.15</v>
      </c>
      <c r="J205" s="500">
        <v>2.19</v>
      </c>
      <c r="K205" s="500">
        <v>2.2200000000000002</v>
      </c>
      <c r="L205" s="500">
        <v>2.2599999999999998</v>
      </c>
      <c r="M205" s="500">
        <v>2.29</v>
      </c>
      <c r="N205" s="500">
        <v>2.33</v>
      </c>
      <c r="O205" s="500">
        <v>2.21</v>
      </c>
      <c r="P205" s="500">
        <v>2.25</v>
      </c>
      <c r="Q205" s="500">
        <v>2.29</v>
      </c>
      <c r="R205" s="502">
        <v>2.3199999999999998</v>
      </c>
      <c r="S205" s="503">
        <v>1.67</v>
      </c>
      <c r="T205" s="504">
        <v>1.63</v>
      </c>
      <c r="U205" s="504">
        <v>1.6</v>
      </c>
      <c r="V205" s="504">
        <v>1.56</v>
      </c>
      <c r="W205" s="503">
        <v>1.52</v>
      </c>
      <c r="X205" s="503"/>
      <c r="Y205" s="499">
        <v>1.17</v>
      </c>
      <c r="Z205" s="499">
        <v>1.2</v>
      </c>
      <c r="AA205" s="499">
        <v>1.22</v>
      </c>
      <c r="AB205" s="499">
        <v>1.25</v>
      </c>
      <c r="AC205" s="499">
        <v>1.28</v>
      </c>
      <c r="AD205" s="308">
        <v>1.3</v>
      </c>
      <c r="AE205" s="308">
        <v>1.33</v>
      </c>
      <c r="AF205" s="308">
        <v>1.35</v>
      </c>
      <c r="AG205" s="309">
        <v>1.38</v>
      </c>
      <c r="AH205" s="309">
        <v>1.41</v>
      </c>
      <c r="AI205" s="309">
        <v>1.43</v>
      </c>
      <c r="AJ205" s="628">
        <v>1.46</v>
      </c>
      <c r="AK205" s="500">
        <v>1.48</v>
      </c>
      <c r="AL205" s="500">
        <v>1.51</v>
      </c>
      <c r="AM205" s="501">
        <v>1.54</v>
      </c>
      <c r="AN205" s="648">
        <v>1.56</v>
      </c>
      <c r="AO205" s="505">
        <v>1.59</v>
      </c>
      <c r="AP205" s="505">
        <v>1.61</v>
      </c>
      <c r="AQ205" s="505">
        <v>1.64</v>
      </c>
      <c r="AR205" s="505">
        <v>1.66</v>
      </c>
      <c r="AS205" s="505">
        <v>1.69</v>
      </c>
      <c r="AT205" s="506">
        <v>1</v>
      </c>
      <c r="AU205" s="503">
        <v>0.97</v>
      </c>
    </row>
    <row r="206" spans="1:47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W206" s="30"/>
      <c r="X206" s="30"/>
      <c r="Y206" s="30"/>
      <c r="Z206" s="30"/>
      <c r="AA206" s="30"/>
      <c r="AB206" s="30"/>
      <c r="AC206" s="30"/>
      <c r="AD206" s="30"/>
      <c r="AE206" s="30"/>
      <c r="AF206" s="30"/>
      <c r="AQ206" s="30"/>
      <c r="AR206" s="30"/>
      <c r="AS206" s="30"/>
      <c r="AT206" s="30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A158"/>
  <sheetViews>
    <sheetView tabSelected="1" topLeftCell="A4" zoomScaleSheetLayoutView="100" workbookViewId="0">
      <selection activeCell="E19" sqref="E19"/>
    </sheetView>
  </sheetViews>
  <sheetFormatPr defaultColWidth="9.140625" defaultRowHeight="21"/>
  <cols>
    <col min="1" max="1" width="2.85546875" style="666" customWidth="1"/>
    <col min="2" max="2" width="10.140625" style="694" customWidth="1"/>
    <col min="3" max="3" width="32.85546875" style="666" customWidth="1"/>
    <col min="4" max="4" width="8.140625" style="666" customWidth="1"/>
    <col min="5" max="5" width="6.140625" style="666" customWidth="1"/>
    <col min="6" max="6" width="9.42578125" style="666" customWidth="1"/>
    <col min="7" max="7" width="7.85546875" style="666" customWidth="1"/>
    <col min="8" max="8" width="10" style="666" bestFit="1" customWidth="1"/>
    <col min="9" max="9" width="12.42578125" style="666" customWidth="1"/>
    <col min="10" max="10" width="8.140625" style="666" customWidth="1"/>
    <col min="11" max="11" width="10.85546875" style="666" customWidth="1"/>
    <col min="12" max="12" width="13.140625" style="666" customWidth="1"/>
    <col min="13" max="13" width="7.7109375" style="666" customWidth="1"/>
    <col min="14" max="14" width="2.7109375" style="666" customWidth="1"/>
    <col min="15" max="15" width="3.42578125" style="666" customWidth="1"/>
    <col min="16" max="16" width="9.140625" style="667"/>
    <col min="17" max="17" width="11.85546875" style="668" customWidth="1"/>
    <col min="18" max="18" width="7.140625" style="668" customWidth="1"/>
    <col min="19" max="19" width="6.42578125" style="666" customWidth="1"/>
    <col min="20" max="21" width="9.28515625" style="666" bestFit="1" customWidth="1"/>
    <col min="22" max="16384" width="9.140625" style="666"/>
  </cols>
  <sheetData>
    <row r="1" spans="1:20" ht="21.75" customHeight="1">
      <c r="A1" s="821" t="s">
        <v>339</v>
      </c>
      <c r="B1" s="821"/>
      <c r="C1" s="821"/>
      <c r="D1" s="821"/>
      <c r="E1" s="821"/>
      <c r="F1" s="821"/>
      <c r="G1" s="821"/>
      <c r="H1" s="821"/>
      <c r="I1" s="821"/>
      <c r="J1" s="821"/>
      <c r="K1" s="821"/>
      <c r="L1" s="821"/>
      <c r="M1" s="821"/>
      <c r="N1" s="821"/>
    </row>
    <row r="2" spans="1:20">
      <c r="B2" s="669" t="s">
        <v>39</v>
      </c>
      <c r="C2" s="670">
        <f>ข้อมูล!$C$7</f>
        <v>0</v>
      </c>
      <c r="G2" s="668" t="s">
        <v>23</v>
      </c>
      <c r="I2" s="666" t="str">
        <f>ข้อมูล!$E$7</f>
        <v>สายภายในศาลากลางจังหวัดเพชรบุรี</v>
      </c>
    </row>
    <row r="3" spans="1:20" ht="21.75" customHeight="1">
      <c r="B3" s="669" t="s">
        <v>40</v>
      </c>
      <c r="C3" s="670" t="str">
        <f>ข้อมูล!$C$8</f>
        <v>อำเภอเมือง จังหวัดเพชรบุรี</v>
      </c>
      <c r="D3" s="669" t="s">
        <v>167</v>
      </c>
      <c r="E3" s="671">
        <f>ปร.5!I11</f>
        <v>9</v>
      </c>
      <c r="F3" s="672" t="s">
        <v>50</v>
      </c>
      <c r="G3" s="668" t="s">
        <v>254</v>
      </c>
      <c r="I3" s="194">
        <f>ข้อมูล!L7</f>
        <v>0.251</v>
      </c>
      <c r="J3" s="670" t="s">
        <v>41</v>
      </c>
      <c r="K3" s="670"/>
      <c r="L3" s="670"/>
      <c r="M3" s="670"/>
    </row>
    <row r="4" spans="1:20" ht="20.100000000000001" customHeight="1">
      <c r="A4" s="673" t="s">
        <v>0</v>
      </c>
      <c r="B4" s="674"/>
      <c r="C4" s="675" t="s">
        <v>42</v>
      </c>
      <c r="D4" s="673" t="s">
        <v>24</v>
      </c>
      <c r="E4" s="673" t="s">
        <v>25</v>
      </c>
      <c r="F4" s="813" t="s">
        <v>26</v>
      </c>
      <c r="G4" s="814"/>
      <c r="H4" s="815"/>
      <c r="I4" s="673" t="s">
        <v>27</v>
      </c>
      <c r="J4" s="838" t="s">
        <v>2</v>
      </c>
      <c r="K4" s="813" t="s">
        <v>264</v>
      </c>
      <c r="L4" s="814"/>
      <c r="M4" s="827" t="s">
        <v>20</v>
      </c>
      <c r="N4" s="828"/>
      <c r="O4" s="829"/>
    </row>
    <row r="5" spans="1:20" ht="20.100000000000001" customHeight="1">
      <c r="A5" s="676"/>
      <c r="B5" s="677"/>
      <c r="C5" s="678"/>
      <c r="D5" s="676"/>
      <c r="E5" s="676"/>
      <c r="F5" s="679" t="s">
        <v>28</v>
      </c>
      <c r="G5" s="679" t="s">
        <v>29</v>
      </c>
      <c r="H5" s="679" t="s">
        <v>30</v>
      </c>
      <c r="I5" s="676" t="s">
        <v>31</v>
      </c>
      <c r="J5" s="838"/>
      <c r="K5" s="680" t="s">
        <v>265</v>
      </c>
      <c r="L5" s="681" t="s">
        <v>30</v>
      </c>
      <c r="M5" s="677"/>
      <c r="N5" s="682"/>
      <c r="O5" s="683"/>
    </row>
    <row r="6" spans="1:20" ht="20.100000000000001" customHeight="1">
      <c r="A6" s="684">
        <v>1</v>
      </c>
      <c r="B6" s="685" t="s">
        <v>32</v>
      </c>
      <c r="C6" s="686"/>
      <c r="D6" s="687"/>
      <c r="E6" s="688"/>
      <c r="F6" s="688"/>
      <c r="G6" s="688"/>
      <c r="H6" s="688"/>
      <c r="I6" s="688"/>
      <c r="J6" s="689"/>
      <c r="K6" s="689"/>
      <c r="L6" s="689"/>
      <c r="M6" s="689"/>
      <c r="N6" s="690"/>
      <c r="O6" s="691"/>
    </row>
    <row r="7" spans="1:20" ht="20.100000000000001" hidden="1" customHeight="1">
      <c r="A7" s="692"/>
      <c r="B7" s="693" t="s">
        <v>180</v>
      </c>
      <c r="C7" s="694"/>
      <c r="D7" s="695">
        <v>0</v>
      </c>
      <c r="E7" s="696" t="s">
        <v>33</v>
      </c>
      <c r="F7" s="697">
        <f>IF(D7&lt;=0,0,)</f>
        <v>0</v>
      </c>
      <c r="G7" s="697">
        <f>IF(D7&lt;=0,0,)</f>
        <v>0</v>
      </c>
      <c r="H7" s="697">
        <f>ROUND(IF(D7&lt;=0,0,+'S2'!$BF$29),2)</f>
        <v>0</v>
      </c>
      <c r="I7" s="698">
        <f t="shared" ref="I7:I15" si="0">D7*H7</f>
        <v>0</v>
      </c>
      <c r="J7" s="699">
        <f>IF(D7&gt;0,'S2'!$BL$31,0)</f>
        <v>0</v>
      </c>
      <c r="K7" s="700">
        <f>ROUNDDOWN(H7*J7,2)</f>
        <v>0</v>
      </c>
      <c r="L7" s="700">
        <f>D7*K7</f>
        <v>0</v>
      </c>
      <c r="M7" s="700"/>
      <c r="N7" s="701"/>
      <c r="O7" s="693"/>
    </row>
    <row r="8" spans="1:20" s="707" customFormat="1" ht="20.100000000000001" hidden="1" customHeight="1">
      <c r="A8" s="702"/>
      <c r="B8" s="693" t="s">
        <v>236</v>
      </c>
      <c r="C8" s="694"/>
      <c r="D8" s="695">
        <v>0</v>
      </c>
      <c r="E8" s="696" t="s">
        <v>33</v>
      </c>
      <c r="F8" s="697">
        <f>IF(D8&lt;=0,0,)</f>
        <v>0</v>
      </c>
      <c r="G8" s="697">
        <f>IF(D8&lt;=0,0,)</f>
        <v>0</v>
      </c>
      <c r="H8" s="697">
        <f>ROUND(IF(D8&lt;=0,0,+'S2'!BF12),2)</f>
        <v>0</v>
      </c>
      <c r="I8" s="698">
        <f>D8*H8</f>
        <v>0</v>
      </c>
      <c r="J8" s="699">
        <f>IF(D8&gt;0,'S2'!$BL$31,0)</f>
        <v>0</v>
      </c>
      <c r="K8" s="700">
        <f t="shared" ref="K8:K43" si="1">ROUNDDOWN(H8*J8,2)</f>
        <v>0</v>
      </c>
      <c r="L8" s="700">
        <f t="shared" ref="L8:L15" si="2">D8*K8</f>
        <v>0</v>
      </c>
      <c r="M8" s="700"/>
      <c r="N8" s="703"/>
      <c r="O8" s="704"/>
      <c r="P8" s="705"/>
      <c r="Q8" s="706"/>
      <c r="R8" s="706"/>
    </row>
    <row r="9" spans="1:20" ht="20.100000000000001" hidden="1" customHeight="1">
      <c r="A9" s="692"/>
      <c r="B9" s="693" t="s">
        <v>237</v>
      </c>
      <c r="C9" s="694"/>
      <c r="D9" s="695">
        <v>0</v>
      </c>
      <c r="E9" s="696" t="s">
        <v>33</v>
      </c>
      <c r="F9" s="697">
        <f>IF(D9&lt;=0,0,)</f>
        <v>0</v>
      </c>
      <c r="G9" s="697">
        <f>IF(D9&lt;=0,0,)</f>
        <v>0</v>
      </c>
      <c r="H9" s="697">
        <f>ROUND(IF(D9&lt;=0,0,+'S2'!$BF$12),2)</f>
        <v>0</v>
      </c>
      <c r="I9" s="698">
        <f t="shared" si="0"/>
        <v>0</v>
      </c>
      <c r="J9" s="699">
        <f>IF(D9&gt;0,'S2'!$BL$31,0)</f>
        <v>0</v>
      </c>
      <c r="K9" s="700">
        <f t="shared" si="1"/>
        <v>0</v>
      </c>
      <c r="L9" s="700">
        <f t="shared" si="2"/>
        <v>0</v>
      </c>
      <c r="M9" s="700"/>
      <c r="N9" s="701"/>
      <c r="O9" s="693"/>
    </row>
    <row r="10" spans="1:20" ht="20.100000000000001" hidden="1" customHeight="1">
      <c r="A10" s="708"/>
      <c r="B10" s="693" t="s">
        <v>238</v>
      </c>
      <c r="C10" s="694"/>
      <c r="D10" s="695">
        <v>0</v>
      </c>
      <c r="E10" s="696" t="s">
        <v>34</v>
      </c>
      <c r="F10" s="697">
        <f>IF(D10&lt;=0,0,)</f>
        <v>0</v>
      </c>
      <c r="G10" s="697">
        <f>IF(D10&lt;=0,0,)</f>
        <v>0</v>
      </c>
      <c r="H10" s="697">
        <f>ROUND(IF(D10&lt;=0,0,+'S2'!$BF$30+'S2'!$BF$35),2)</f>
        <v>0</v>
      </c>
      <c r="I10" s="698">
        <f t="shared" si="0"/>
        <v>0</v>
      </c>
      <c r="J10" s="699">
        <f>IF(D10&gt;0,'S2'!$BL$31,0)</f>
        <v>0</v>
      </c>
      <c r="K10" s="700">
        <f t="shared" si="1"/>
        <v>0</v>
      </c>
      <c r="L10" s="700">
        <f t="shared" si="2"/>
        <v>0</v>
      </c>
      <c r="M10" s="700"/>
      <c r="N10" s="701"/>
      <c r="O10" s="693"/>
    </row>
    <row r="11" spans="1:20" s="707" customFormat="1" ht="20.100000000000001" hidden="1" customHeight="1">
      <c r="A11" s="709"/>
      <c r="B11" s="832" t="s">
        <v>269</v>
      </c>
      <c r="C11" s="833"/>
      <c r="D11" s="695">
        <v>0</v>
      </c>
      <c r="E11" s="696" t="s">
        <v>34</v>
      </c>
      <c r="F11" s="697">
        <f>IF(D11&lt;=0,0,)</f>
        <v>0</v>
      </c>
      <c r="G11" s="697">
        <f>IF(D11&lt;=0,0,'S2'!BF32)</f>
        <v>0</v>
      </c>
      <c r="H11" s="698">
        <f>ROUND(F11+G11,2)</f>
        <v>0</v>
      </c>
      <c r="I11" s="698">
        <f>D11*H11</f>
        <v>0</v>
      </c>
      <c r="J11" s="699">
        <f>IF(D11&gt;0,'S2'!$BL$31,0)</f>
        <v>0</v>
      </c>
      <c r="K11" s="700">
        <f t="shared" si="1"/>
        <v>0</v>
      </c>
      <c r="L11" s="700">
        <f t="shared" si="2"/>
        <v>0</v>
      </c>
      <c r="M11" s="700"/>
      <c r="N11" s="703"/>
      <c r="O11" s="704"/>
      <c r="P11" s="705"/>
      <c r="Q11" s="706"/>
      <c r="R11" s="706"/>
    </row>
    <row r="12" spans="1:20" s="707" customFormat="1" ht="20.100000000000001" hidden="1" customHeight="1">
      <c r="A12" s="709"/>
      <c r="B12" s="710" t="s">
        <v>239</v>
      </c>
      <c r="C12" s="693"/>
      <c r="D12" s="695">
        <v>0</v>
      </c>
      <c r="E12" s="696" t="s">
        <v>34</v>
      </c>
      <c r="F12" s="697">
        <f>IF(D12&lt;=0,0,+ข้อมูล!$L$29)</f>
        <v>0</v>
      </c>
      <c r="G12" s="697">
        <f>IF(D12&lt;=0,0,+ข้อมูล!$L$30)</f>
        <v>0</v>
      </c>
      <c r="H12" s="698">
        <f>ROUND(F12+G12,2)</f>
        <v>0</v>
      </c>
      <c r="I12" s="698">
        <f>D12*H12</f>
        <v>0</v>
      </c>
      <c r="J12" s="699">
        <f>IF(D12&gt;0,'S2'!$BL$31,0)</f>
        <v>0</v>
      </c>
      <c r="K12" s="700">
        <f t="shared" si="1"/>
        <v>0</v>
      </c>
      <c r="L12" s="700">
        <f t="shared" si="2"/>
        <v>0</v>
      </c>
      <c r="M12" s="700"/>
      <c r="N12" s="701"/>
      <c r="O12" s="693"/>
      <c r="P12" s="705"/>
      <c r="Q12" s="706"/>
      <c r="R12" s="706"/>
    </row>
    <row r="13" spans="1:20" ht="20.100000000000001" hidden="1" customHeight="1">
      <c r="A13" s="708"/>
      <c r="B13" s="710" t="s">
        <v>240</v>
      </c>
      <c r="C13" s="693"/>
      <c r="D13" s="695">
        <v>0</v>
      </c>
      <c r="E13" s="696" t="s">
        <v>34</v>
      </c>
      <c r="F13" s="697">
        <f>IF(D13&lt;=0,0,+ข้อมูล!$L$37)</f>
        <v>0</v>
      </c>
      <c r="G13" s="697">
        <f>IF(D13&lt;=0,0,+ข้อมูล!$L$38)</f>
        <v>0</v>
      </c>
      <c r="H13" s="698">
        <f>ROUND(F13+G13,2)</f>
        <v>0</v>
      </c>
      <c r="I13" s="698">
        <f t="shared" si="0"/>
        <v>0</v>
      </c>
      <c r="J13" s="699">
        <f>IF(D13&gt;0,'S2'!$BL$31,0)</f>
        <v>0</v>
      </c>
      <c r="K13" s="700">
        <f t="shared" si="1"/>
        <v>0</v>
      </c>
      <c r="L13" s="700">
        <f t="shared" si="2"/>
        <v>0</v>
      </c>
      <c r="M13" s="700"/>
      <c r="N13" s="701"/>
      <c r="O13" s="693"/>
    </row>
    <row r="14" spans="1:20" ht="20.100000000000001" hidden="1" customHeight="1">
      <c r="A14" s="708"/>
      <c r="B14" s="693" t="s">
        <v>241</v>
      </c>
      <c r="C14" s="694"/>
      <c r="D14" s="695">
        <v>0</v>
      </c>
      <c r="E14" s="696" t="s">
        <v>34</v>
      </c>
      <c r="F14" s="697">
        <f>IF(D14&lt;=0,0,+ข้อมูล!$L$45)</f>
        <v>0</v>
      </c>
      <c r="G14" s="697">
        <f>IF(D14&lt;=0,0,+ข้อมูล!$L$46)</f>
        <v>0</v>
      </c>
      <c r="H14" s="698">
        <f>ROUND(F14+G14,2)</f>
        <v>0</v>
      </c>
      <c r="I14" s="698">
        <f t="shared" si="0"/>
        <v>0</v>
      </c>
      <c r="J14" s="699">
        <f>IF(D14&gt;0,'S2'!$BL$31,0)</f>
        <v>0</v>
      </c>
      <c r="K14" s="700">
        <f t="shared" si="1"/>
        <v>0</v>
      </c>
      <c r="L14" s="700">
        <f t="shared" si="2"/>
        <v>0</v>
      </c>
      <c r="M14" s="700"/>
      <c r="N14" s="701"/>
      <c r="O14" s="693"/>
      <c r="P14" s="711"/>
      <c r="Q14" s="669"/>
      <c r="R14" s="669"/>
      <c r="S14" s="694"/>
    </row>
    <row r="15" spans="1:20" ht="20.100000000000001" customHeight="1">
      <c r="A15" s="708"/>
      <c r="B15" s="693" t="s">
        <v>441</v>
      </c>
      <c r="C15" s="694"/>
      <c r="D15" s="695">
        <v>0</v>
      </c>
      <c r="E15" s="696" t="s">
        <v>34</v>
      </c>
      <c r="F15" s="697">
        <f>IF(D15&lt;=0,0,+ข้อมูล!$L$52)</f>
        <v>0</v>
      </c>
      <c r="G15" s="697">
        <f>IF(D15&lt;=0,0,+ข้อมูล!L53)</f>
        <v>0</v>
      </c>
      <c r="H15" s="698">
        <f>ROUND(F15+G15,2)</f>
        <v>0</v>
      </c>
      <c r="I15" s="698">
        <f t="shared" si="0"/>
        <v>0</v>
      </c>
      <c r="J15" s="699">
        <f>IF(D15&gt;0,'S2'!$BL$31,0)</f>
        <v>0</v>
      </c>
      <c r="K15" s="700">
        <f t="shared" si="1"/>
        <v>0</v>
      </c>
      <c r="L15" s="700">
        <f t="shared" si="2"/>
        <v>0</v>
      </c>
      <c r="M15" s="712" t="s">
        <v>271</v>
      </c>
      <c r="N15" s="701">
        <v>10</v>
      </c>
      <c r="O15" s="713" t="s">
        <v>181</v>
      </c>
      <c r="P15" s="711"/>
      <c r="Q15" s="669"/>
      <c r="R15" s="669"/>
      <c r="S15" s="694"/>
    </row>
    <row r="16" spans="1:20" s="707" customFormat="1" ht="20.100000000000001" hidden="1" customHeight="1">
      <c r="A16" s="709"/>
      <c r="B16" s="693" t="s">
        <v>442</v>
      </c>
      <c r="C16" s="694"/>
      <c r="D16" s="695">
        <v>0</v>
      </c>
      <c r="E16" s="696" t="s">
        <v>34</v>
      </c>
      <c r="F16" s="697">
        <f>IF(D16&lt;=0,0,)</f>
        <v>0</v>
      </c>
      <c r="G16" s="697">
        <f>IF(D16&lt;=0,0,)</f>
        <v>0</v>
      </c>
      <c r="H16" s="697">
        <f>ROUND(IF(D16&lt;=0,0,+ข้อมูล!$L$68),2)</f>
        <v>0</v>
      </c>
      <c r="I16" s="698">
        <f>ROUNDDOWN(D16*H16,2)</f>
        <v>0</v>
      </c>
      <c r="J16" s="699">
        <f>IF(D16&gt;0,'S2'!$BL$31,0)</f>
        <v>0</v>
      </c>
      <c r="K16" s="700">
        <f t="shared" si="1"/>
        <v>0</v>
      </c>
      <c r="L16" s="700">
        <f>ROUNDDOWN(I16*J16,2)</f>
        <v>0</v>
      </c>
      <c r="M16" s="712" t="s">
        <v>271</v>
      </c>
      <c r="N16" s="701">
        <v>0</v>
      </c>
      <c r="O16" s="713" t="s">
        <v>181</v>
      </c>
      <c r="P16" s="714"/>
      <c r="Q16" s="715" t="s">
        <v>369</v>
      </c>
      <c r="R16" s="715"/>
      <c r="S16" s="716">
        <v>0.05</v>
      </c>
      <c r="T16" s="666" t="s">
        <v>34</v>
      </c>
    </row>
    <row r="17" spans="1:21" ht="20.100000000000001" hidden="1" customHeight="1">
      <c r="A17" s="708"/>
      <c r="B17" s="693" t="s">
        <v>272</v>
      </c>
      <c r="C17" s="694"/>
      <c r="D17" s="695">
        <v>0</v>
      </c>
      <c r="E17" s="696" t="s">
        <v>33</v>
      </c>
      <c r="F17" s="697">
        <f>IF(D17&lt;=0,0,)</f>
        <v>0</v>
      </c>
      <c r="G17" s="697">
        <f>IF(D17&lt;=0,0,)</f>
        <v>0</v>
      </c>
      <c r="H17" s="697">
        <f>ROUND(IF(D17&lt;=0,0,+ข้อมูล!$L$64),2)</f>
        <v>0</v>
      </c>
      <c r="I17" s="698">
        <f t="shared" ref="I17:I43" si="3">ROUNDDOWN(D17*H17,2)</f>
        <v>0</v>
      </c>
      <c r="J17" s="699">
        <f>IF(D17&gt;0,'S2'!$BL$31,0)</f>
        <v>0</v>
      </c>
      <c r="K17" s="700">
        <f t="shared" si="1"/>
        <v>0</v>
      </c>
      <c r="L17" s="700">
        <f t="shared" ref="L17:L43" si="4">ROUNDDOWN(I17*J17,2)</f>
        <v>0</v>
      </c>
      <c r="M17" s="700"/>
      <c r="N17" s="701"/>
      <c r="O17" s="693"/>
      <c r="Q17" s="717"/>
      <c r="R17" s="717"/>
    </row>
    <row r="18" spans="1:21" ht="20.100000000000001" hidden="1" customHeight="1">
      <c r="A18" s="708"/>
      <c r="B18" s="693" t="s">
        <v>440</v>
      </c>
      <c r="C18" s="694"/>
      <c r="D18" s="695">
        <v>0</v>
      </c>
      <c r="E18" s="696" t="s">
        <v>33</v>
      </c>
      <c r="F18" s="697">
        <f>IF(D18&lt;=0,0,)</f>
        <v>0</v>
      </c>
      <c r="G18" s="697">
        <f>IF(D18&lt;=0,0,)</f>
        <v>0</v>
      </c>
      <c r="H18" s="697">
        <f>ROUND(IF(D18&lt;=0,0,+ข้อมูล!$L$102),2)</f>
        <v>0</v>
      </c>
      <c r="I18" s="698">
        <f t="shared" si="3"/>
        <v>0</v>
      </c>
      <c r="J18" s="699">
        <f>IF(D18&gt;0,'S2'!$BL$31,0)</f>
        <v>0</v>
      </c>
      <c r="K18" s="700">
        <f t="shared" si="1"/>
        <v>0</v>
      </c>
      <c r="L18" s="700">
        <f t="shared" si="4"/>
        <v>0</v>
      </c>
      <c r="M18" s="700"/>
      <c r="N18" s="701"/>
      <c r="O18" s="693"/>
      <c r="P18" s="714"/>
      <c r="Q18" s="669"/>
      <c r="R18" s="669" t="s">
        <v>429</v>
      </c>
      <c r="S18" s="669" t="s">
        <v>430</v>
      </c>
    </row>
    <row r="19" spans="1:21" ht="20.100000000000001" customHeight="1">
      <c r="A19" s="692">
        <v>2</v>
      </c>
      <c r="B19" s="830" t="s">
        <v>435</v>
      </c>
      <c r="C19" s="831"/>
      <c r="D19" s="695"/>
      <c r="E19" s="708"/>
      <c r="F19" s="698"/>
      <c r="G19" s="698"/>
      <c r="H19" s="698"/>
      <c r="I19" s="698"/>
      <c r="J19" s="699"/>
      <c r="K19" s="700"/>
      <c r="L19" s="700"/>
      <c r="M19" s="700"/>
      <c r="N19" s="701"/>
      <c r="O19" s="693"/>
      <c r="Q19" s="668" t="s">
        <v>348</v>
      </c>
      <c r="R19" s="668">
        <v>0</v>
      </c>
      <c r="S19" s="718">
        <v>0</v>
      </c>
      <c r="T19" s="668"/>
      <c r="U19" s="668" t="s">
        <v>33</v>
      </c>
    </row>
    <row r="20" spans="1:21" ht="20.100000000000001" hidden="1" customHeight="1">
      <c r="A20" s="708"/>
      <c r="B20" s="693" t="s">
        <v>438</v>
      </c>
      <c r="C20" s="694"/>
      <c r="D20" s="695">
        <v>0</v>
      </c>
      <c r="E20" s="696" t="s">
        <v>33</v>
      </c>
      <c r="F20" s="697">
        <f>IF(D20&lt;=0,0,+ข้อมูล!$L$79)</f>
        <v>0</v>
      </c>
      <c r="G20" s="697">
        <f>IF(D20&lt;=0,0,+'S2'!$BF$15)</f>
        <v>0</v>
      </c>
      <c r="H20" s="698">
        <f>ROUND(F20+G20,2)</f>
        <v>0</v>
      </c>
      <c r="I20" s="698">
        <f t="shared" si="3"/>
        <v>0</v>
      </c>
      <c r="J20" s="699">
        <f>IF(D20&gt;0,'S2'!$BL$31,0)</f>
        <v>0</v>
      </c>
      <c r="K20" s="700">
        <f t="shared" si="1"/>
        <v>0</v>
      </c>
      <c r="L20" s="700">
        <f t="shared" si="4"/>
        <v>0</v>
      </c>
      <c r="M20" s="700"/>
      <c r="N20" s="701"/>
      <c r="O20" s="693"/>
      <c r="P20" s="714"/>
      <c r="Q20" s="668" t="s">
        <v>346</v>
      </c>
      <c r="U20" s="666" t="s">
        <v>350</v>
      </c>
    </row>
    <row r="21" spans="1:21" ht="20.100000000000001" customHeight="1">
      <c r="A21" s="708"/>
      <c r="B21" s="694" t="s">
        <v>451</v>
      </c>
      <c r="C21" s="693"/>
      <c r="D21" s="695">
        <v>2377</v>
      </c>
      <c r="E21" s="696" t="s">
        <v>33</v>
      </c>
      <c r="F21" s="697">
        <f>IF(D21&lt;=0,0,+ข้อมูล!$L$84)</f>
        <v>6.82</v>
      </c>
      <c r="G21" s="697">
        <f>IF(D21&lt;=0,0,+'S2'!$BF$16)</f>
        <v>7.05</v>
      </c>
      <c r="H21" s="698">
        <f>ROUND(F21+G21,2)</f>
        <v>13.87</v>
      </c>
      <c r="I21" s="698">
        <f t="shared" si="3"/>
        <v>32968.99</v>
      </c>
      <c r="J21" s="699">
        <f>IF(D21&gt;0,'S2'!$BL$31,0)</f>
        <v>1.3365</v>
      </c>
      <c r="K21" s="700">
        <f t="shared" si="1"/>
        <v>18.53</v>
      </c>
      <c r="L21" s="700">
        <f t="shared" si="4"/>
        <v>44063.05</v>
      </c>
      <c r="M21" s="700"/>
      <c r="N21" s="701"/>
      <c r="O21" s="693"/>
      <c r="T21" s="666">
        <f>2350*2</f>
        <v>4700</v>
      </c>
      <c r="U21" s="666" t="s">
        <v>349</v>
      </c>
    </row>
    <row r="22" spans="1:21" ht="20.100000000000001" hidden="1" customHeight="1">
      <c r="A22" s="708"/>
      <c r="B22" s="693" t="s">
        <v>433</v>
      </c>
      <c r="C22" s="694"/>
      <c r="D22" s="695"/>
      <c r="E22" s="708"/>
      <c r="F22" s="698"/>
      <c r="G22" s="698"/>
      <c r="H22" s="698"/>
      <c r="I22" s="698"/>
      <c r="J22" s="699"/>
      <c r="K22" s="700"/>
      <c r="L22" s="700"/>
      <c r="M22" s="700"/>
      <c r="N22" s="701"/>
      <c r="O22" s="693"/>
    </row>
    <row r="23" spans="1:21" ht="20.100000000000001" hidden="1" customHeight="1">
      <c r="A23" s="708"/>
      <c r="B23" s="693" t="s">
        <v>458</v>
      </c>
      <c r="C23" s="694"/>
      <c r="D23" s="695">
        <v>0</v>
      </c>
      <c r="E23" s="696" t="s">
        <v>33</v>
      </c>
      <c r="F23" s="697">
        <f>IF(D23&lt;=0,0,ข้อมูล!L126)</f>
        <v>0</v>
      </c>
      <c r="G23" s="697">
        <f>IF(D23&lt;=0,0,+IF(N23=5,'S2'!$BF$19,IF(N23=4,'S2'!$BF$19*0.9,IF(N23=3.5,'S2'!$BF$19*0.85,IF(N23=3,'S2'!$BF$19*0.8)))))</f>
        <v>0</v>
      </c>
      <c r="H23" s="698">
        <f>ROUND(F23+G23,2)</f>
        <v>0</v>
      </c>
      <c r="I23" s="698">
        <f t="shared" si="3"/>
        <v>0</v>
      </c>
      <c r="J23" s="699">
        <f>IF(D23&gt;0,'S2'!$BL$31,0)</f>
        <v>0</v>
      </c>
      <c r="K23" s="700">
        <f t="shared" si="1"/>
        <v>0</v>
      </c>
      <c r="L23" s="700">
        <f t="shared" si="4"/>
        <v>0</v>
      </c>
      <c r="M23" s="712" t="s">
        <v>271</v>
      </c>
      <c r="N23" s="701">
        <f>ข้อมูล!F114</f>
        <v>4</v>
      </c>
      <c r="O23" s="713" t="s">
        <v>181</v>
      </c>
      <c r="P23" s="714"/>
    </row>
    <row r="24" spans="1:21" ht="20.100000000000001" hidden="1" customHeight="1">
      <c r="A24" s="708"/>
      <c r="B24" s="710" t="s">
        <v>439</v>
      </c>
      <c r="C24" s="694"/>
      <c r="D24" s="695">
        <v>0</v>
      </c>
      <c r="E24" s="696" t="s">
        <v>33</v>
      </c>
      <c r="F24" s="697">
        <f>IF(D24&lt;=0,0,ข้อมูล!L126)</f>
        <v>0</v>
      </c>
      <c r="G24" s="697">
        <f>IF(D24&lt;=0,0,+IF(N24=5,'S2'!$BF$20,IF(N24=4,'S2'!$BF$20*0.9,IF(N24=3.5,'S2'!$BF$20*0.85,IF(N24=3,'S2'!$BF$20*0.8)))))</f>
        <v>0</v>
      </c>
      <c r="H24" s="698">
        <f>ROUND(F24+G24,2)</f>
        <v>0</v>
      </c>
      <c r="I24" s="698">
        <f t="shared" si="3"/>
        <v>0</v>
      </c>
      <c r="J24" s="699">
        <f>IF(D24&gt;0,'S2'!$BL$31,0)</f>
        <v>0</v>
      </c>
      <c r="K24" s="700">
        <f t="shared" si="1"/>
        <v>0</v>
      </c>
      <c r="L24" s="700">
        <f t="shared" si="4"/>
        <v>0</v>
      </c>
      <c r="M24" s="712" t="s">
        <v>271</v>
      </c>
      <c r="N24" s="701">
        <f>$N$23</f>
        <v>4</v>
      </c>
      <c r="O24" s="713" t="s">
        <v>181</v>
      </c>
    </row>
    <row r="25" spans="1:21" ht="20.100000000000001" hidden="1" customHeight="1">
      <c r="A25" s="708"/>
      <c r="B25" s="694" t="s">
        <v>293</v>
      </c>
      <c r="C25" s="694"/>
      <c r="D25" s="695">
        <v>0</v>
      </c>
      <c r="E25" s="696" t="s">
        <v>33</v>
      </c>
      <c r="F25" s="697">
        <f>IF(D25&lt;=0,0,+ข้อมูล!$L$84)</f>
        <v>0</v>
      </c>
      <c r="G25" s="697">
        <f>IF(D25&lt;=0,0,+'S2'!$BF$16)</f>
        <v>0</v>
      </c>
      <c r="H25" s="698">
        <f t="shared" ref="H25:H26" si="5">ROUND(F25+G25,2)</f>
        <v>0</v>
      </c>
      <c r="I25" s="698">
        <f t="shared" si="3"/>
        <v>0</v>
      </c>
      <c r="J25" s="699">
        <f>IF(D25&gt;0,'S2'!$BL$31,0)</f>
        <v>0</v>
      </c>
      <c r="K25" s="700">
        <f t="shared" ref="K25:K26" si="6">ROUNDDOWN(H25*J25,2)</f>
        <v>0</v>
      </c>
      <c r="L25" s="700">
        <f t="shared" si="4"/>
        <v>0</v>
      </c>
      <c r="M25" s="712"/>
      <c r="N25" s="719"/>
      <c r="O25" s="713"/>
      <c r="Q25" s="720"/>
      <c r="R25" s="720"/>
    </row>
    <row r="26" spans="1:21" ht="20.100000000000001" customHeight="1">
      <c r="A26" s="708"/>
      <c r="B26" s="694" t="s">
        <v>294</v>
      </c>
      <c r="C26" s="694"/>
      <c r="D26" s="695">
        <v>2377</v>
      </c>
      <c r="E26" s="696" t="s">
        <v>33</v>
      </c>
      <c r="F26" s="697">
        <f>IF(D26&lt;=0,0,ข้อมูล!L126)</f>
        <v>173.35</v>
      </c>
      <c r="G26" s="697">
        <f>IF(D26&lt;=0,0,+IF(N26=5,'S2'!$BF$20,IF(N26=4,'S2'!$BF$20*0.9,IF(N26=3.5,'S2'!$BF$20*0.85,IF(N26=3,'S2'!$BF$20*0.8)))))</f>
        <v>10.566000000000001</v>
      </c>
      <c r="H26" s="698">
        <f t="shared" si="5"/>
        <v>183.92</v>
      </c>
      <c r="I26" s="698">
        <f t="shared" si="3"/>
        <v>437177.84</v>
      </c>
      <c r="J26" s="699">
        <f>IF(D26&gt;0,'S2'!$BL$31,0)</f>
        <v>1.3365</v>
      </c>
      <c r="K26" s="700">
        <f t="shared" si="6"/>
        <v>245.8</v>
      </c>
      <c r="L26" s="700">
        <f t="shared" si="4"/>
        <v>584288.18000000005</v>
      </c>
      <c r="M26" s="712" t="s">
        <v>271</v>
      </c>
      <c r="N26" s="719">
        <f>$N$23</f>
        <v>4</v>
      </c>
      <c r="O26" s="713" t="s">
        <v>181</v>
      </c>
    </row>
    <row r="27" spans="1:21" ht="20.100000000000001" hidden="1" customHeight="1">
      <c r="A27" s="708"/>
      <c r="B27" s="710"/>
      <c r="C27" s="694"/>
      <c r="D27" s="695"/>
      <c r="E27" s="696"/>
      <c r="F27" s="697"/>
      <c r="G27" s="697"/>
      <c r="H27" s="698"/>
      <c r="I27" s="698"/>
      <c r="J27" s="699"/>
      <c r="K27" s="700"/>
      <c r="L27" s="700"/>
      <c r="M27" s="712"/>
      <c r="N27" s="719"/>
      <c r="O27" s="713"/>
    </row>
    <row r="28" spans="1:21" ht="20.100000000000001" hidden="1" customHeight="1">
      <c r="A28" s="692"/>
      <c r="B28" s="721"/>
      <c r="C28" s="694"/>
      <c r="D28" s="695"/>
      <c r="E28" s="696"/>
      <c r="F28" s="698"/>
      <c r="G28" s="698"/>
      <c r="H28" s="698"/>
      <c r="I28" s="698"/>
      <c r="J28" s="699"/>
      <c r="K28" s="700"/>
      <c r="L28" s="700"/>
      <c r="M28" s="712"/>
      <c r="N28" s="719"/>
      <c r="O28" s="713"/>
    </row>
    <row r="29" spans="1:21" ht="20.100000000000001" hidden="1" customHeight="1">
      <c r="A29" s="708"/>
      <c r="B29" s="722" t="s">
        <v>49</v>
      </c>
      <c r="C29" s="694"/>
      <c r="D29" s="695">
        <v>0</v>
      </c>
      <c r="E29" s="696" t="s">
        <v>33</v>
      </c>
      <c r="F29" s="697">
        <f>IF(D29&lt;=0,0,+ข้อมูล!$L$79)</f>
        <v>0</v>
      </c>
      <c r="G29" s="697">
        <f>IF(D29&lt;=0,0,+'S2'!$BF$15)</f>
        <v>0</v>
      </c>
      <c r="H29" s="698">
        <f>ROUND(F29+G29,2)</f>
        <v>0</v>
      </c>
      <c r="I29" s="698">
        <f t="shared" si="3"/>
        <v>0</v>
      </c>
      <c r="J29" s="699">
        <f>IF(D29&gt;0,'S2'!$BL$31,0)</f>
        <v>0</v>
      </c>
      <c r="K29" s="700">
        <f t="shared" si="1"/>
        <v>0</v>
      </c>
      <c r="L29" s="700">
        <f t="shared" si="4"/>
        <v>0</v>
      </c>
      <c r="M29" s="712"/>
      <c r="N29" s="719"/>
      <c r="O29" s="713"/>
      <c r="P29" s="714"/>
    </row>
    <row r="30" spans="1:21" ht="20.100000000000001" hidden="1" customHeight="1">
      <c r="A30" s="708"/>
      <c r="B30" s="722" t="s">
        <v>290</v>
      </c>
      <c r="C30" s="694"/>
      <c r="D30" s="695">
        <v>0</v>
      </c>
      <c r="E30" s="696" t="s">
        <v>33</v>
      </c>
      <c r="F30" s="697">
        <f>IF(D30&lt;=0,0,+ข้อมูล!$L$84)</f>
        <v>0</v>
      </c>
      <c r="G30" s="697">
        <f>IF(D30&lt;=0,0,+'S2'!$BF$16)</f>
        <v>0</v>
      </c>
      <c r="H30" s="698">
        <f>ROUND(F30+G30,2)</f>
        <v>0</v>
      </c>
      <c r="I30" s="698">
        <f t="shared" si="3"/>
        <v>0</v>
      </c>
      <c r="J30" s="699">
        <f>IF(D30&gt;0,'S2'!$BL$31,0)</f>
        <v>0</v>
      </c>
      <c r="K30" s="700">
        <f t="shared" si="1"/>
        <v>0</v>
      </c>
      <c r="L30" s="700">
        <f t="shared" si="4"/>
        <v>0</v>
      </c>
      <c r="M30" s="712"/>
      <c r="N30" s="719"/>
      <c r="O30" s="713"/>
    </row>
    <row r="31" spans="1:21" ht="20.100000000000001" hidden="1" customHeight="1">
      <c r="A31" s="708"/>
      <c r="B31" s="693" t="s">
        <v>432</v>
      </c>
      <c r="C31" s="694"/>
      <c r="D31" s="695"/>
      <c r="E31" s="696"/>
      <c r="F31" s="697"/>
      <c r="G31" s="697"/>
      <c r="H31" s="698"/>
      <c r="I31" s="698"/>
      <c r="J31" s="699"/>
      <c r="K31" s="700"/>
      <c r="L31" s="700"/>
      <c r="M31" s="712"/>
      <c r="N31" s="719"/>
      <c r="O31" s="713"/>
    </row>
    <row r="32" spans="1:21" ht="20.100000000000001" hidden="1" customHeight="1">
      <c r="A32" s="708"/>
      <c r="B32" s="693" t="s">
        <v>367</v>
      </c>
      <c r="C32" s="694"/>
      <c r="D32" s="695">
        <v>0</v>
      </c>
      <c r="E32" s="696" t="s">
        <v>33</v>
      </c>
      <c r="F32" s="697">
        <f>IF(D32&lt;=0,0,ข้อมูล!L126)</f>
        <v>0</v>
      </c>
      <c r="G32" s="697">
        <f>IF(D32&lt;=0,0,+IF(N32=5,'S2'!$BF$19,IF(N32=4,'S2'!$BF$19*0.9,IF(N32=3.5,'S2'!$BF$19*0.85,IF(N32=3,'S2'!$BF$19*0.8)))))</f>
        <v>0</v>
      </c>
      <c r="H32" s="698">
        <f>ROUND(F32+G32,2)</f>
        <v>0</v>
      </c>
      <c r="I32" s="698">
        <f t="shared" si="3"/>
        <v>0</v>
      </c>
      <c r="J32" s="699">
        <f>IF(D32&gt;0,'S2'!$BL$31,0)</f>
        <v>0</v>
      </c>
      <c r="K32" s="700">
        <f t="shared" si="1"/>
        <v>0</v>
      </c>
      <c r="L32" s="700">
        <f t="shared" si="4"/>
        <v>0</v>
      </c>
      <c r="M32" s="712" t="s">
        <v>271</v>
      </c>
      <c r="N32" s="701">
        <f>N23</f>
        <v>4</v>
      </c>
      <c r="O32" s="713" t="s">
        <v>181</v>
      </c>
      <c r="P32" s="714"/>
    </row>
    <row r="33" spans="1:20" ht="20.100000000000001" hidden="1" customHeight="1">
      <c r="A33" s="708"/>
      <c r="B33" s="710" t="s">
        <v>351</v>
      </c>
      <c r="C33" s="694"/>
      <c r="D33" s="695">
        <v>0</v>
      </c>
      <c r="E33" s="696" t="s">
        <v>33</v>
      </c>
      <c r="F33" s="697">
        <f>IF(D33&lt;=0,0,ข้อมูล!L126)</f>
        <v>0</v>
      </c>
      <c r="G33" s="697">
        <f>IF(D33&lt;=0,0,+IF(N33=5,'S2'!$BF$20,IF(N33=4,'S2'!$BF$20*0.9,IF(N33=3.5,'S2'!$BF$20*0.85,IF(N33=3,'S2'!$BF$20*0.8)))))</f>
        <v>0</v>
      </c>
      <c r="H33" s="698">
        <f>ROUND(F33+G33,2)</f>
        <v>0</v>
      </c>
      <c r="I33" s="698">
        <f t="shared" si="3"/>
        <v>0</v>
      </c>
      <c r="J33" s="699">
        <f>IF(D33&gt;0,'S2'!$BL$31,0)</f>
        <v>0</v>
      </c>
      <c r="K33" s="700">
        <f t="shared" si="1"/>
        <v>0</v>
      </c>
      <c r="L33" s="700">
        <f t="shared" si="4"/>
        <v>0</v>
      </c>
      <c r="M33" s="712" t="s">
        <v>271</v>
      </c>
      <c r="N33" s="719">
        <f>$N$32</f>
        <v>4</v>
      </c>
      <c r="O33" s="713" t="s">
        <v>181</v>
      </c>
    </row>
    <row r="34" spans="1:20" ht="20.100000000000001" hidden="1" customHeight="1">
      <c r="A34" s="708"/>
      <c r="B34" s="694" t="s">
        <v>291</v>
      </c>
      <c r="C34" s="694"/>
      <c r="D34" s="695">
        <v>0</v>
      </c>
      <c r="E34" s="696" t="s">
        <v>33</v>
      </c>
      <c r="F34" s="697">
        <f>IF(D34&lt;=0,0,+ข้อมูล!$L$84)</f>
        <v>0</v>
      </c>
      <c r="G34" s="697">
        <f>IF(D34&lt;=0,0,+'S2'!$BF$16)</f>
        <v>0</v>
      </c>
      <c r="H34" s="698">
        <f t="shared" ref="H34:H35" si="7">ROUND(F34+G34,2)</f>
        <v>0</v>
      </c>
      <c r="I34" s="698">
        <f t="shared" si="3"/>
        <v>0</v>
      </c>
      <c r="J34" s="699">
        <f>IF(D34&gt;0,'S2'!$BL$31,0)</f>
        <v>0</v>
      </c>
      <c r="K34" s="700">
        <f t="shared" ref="K34:K35" si="8">ROUNDDOWN(H34*J34,2)</f>
        <v>0</v>
      </c>
      <c r="L34" s="700">
        <f t="shared" si="4"/>
        <v>0</v>
      </c>
      <c r="M34" s="712"/>
      <c r="N34" s="719"/>
      <c r="O34" s="713"/>
    </row>
    <row r="35" spans="1:20" ht="20.100000000000001" hidden="1" customHeight="1">
      <c r="A35" s="708"/>
      <c r="B35" s="694" t="s">
        <v>292</v>
      </c>
      <c r="C35" s="694"/>
      <c r="D35" s="695">
        <v>0</v>
      </c>
      <c r="E35" s="696" t="s">
        <v>33</v>
      </c>
      <c r="F35" s="697">
        <f>IF(D35&lt;=0,0,ข้อมูล!L126)</f>
        <v>0</v>
      </c>
      <c r="G35" s="697">
        <f>IF(D35&lt;=0,0,+IF(N35=5,'S2'!$BF$20,IF(N35=4,'S2'!$BF$20*0.9,IF(N35=3.5,'S2'!$BF$20*0.85,IF(N35=3,'S2'!$BF$20*0.8)))))</f>
        <v>0</v>
      </c>
      <c r="H35" s="698">
        <f t="shared" si="7"/>
        <v>0</v>
      </c>
      <c r="I35" s="698">
        <f t="shared" si="3"/>
        <v>0</v>
      </c>
      <c r="J35" s="699">
        <f>IF(D35&gt;0,'S2'!$BL$31,0)</f>
        <v>0</v>
      </c>
      <c r="K35" s="700">
        <f t="shared" si="8"/>
        <v>0</v>
      </c>
      <c r="L35" s="700">
        <f t="shared" si="4"/>
        <v>0</v>
      </c>
      <c r="M35" s="712" t="s">
        <v>271</v>
      </c>
      <c r="N35" s="719">
        <f>$N$32</f>
        <v>4</v>
      </c>
      <c r="O35" s="713" t="s">
        <v>181</v>
      </c>
    </row>
    <row r="36" spans="1:20" ht="20.100000000000001" hidden="1" customHeight="1">
      <c r="A36" s="708"/>
      <c r="B36" s="710"/>
      <c r="C36" s="694"/>
      <c r="D36" s="695"/>
      <c r="E36" s="696"/>
      <c r="F36" s="697"/>
      <c r="G36" s="697"/>
      <c r="H36" s="698"/>
      <c r="I36" s="698"/>
      <c r="J36" s="699"/>
      <c r="K36" s="700"/>
      <c r="L36" s="700"/>
      <c r="M36" s="700"/>
      <c r="N36" s="701"/>
      <c r="O36" s="693"/>
    </row>
    <row r="37" spans="1:20" ht="20.100000000000001" hidden="1" customHeight="1">
      <c r="A37" s="708"/>
      <c r="B37" s="694" t="s">
        <v>296</v>
      </c>
      <c r="C37" s="694"/>
      <c r="D37" s="695">
        <v>0</v>
      </c>
      <c r="E37" s="696" t="s">
        <v>33</v>
      </c>
      <c r="F37" s="697">
        <f>IF(D37&lt;=0,0,+ข้อมูล!$L$84)</f>
        <v>0</v>
      </c>
      <c r="G37" s="697">
        <f>IF(D37&lt;=0,0,+'S2'!$BF$16)</f>
        <v>0</v>
      </c>
      <c r="H37" s="698">
        <f t="shared" ref="H37:H38" si="9">ROUND(F37+G37,2)</f>
        <v>0</v>
      </c>
      <c r="I37" s="698">
        <f t="shared" si="3"/>
        <v>0</v>
      </c>
      <c r="J37" s="699">
        <f>IF(D37&gt;0,'S2'!$BL$31,0)</f>
        <v>0</v>
      </c>
      <c r="K37" s="700">
        <f t="shared" ref="K37:K38" si="10">ROUNDDOWN(H37*J37,2)</f>
        <v>0</v>
      </c>
      <c r="L37" s="700">
        <f t="shared" si="4"/>
        <v>0</v>
      </c>
      <c r="M37" s="712"/>
      <c r="N37" s="719"/>
      <c r="O37" s="713"/>
    </row>
    <row r="38" spans="1:20" ht="20.100000000000001" hidden="1" customHeight="1">
      <c r="A38" s="708"/>
      <c r="B38" s="694" t="s">
        <v>295</v>
      </c>
      <c r="C38" s="694"/>
      <c r="D38" s="695">
        <v>0</v>
      </c>
      <c r="E38" s="696" t="s">
        <v>33</v>
      </c>
      <c r="F38" s="697">
        <f>IF(D38&lt;=0,0,ข้อมูล!L126)</f>
        <v>0</v>
      </c>
      <c r="G38" s="697">
        <f>IF(D38&lt;=0,0,+IF(N38=5,'S2'!$BF$20,IF(N38=4,'S2'!$BF$20*0.9,IF(N38=3.5,'S2'!$BF$20*0.85,IF(N38=3,'S2'!$BF$20*0.8)))))</f>
        <v>0</v>
      </c>
      <c r="H38" s="698">
        <f t="shared" si="9"/>
        <v>0</v>
      </c>
      <c r="I38" s="698">
        <f t="shared" si="3"/>
        <v>0</v>
      </c>
      <c r="J38" s="699">
        <f>IF(D38&gt;0,'S2'!$BL$31,0)</f>
        <v>0</v>
      </c>
      <c r="K38" s="700">
        <f t="shared" si="10"/>
        <v>0</v>
      </c>
      <c r="L38" s="700">
        <f t="shared" si="4"/>
        <v>0</v>
      </c>
      <c r="M38" s="712" t="s">
        <v>271</v>
      </c>
      <c r="N38" s="719">
        <f>$N$32</f>
        <v>4</v>
      </c>
      <c r="O38" s="713" t="s">
        <v>181</v>
      </c>
    </row>
    <row r="39" spans="1:20" ht="20.100000000000001" hidden="1" customHeight="1">
      <c r="A39" s="708"/>
      <c r="C39" s="694"/>
      <c r="D39" s="695"/>
      <c r="E39" s="696"/>
      <c r="F39" s="697"/>
      <c r="G39" s="697"/>
      <c r="H39" s="698"/>
      <c r="I39" s="698"/>
      <c r="J39" s="699"/>
      <c r="K39" s="700"/>
      <c r="L39" s="700"/>
      <c r="M39" s="700"/>
      <c r="N39" s="701"/>
      <c r="O39" s="693"/>
    </row>
    <row r="40" spans="1:20" ht="20.100000000000001" customHeight="1">
      <c r="A40" s="692">
        <v>3</v>
      </c>
      <c r="B40" s="723" t="s">
        <v>35</v>
      </c>
      <c r="C40" s="694"/>
      <c r="D40" s="695"/>
      <c r="E40" s="708"/>
      <c r="F40" s="698"/>
      <c r="G40" s="698"/>
      <c r="H40" s="698"/>
      <c r="I40" s="698"/>
      <c r="J40" s="699"/>
      <c r="K40" s="700"/>
      <c r="L40" s="700"/>
      <c r="M40" s="700"/>
      <c r="N40" s="701"/>
      <c r="O40" s="693"/>
    </row>
    <row r="41" spans="1:20" ht="20.100000000000001" customHeight="1">
      <c r="A41" s="708"/>
      <c r="B41" s="710" t="s">
        <v>443</v>
      </c>
      <c r="C41" s="694"/>
      <c r="D41" s="695">
        <v>120</v>
      </c>
      <c r="E41" s="696" t="s">
        <v>33</v>
      </c>
      <c r="F41" s="697">
        <f>IF(D41&lt;=0,0,)</f>
        <v>0</v>
      </c>
      <c r="G41" s="697">
        <f>IF(D41&lt;=0,0,)</f>
        <v>0</v>
      </c>
      <c r="H41" s="724">
        <f>ROUND(IF(D41&lt;=0,0,290),2)</f>
        <v>290</v>
      </c>
      <c r="I41" s="698">
        <f t="shared" si="3"/>
        <v>34800</v>
      </c>
      <c r="J41" s="699">
        <f>IF(D41&gt;0,'S2'!$BL$31,0)</f>
        <v>1.3365</v>
      </c>
      <c r="K41" s="700">
        <f t="shared" si="1"/>
        <v>387.58</v>
      </c>
      <c r="L41" s="700">
        <f t="shared" si="4"/>
        <v>46510.2</v>
      </c>
      <c r="M41" s="835" t="s">
        <v>483</v>
      </c>
      <c r="N41" s="836"/>
      <c r="O41" s="837"/>
      <c r="P41" s="714"/>
      <c r="Q41" s="668" t="s">
        <v>353</v>
      </c>
      <c r="T41" s="668">
        <f>2350*0.24</f>
        <v>564</v>
      </c>
    </row>
    <row r="42" spans="1:20" ht="20.100000000000001" hidden="1" customHeight="1">
      <c r="A42" s="708"/>
      <c r="B42" s="725" t="s">
        <v>444</v>
      </c>
      <c r="C42" s="694"/>
      <c r="D42" s="726">
        <v>0</v>
      </c>
      <c r="E42" s="696" t="s">
        <v>33</v>
      </c>
      <c r="F42" s="697">
        <f>IF(D42&lt;=0,0,)</f>
        <v>0</v>
      </c>
      <c r="G42" s="697">
        <f>IF(D42&lt;=0,0,)</f>
        <v>0</v>
      </c>
      <c r="H42" s="724">
        <f>ROUND(IF(D42&lt;=0,0,410),2)</f>
        <v>0</v>
      </c>
      <c r="I42" s="698">
        <f t="shared" si="3"/>
        <v>0</v>
      </c>
      <c r="J42" s="699">
        <f>IF(D42&gt;0,'S2'!$BL$31,0)</f>
        <v>0</v>
      </c>
      <c r="K42" s="700">
        <f t="shared" si="1"/>
        <v>0</v>
      </c>
      <c r="L42" s="700">
        <f t="shared" si="4"/>
        <v>0</v>
      </c>
      <c r="M42" s="700"/>
      <c r="N42" s="694"/>
      <c r="O42" s="693"/>
      <c r="Q42" s="668" t="s">
        <v>352</v>
      </c>
    </row>
    <row r="43" spans="1:20" ht="20.100000000000001" hidden="1" customHeight="1">
      <c r="A43" s="708"/>
      <c r="B43" s="725" t="s">
        <v>289</v>
      </c>
      <c r="C43" s="694"/>
      <c r="D43" s="695">
        <v>0</v>
      </c>
      <c r="E43" s="727" t="s">
        <v>124</v>
      </c>
      <c r="F43" s="697">
        <f>IF(D43&lt;=0,0,)</f>
        <v>0</v>
      </c>
      <c r="G43" s="697">
        <f>IF(D43&lt;=0,0,)</f>
        <v>0</v>
      </c>
      <c r="H43" s="724">
        <f>ROUND(IF(D43&lt;=0,0,2510),2)</f>
        <v>0</v>
      </c>
      <c r="I43" s="698">
        <f t="shared" si="3"/>
        <v>0</v>
      </c>
      <c r="J43" s="699">
        <f>IF(D43&gt;0,'S2'!$BL$31,0)</f>
        <v>0</v>
      </c>
      <c r="K43" s="700">
        <f t="shared" si="1"/>
        <v>0</v>
      </c>
      <c r="L43" s="700">
        <f t="shared" si="4"/>
        <v>0</v>
      </c>
      <c r="M43" s="700"/>
      <c r="N43" s="694"/>
      <c r="O43" s="693"/>
    </row>
    <row r="44" spans="1:20" ht="20.100000000000001" hidden="1" customHeight="1">
      <c r="A44" s="708"/>
      <c r="B44" s="722"/>
      <c r="C44" s="694"/>
      <c r="D44" s="695"/>
      <c r="E44" s="696"/>
      <c r="F44" s="697"/>
      <c r="G44" s="697"/>
      <c r="H44" s="698"/>
      <c r="I44" s="698"/>
      <c r="J44" s="700"/>
      <c r="K44" s="700"/>
      <c r="L44" s="700"/>
      <c r="M44" s="700"/>
      <c r="N44" s="694"/>
      <c r="O44" s="693"/>
    </row>
    <row r="45" spans="1:20" ht="20.100000000000001" hidden="1" customHeight="1">
      <c r="A45" s="708"/>
      <c r="B45" s="722"/>
      <c r="C45" s="694"/>
      <c r="D45" s="695"/>
      <c r="E45" s="696"/>
      <c r="F45" s="697"/>
      <c r="G45" s="697"/>
      <c r="H45" s="698"/>
      <c r="I45" s="698"/>
      <c r="J45" s="700"/>
      <c r="K45" s="700"/>
      <c r="L45" s="700"/>
      <c r="M45" s="700"/>
      <c r="N45" s="694"/>
      <c r="O45" s="693"/>
    </row>
    <row r="46" spans="1:20" ht="20.100000000000001" hidden="1" customHeight="1">
      <c r="A46" s="708"/>
      <c r="B46" s="728"/>
      <c r="C46" s="683"/>
      <c r="D46" s="695"/>
      <c r="E46" s="696"/>
      <c r="F46" s="697"/>
      <c r="G46" s="697"/>
      <c r="H46" s="697"/>
      <c r="I46" s="698"/>
      <c r="J46" s="700"/>
      <c r="K46" s="700"/>
      <c r="L46" s="700"/>
      <c r="M46" s="700"/>
      <c r="N46" s="694"/>
      <c r="O46" s="693"/>
      <c r="P46" s="711"/>
      <c r="Q46" s="669"/>
      <c r="R46" s="669"/>
      <c r="S46" s="694"/>
    </row>
    <row r="47" spans="1:20" hidden="1">
      <c r="A47" s="729"/>
      <c r="B47" s="730"/>
      <c r="C47" s="731" t="s">
        <v>139</v>
      </c>
      <c r="D47" s="732"/>
      <c r="E47" s="732"/>
      <c r="F47" s="732"/>
      <c r="G47" s="732"/>
      <c r="H47" s="732"/>
      <c r="I47" s="733">
        <f>SUM(I6:I46)</f>
        <v>504946.83</v>
      </c>
      <c r="J47" s="734"/>
      <c r="K47" s="734"/>
      <c r="L47" s="734">
        <f>SUM(L6:L46)</f>
        <v>674861.43</v>
      </c>
      <c r="M47" s="734"/>
      <c r="N47" s="735"/>
      <c r="O47" s="736"/>
    </row>
    <row r="48" spans="1:20" hidden="1">
      <c r="A48" s="694"/>
      <c r="C48" s="737"/>
      <c r="D48" s="694"/>
      <c r="E48" s="694"/>
      <c r="F48" s="694"/>
      <c r="G48" s="694"/>
      <c r="H48" s="694"/>
      <c r="I48" s="738"/>
      <c r="J48" s="738"/>
      <c r="K48" s="738"/>
      <c r="L48" s="738"/>
      <c r="M48" s="738"/>
      <c r="N48" s="694"/>
      <c r="O48" s="694"/>
    </row>
    <row r="49" spans="1:15" ht="21.75" hidden="1" customHeight="1">
      <c r="A49" s="821" t="s">
        <v>339</v>
      </c>
      <c r="B49" s="821"/>
      <c r="C49" s="821"/>
      <c r="D49" s="821"/>
      <c r="E49" s="821"/>
      <c r="F49" s="821"/>
      <c r="G49" s="821"/>
      <c r="H49" s="821"/>
      <c r="I49" s="821"/>
      <c r="J49" s="821"/>
      <c r="K49" s="821"/>
      <c r="L49" s="821"/>
      <c r="M49" s="821"/>
      <c r="N49" s="821"/>
    </row>
    <row r="50" spans="1:15" hidden="1">
      <c r="B50" s="669" t="s">
        <v>39</v>
      </c>
      <c r="C50" s="670">
        <f>C2</f>
        <v>0</v>
      </c>
      <c r="D50" s="668"/>
      <c r="G50" s="668" t="s">
        <v>23</v>
      </c>
      <c r="I50" s="666" t="str">
        <f>$I$2</f>
        <v>สายภายในศาลากลางจังหวัดเพชรบุรี</v>
      </c>
    </row>
    <row r="51" spans="1:15" ht="21.75" hidden="1" customHeight="1">
      <c r="B51" s="669" t="s">
        <v>40</v>
      </c>
      <c r="C51" s="670" t="str">
        <f>C3</f>
        <v>อำเภอเมือง จังหวัดเพชรบุรี</v>
      </c>
      <c r="E51" s="739"/>
      <c r="F51" s="739"/>
      <c r="G51" s="668" t="s">
        <v>254</v>
      </c>
      <c r="I51" s="194">
        <f>$I$3</f>
        <v>0.251</v>
      </c>
      <c r="J51" s="670" t="s">
        <v>41</v>
      </c>
      <c r="K51" s="670"/>
      <c r="L51" s="670"/>
      <c r="M51" s="670"/>
    </row>
    <row r="52" spans="1:15" ht="20.100000000000001" hidden="1" customHeight="1">
      <c r="A52" s="673" t="s">
        <v>0</v>
      </c>
      <c r="B52" s="674"/>
      <c r="C52" s="675" t="s">
        <v>42</v>
      </c>
      <c r="D52" s="673" t="s">
        <v>24</v>
      </c>
      <c r="E52" s="673" t="s">
        <v>25</v>
      </c>
      <c r="F52" s="813" t="s">
        <v>26</v>
      </c>
      <c r="G52" s="814"/>
      <c r="H52" s="815"/>
      <c r="I52" s="673" t="s">
        <v>27</v>
      </c>
      <c r="J52" s="838" t="s">
        <v>2</v>
      </c>
      <c r="K52" s="813" t="s">
        <v>264</v>
      </c>
      <c r="L52" s="815"/>
      <c r="M52" s="827" t="s">
        <v>20</v>
      </c>
      <c r="N52" s="828"/>
      <c r="O52" s="829"/>
    </row>
    <row r="53" spans="1:15" ht="20.100000000000001" hidden="1" customHeight="1">
      <c r="A53" s="676"/>
      <c r="B53" s="677"/>
      <c r="C53" s="678"/>
      <c r="D53" s="676"/>
      <c r="E53" s="676"/>
      <c r="F53" s="679" t="s">
        <v>28</v>
      </c>
      <c r="G53" s="679" t="s">
        <v>29</v>
      </c>
      <c r="H53" s="679" t="s">
        <v>30</v>
      </c>
      <c r="I53" s="676" t="s">
        <v>31</v>
      </c>
      <c r="J53" s="838"/>
      <c r="K53" s="680" t="s">
        <v>265</v>
      </c>
      <c r="L53" s="679" t="s">
        <v>30</v>
      </c>
      <c r="M53" s="677"/>
      <c r="N53" s="682"/>
      <c r="O53" s="683"/>
    </row>
    <row r="54" spans="1:15" ht="20.100000000000001" hidden="1" customHeight="1">
      <c r="A54" s="696"/>
      <c r="B54" s="740"/>
      <c r="C54" s="741" t="s">
        <v>140</v>
      </c>
      <c r="D54" s="696"/>
      <c r="E54" s="696"/>
      <c r="F54" s="696"/>
      <c r="G54" s="696"/>
      <c r="H54" s="696"/>
      <c r="I54" s="742">
        <f>I47</f>
        <v>504946.83</v>
      </c>
      <c r="J54" s="743"/>
      <c r="K54" s="743"/>
      <c r="L54" s="742">
        <f>L47</f>
        <v>674861.43</v>
      </c>
      <c r="M54" s="710"/>
      <c r="N54" s="694"/>
      <c r="O54" s="693"/>
    </row>
    <row r="55" spans="1:15" ht="20.100000000000001" hidden="1" customHeight="1">
      <c r="A55" s="692">
        <v>5</v>
      </c>
      <c r="B55" s="723" t="s">
        <v>36</v>
      </c>
      <c r="C55" s="694"/>
      <c r="D55" s="695"/>
      <c r="E55" s="708"/>
      <c r="F55" s="698"/>
      <c r="G55" s="698"/>
      <c r="H55" s="698"/>
      <c r="I55" s="698"/>
      <c r="J55" s="700"/>
      <c r="K55" s="700"/>
      <c r="L55" s="700"/>
      <c r="M55" s="700"/>
      <c r="N55" s="694"/>
      <c r="O55" s="693"/>
    </row>
    <row r="56" spans="1:15" ht="20.100000000000001" hidden="1" customHeight="1">
      <c r="A56" s="708"/>
      <c r="B56" s="723" t="s">
        <v>457</v>
      </c>
      <c r="C56" s="694"/>
      <c r="D56" s="695"/>
      <c r="E56" s="696"/>
      <c r="F56" s="698"/>
      <c r="G56" s="698"/>
      <c r="H56" s="698"/>
      <c r="I56" s="698"/>
      <c r="J56" s="700"/>
      <c r="K56" s="700"/>
      <c r="L56" s="700"/>
      <c r="M56" s="700"/>
      <c r="N56" s="716"/>
      <c r="O56" s="704"/>
    </row>
    <row r="57" spans="1:15" ht="20.100000000000001" hidden="1" customHeight="1">
      <c r="A57" s="708"/>
      <c r="B57" s="744" t="s">
        <v>297</v>
      </c>
      <c r="C57" s="694"/>
      <c r="D57" s="695">
        <v>0</v>
      </c>
      <c r="E57" s="727" t="s">
        <v>38</v>
      </c>
      <c r="F57" s="697">
        <f>IF(D57&lt;=0,0,90)</f>
        <v>0</v>
      </c>
      <c r="G57" s="697">
        <f>IF(D57&lt;=0,0,20)</f>
        <v>0</v>
      </c>
      <c r="H57" s="698">
        <f>ROUND(F57+G57,2)</f>
        <v>0</v>
      </c>
      <c r="I57" s="698">
        <f t="shared" ref="I57:I90" si="11">ROUNDDOWN(D57*H57,2)</f>
        <v>0</v>
      </c>
      <c r="J57" s="699">
        <f>IF(D57&gt;0,'S2'!$BL$31,0)</f>
        <v>0</v>
      </c>
      <c r="K57" s="700">
        <f t="shared" ref="K57:K61" si="12">ROUNDDOWN(H57*J57,2)</f>
        <v>0</v>
      </c>
      <c r="L57" s="700">
        <f t="shared" ref="L57:L90" si="13">ROUNDDOWN(I57*J57,2)</f>
        <v>0</v>
      </c>
      <c r="M57" s="700"/>
      <c r="N57" s="694"/>
      <c r="O57" s="693"/>
    </row>
    <row r="58" spans="1:15" ht="20.100000000000001" hidden="1" customHeight="1">
      <c r="A58" s="708"/>
      <c r="B58" s="744" t="s">
        <v>445</v>
      </c>
      <c r="C58" s="694"/>
      <c r="D58" s="695">
        <v>0</v>
      </c>
      <c r="E58" s="727" t="s">
        <v>38</v>
      </c>
      <c r="F58" s="697">
        <f>IF(D58&lt;=0,0,325)</f>
        <v>0</v>
      </c>
      <c r="G58" s="697">
        <f>IF(D58&lt;=0,0,75)</f>
        <v>0</v>
      </c>
      <c r="H58" s="698">
        <f>ROUND(F58+G58,2)</f>
        <v>0</v>
      </c>
      <c r="I58" s="698">
        <f t="shared" si="11"/>
        <v>0</v>
      </c>
      <c r="J58" s="699">
        <f>IF(D58&gt;0,'S2'!$BL$31,0)</f>
        <v>0</v>
      </c>
      <c r="K58" s="700">
        <f t="shared" si="12"/>
        <v>0</v>
      </c>
      <c r="L58" s="700">
        <f t="shared" si="13"/>
        <v>0</v>
      </c>
      <c r="M58" s="700"/>
      <c r="N58" s="694"/>
      <c r="O58" s="693"/>
    </row>
    <row r="59" spans="1:15" ht="20.100000000000001" hidden="1" customHeight="1">
      <c r="A59" s="708"/>
      <c r="B59" s="744" t="s">
        <v>446</v>
      </c>
      <c r="C59" s="694"/>
      <c r="D59" s="695">
        <v>0</v>
      </c>
      <c r="E59" s="727" t="s">
        <v>37</v>
      </c>
      <c r="F59" s="697">
        <f>IF(D59&lt;=0,0,)</f>
        <v>0</v>
      </c>
      <c r="G59" s="697">
        <f>IF(D59&lt;=0,0,)</f>
        <v>0</v>
      </c>
      <c r="H59" s="697">
        <f>ROUND(IF(D59&lt;=0,0,200),2)</f>
        <v>0</v>
      </c>
      <c r="I59" s="698">
        <f t="shared" si="11"/>
        <v>0</v>
      </c>
      <c r="J59" s="699">
        <f>IF(D59&gt;0,'S2'!$BL$31,0)</f>
        <v>0</v>
      </c>
      <c r="K59" s="700">
        <f t="shared" si="12"/>
        <v>0</v>
      </c>
      <c r="L59" s="700">
        <f t="shared" si="13"/>
        <v>0</v>
      </c>
      <c r="M59" s="700"/>
      <c r="N59" s="694"/>
      <c r="O59" s="693"/>
    </row>
    <row r="60" spans="1:15" ht="20.100000000000001" hidden="1" customHeight="1">
      <c r="A60" s="708"/>
      <c r="B60" s="744" t="s">
        <v>298</v>
      </c>
      <c r="C60" s="694"/>
      <c r="D60" s="695">
        <v>0</v>
      </c>
      <c r="E60" s="727" t="s">
        <v>50</v>
      </c>
      <c r="F60" s="697">
        <f>IF(D60&lt;=0,0,)</f>
        <v>0</v>
      </c>
      <c r="G60" s="697">
        <f>IF(D60&lt;=0,0,)</f>
        <v>0</v>
      </c>
      <c r="H60" s="697">
        <f>ROUND(IF(D60&lt;=0,0,100),2)</f>
        <v>0</v>
      </c>
      <c r="I60" s="698">
        <f t="shared" si="11"/>
        <v>0</v>
      </c>
      <c r="J60" s="699">
        <f>IF(D60&gt;0,'S2'!$BL$31,0)</f>
        <v>0</v>
      </c>
      <c r="K60" s="700">
        <f t="shared" si="12"/>
        <v>0</v>
      </c>
      <c r="L60" s="700">
        <f t="shared" si="13"/>
        <v>0</v>
      </c>
      <c r="M60" s="700"/>
      <c r="N60" s="694"/>
      <c r="O60" s="693"/>
    </row>
    <row r="61" spans="1:15" ht="20.100000000000001" hidden="1" customHeight="1">
      <c r="A61" s="708"/>
      <c r="B61" s="744" t="s">
        <v>447</v>
      </c>
      <c r="D61" s="695">
        <v>0</v>
      </c>
      <c r="E61" s="745" t="s">
        <v>124</v>
      </c>
      <c r="F61" s="697">
        <f t="shared" ref="F61" si="14">IF(D61&lt;=0,0,)</f>
        <v>0</v>
      </c>
      <c r="G61" s="697">
        <f t="shared" ref="G61" si="15">IF(D61&lt;=0,0,)</f>
        <v>0</v>
      </c>
      <c r="H61" s="724">
        <f>ROUND(IF(D61&lt;=0,0,5000),2)</f>
        <v>0</v>
      </c>
      <c r="I61" s="698">
        <f t="shared" si="11"/>
        <v>0</v>
      </c>
      <c r="J61" s="699">
        <f>IF(D61&gt;0,'S2'!$BL$31,0)</f>
        <v>0</v>
      </c>
      <c r="K61" s="700">
        <f t="shared" si="12"/>
        <v>0</v>
      </c>
      <c r="L61" s="700">
        <f t="shared" si="13"/>
        <v>0</v>
      </c>
      <c r="M61" s="700"/>
      <c r="N61" s="694"/>
      <c r="O61" s="693"/>
    </row>
    <row r="62" spans="1:15" ht="20.100000000000001" hidden="1" customHeight="1">
      <c r="A62" s="708"/>
      <c r="B62" s="746" t="s">
        <v>479</v>
      </c>
      <c r="C62" s="694"/>
      <c r="D62" s="747"/>
      <c r="E62" s="696"/>
      <c r="F62" s="698"/>
      <c r="G62" s="698"/>
      <c r="H62" s="698"/>
      <c r="I62" s="698">
        <f t="shared" si="11"/>
        <v>0</v>
      </c>
      <c r="J62" s="700"/>
      <c r="K62" s="700"/>
      <c r="L62" s="700">
        <f t="shared" si="13"/>
        <v>0</v>
      </c>
      <c r="M62" s="700"/>
      <c r="N62" s="694"/>
      <c r="O62" s="693"/>
    </row>
    <row r="63" spans="1:15" ht="20.100000000000001" hidden="1" customHeight="1">
      <c r="A63" s="708"/>
      <c r="B63" s="744" t="s">
        <v>453</v>
      </c>
      <c r="C63" s="694"/>
      <c r="D63" s="695">
        <v>0</v>
      </c>
      <c r="E63" s="727" t="s">
        <v>37</v>
      </c>
      <c r="F63" s="697">
        <f t="shared" ref="F63:F89" si="16">IF(D63&lt;=0,0,)</f>
        <v>0</v>
      </c>
      <c r="G63" s="697">
        <f t="shared" ref="G63:G89" si="17">IF(D63&lt;=0,0,)</f>
        <v>0</v>
      </c>
      <c r="H63" s="724">
        <f>ROUND(IF(D63&lt;=0,0,11760),2)</f>
        <v>0</v>
      </c>
      <c r="I63" s="698">
        <f t="shared" si="11"/>
        <v>0</v>
      </c>
      <c r="J63" s="699">
        <f>IF(D63&gt;0,'S2'!$BL$31,0)</f>
        <v>0</v>
      </c>
      <c r="K63" s="700">
        <f t="shared" ref="K63:K90" si="18">ROUNDDOWN(H63*J63,2)</f>
        <v>0</v>
      </c>
      <c r="L63" s="700">
        <f t="shared" si="13"/>
        <v>0</v>
      </c>
      <c r="M63" s="700"/>
      <c r="N63" s="825"/>
      <c r="O63" s="826"/>
    </row>
    <row r="64" spans="1:15" ht="20.100000000000001" hidden="1" customHeight="1">
      <c r="A64" s="708"/>
      <c r="B64" s="744" t="s">
        <v>476</v>
      </c>
      <c r="C64" s="694"/>
      <c r="D64" s="695">
        <v>0</v>
      </c>
      <c r="E64" s="727" t="s">
        <v>37</v>
      </c>
      <c r="F64" s="697">
        <f t="shared" ref="F64" si="19">IF(D64&lt;=0,0,)</f>
        <v>0</v>
      </c>
      <c r="G64" s="697">
        <f t="shared" ref="G64" si="20">IF(D64&lt;=0,0,)</f>
        <v>0</v>
      </c>
      <c r="H64" s="724">
        <f>ROUND(IF(D64&lt;=0,0,11760),2)</f>
        <v>0</v>
      </c>
      <c r="I64" s="698">
        <f t="shared" ref="I64" si="21">ROUNDDOWN(D64*H64,2)</f>
        <v>0</v>
      </c>
      <c r="J64" s="699">
        <f>IF(D64&gt;0,'S2'!$BL$31,0)</f>
        <v>0</v>
      </c>
      <c r="K64" s="700">
        <f t="shared" ref="K64" si="22">ROUNDDOWN(H64*J64,2)</f>
        <v>0</v>
      </c>
      <c r="L64" s="700">
        <f t="shared" ref="L64" si="23">ROUNDDOWN(I64*J64,2)</f>
        <v>0</v>
      </c>
      <c r="M64" s="700"/>
      <c r="N64" s="748"/>
      <c r="O64" s="749"/>
    </row>
    <row r="65" spans="1:16" ht="20.100000000000001" hidden="1" customHeight="1">
      <c r="A65" s="708"/>
      <c r="B65" s="744" t="s">
        <v>460</v>
      </c>
      <c r="C65" s="694"/>
      <c r="D65" s="750">
        <v>0</v>
      </c>
      <c r="E65" s="727" t="s">
        <v>37</v>
      </c>
      <c r="F65" s="697">
        <f t="shared" si="16"/>
        <v>0</v>
      </c>
      <c r="G65" s="697">
        <f t="shared" si="17"/>
        <v>0</v>
      </c>
      <c r="H65" s="724">
        <f>ROUND(IF(D65&lt;=0,0,4680),2)</f>
        <v>0</v>
      </c>
      <c r="I65" s="698">
        <f t="shared" si="11"/>
        <v>0</v>
      </c>
      <c r="J65" s="699">
        <f>IF(D65&gt;0,'S2'!$BL$31,0)</f>
        <v>0</v>
      </c>
      <c r="K65" s="700">
        <f t="shared" si="18"/>
        <v>0</v>
      </c>
      <c r="L65" s="700">
        <f t="shared" si="13"/>
        <v>0</v>
      </c>
      <c r="M65" s="822"/>
      <c r="N65" s="823"/>
      <c r="O65" s="824"/>
    </row>
    <row r="66" spans="1:16" ht="20.100000000000001" hidden="1" customHeight="1">
      <c r="A66" s="708"/>
      <c r="B66" s="725" t="s">
        <v>299</v>
      </c>
      <c r="C66" s="694"/>
      <c r="D66" s="751">
        <v>0</v>
      </c>
      <c r="E66" s="727" t="s">
        <v>37</v>
      </c>
      <c r="F66" s="697">
        <f t="shared" si="16"/>
        <v>0</v>
      </c>
      <c r="G66" s="697">
        <f t="shared" si="17"/>
        <v>0</v>
      </c>
      <c r="H66" s="724">
        <f>ROUND(IF(D66&lt;=0,0,2580),2)</f>
        <v>0</v>
      </c>
      <c r="I66" s="698">
        <f t="shared" si="11"/>
        <v>0</v>
      </c>
      <c r="J66" s="699">
        <f>IF(D66&gt;0,'S2'!$BL$31,0)</f>
        <v>0</v>
      </c>
      <c r="K66" s="700">
        <f t="shared" si="18"/>
        <v>0</v>
      </c>
      <c r="L66" s="700">
        <f t="shared" si="13"/>
        <v>0</v>
      </c>
      <c r="M66" s="700"/>
      <c r="N66" s="694"/>
      <c r="O66" s="693"/>
    </row>
    <row r="67" spans="1:16" ht="20.100000000000001" hidden="1" customHeight="1">
      <c r="A67" s="708"/>
      <c r="B67" s="744" t="s">
        <v>300</v>
      </c>
      <c r="C67" s="694"/>
      <c r="D67" s="751">
        <v>0</v>
      </c>
      <c r="E67" s="727" t="s">
        <v>37</v>
      </c>
      <c r="F67" s="697">
        <f t="shared" si="16"/>
        <v>0</v>
      </c>
      <c r="G67" s="697">
        <f t="shared" si="17"/>
        <v>0</v>
      </c>
      <c r="H67" s="724">
        <f>ROUND(IF(D67&lt;=0,0,2580),2)</f>
        <v>0</v>
      </c>
      <c r="I67" s="698">
        <f t="shared" si="11"/>
        <v>0</v>
      </c>
      <c r="J67" s="699">
        <f>IF(D67&gt;0,'S2'!$BL$31,0)</f>
        <v>0</v>
      </c>
      <c r="K67" s="700">
        <f t="shared" si="18"/>
        <v>0</v>
      </c>
      <c r="L67" s="700">
        <f t="shared" si="13"/>
        <v>0</v>
      </c>
      <c r="M67" s="700"/>
      <c r="N67" s="694"/>
      <c r="O67" s="693"/>
    </row>
    <row r="68" spans="1:16" ht="20.100000000000001" hidden="1" customHeight="1">
      <c r="A68" s="708"/>
      <c r="B68" s="744" t="s">
        <v>452</v>
      </c>
      <c r="C68" s="694"/>
      <c r="D68" s="750">
        <v>0</v>
      </c>
      <c r="E68" s="727" t="s">
        <v>37</v>
      </c>
      <c r="F68" s="697">
        <f t="shared" si="16"/>
        <v>0</v>
      </c>
      <c r="G68" s="697">
        <f t="shared" si="17"/>
        <v>0</v>
      </c>
      <c r="H68" s="724">
        <f>ROUND(IF(D68&lt;=0,0,2980),2)</f>
        <v>0</v>
      </c>
      <c r="I68" s="698">
        <f t="shared" si="11"/>
        <v>0</v>
      </c>
      <c r="J68" s="699">
        <f>IF(D68&gt;0,'S2'!$BL$31,0)</f>
        <v>0</v>
      </c>
      <c r="K68" s="700">
        <f t="shared" si="18"/>
        <v>0</v>
      </c>
      <c r="L68" s="700">
        <f t="shared" si="13"/>
        <v>0</v>
      </c>
      <c r="M68" s="700"/>
      <c r="N68" s="694"/>
      <c r="O68" s="693"/>
      <c r="P68" s="714"/>
    </row>
    <row r="69" spans="1:16" ht="20.100000000000001" hidden="1" customHeight="1">
      <c r="A69" s="708"/>
      <c r="B69" s="744" t="s">
        <v>301</v>
      </c>
      <c r="C69" s="694"/>
      <c r="D69" s="751">
        <v>0</v>
      </c>
      <c r="E69" s="727" t="s">
        <v>37</v>
      </c>
      <c r="F69" s="697">
        <f>IF(D69&lt;=0,0,)</f>
        <v>0</v>
      </c>
      <c r="G69" s="697">
        <f>IF(D69&lt;=0,0,)</f>
        <v>0</v>
      </c>
      <c r="H69" s="724">
        <f>ROUND(IF(D69&lt;=0,0,4330),2)</f>
        <v>0</v>
      </c>
      <c r="I69" s="698">
        <f t="shared" si="11"/>
        <v>0</v>
      </c>
      <c r="J69" s="699">
        <f>IF(D69&gt;0,'S2'!$BL$31,0)</f>
        <v>0</v>
      </c>
      <c r="K69" s="700">
        <f t="shared" si="18"/>
        <v>0</v>
      </c>
      <c r="L69" s="700">
        <f t="shared" si="13"/>
        <v>0</v>
      </c>
      <c r="M69" s="822"/>
      <c r="N69" s="823"/>
      <c r="O69" s="824"/>
    </row>
    <row r="70" spans="1:16" ht="20.100000000000001" hidden="1" customHeight="1">
      <c r="A70" s="708"/>
      <c r="B70" s="744" t="s">
        <v>302</v>
      </c>
      <c r="C70" s="694"/>
      <c r="D70" s="751">
        <v>0</v>
      </c>
      <c r="E70" s="727" t="s">
        <v>37</v>
      </c>
      <c r="F70" s="697">
        <f t="shared" si="16"/>
        <v>0</v>
      </c>
      <c r="G70" s="697">
        <f t="shared" si="17"/>
        <v>0</v>
      </c>
      <c r="H70" s="724">
        <f>ROUND(IF(D70&lt;=0,0,5200),2)</f>
        <v>0</v>
      </c>
      <c r="I70" s="698">
        <f t="shared" si="11"/>
        <v>0</v>
      </c>
      <c r="J70" s="699">
        <f>IF(D70&gt;0,'S2'!$BL$31,0)</f>
        <v>0</v>
      </c>
      <c r="K70" s="700">
        <f t="shared" si="18"/>
        <v>0</v>
      </c>
      <c r="L70" s="700">
        <f t="shared" si="13"/>
        <v>0</v>
      </c>
      <c r="M70" s="822"/>
      <c r="N70" s="823"/>
      <c r="O70" s="824"/>
    </row>
    <row r="71" spans="1:16" ht="20.100000000000001" hidden="1" customHeight="1">
      <c r="A71" s="708"/>
      <c r="B71" s="744" t="s">
        <v>459</v>
      </c>
      <c r="C71" s="694"/>
      <c r="D71" s="750">
        <v>0</v>
      </c>
      <c r="E71" s="727" t="s">
        <v>37</v>
      </c>
      <c r="F71" s="697">
        <f t="shared" si="16"/>
        <v>0</v>
      </c>
      <c r="G71" s="697">
        <f t="shared" si="17"/>
        <v>0</v>
      </c>
      <c r="H71" s="724">
        <f>ROUND(IF(D71&lt;=0,0,7580),2)</f>
        <v>0</v>
      </c>
      <c r="I71" s="698">
        <f t="shared" si="11"/>
        <v>0</v>
      </c>
      <c r="J71" s="699">
        <f>IF(D71&gt;0,'S2'!$BL$31,0)</f>
        <v>0</v>
      </c>
      <c r="K71" s="700">
        <f t="shared" si="18"/>
        <v>0</v>
      </c>
      <c r="L71" s="700">
        <f t="shared" si="13"/>
        <v>0</v>
      </c>
      <c r="M71" s="822"/>
      <c r="N71" s="823"/>
      <c r="O71" s="824"/>
    </row>
    <row r="72" spans="1:16" ht="20.100000000000001" hidden="1" customHeight="1">
      <c r="A72" s="708"/>
      <c r="B72" s="744" t="s">
        <v>303</v>
      </c>
      <c r="C72" s="694"/>
      <c r="D72" s="751">
        <v>0</v>
      </c>
      <c r="E72" s="727" t="s">
        <v>37</v>
      </c>
      <c r="F72" s="697">
        <f t="shared" si="16"/>
        <v>0</v>
      </c>
      <c r="G72" s="697">
        <f t="shared" si="17"/>
        <v>0</v>
      </c>
      <c r="H72" s="724">
        <f>ROUND(IF(D72&lt;=0,0,4210),2)</f>
        <v>0</v>
      </c>
      <c r="I72" s="698">
        <f t="shared" si="11"/>
        <v>0</v>
      </c>
      <c r="J72" s="699">
        <f>IF(D72&gt;0,'S2'!$BL$31,0)</f>
        <v>0</v>
      </c>
      <c r="K72" s="700">
        <f t="shared" si="18"/>
        <v>0</v>
      </c>
      <c r="L72" s="700">
        <f t="shared" si="13"/>
        <v>0</v>
      </c>
      <c r="M72" s="822"/>
      <c r="N72" s="823"/>
      <c r="O72" s="824"/>
    </row>
    <row r="73" spans="1:16" ht="20.100000000000001" hidden="1" customHeight="1">
      <c r="A73" s="708"/>
      <c r="B73" s="744" t="s">
        <v>304</v>
      </c>
      <c r="C73" s="694"/>
      <c r="D73" s="751">
        <v>0</v>
      </c>
      <c r="E73" s="727" t="s">
        <v>37</v>
      </c>
      <c r="F73" s="697">
        <f t="shared" si="16"/>
        <v>0</v>
      </c>
      <c r="G73" s="697">
        <f t="shared" si="17"/>
        <v>0</v>
      </c>
      <c r="H73" s="724">
        <f>ROUND(IF(D73&lt;=0,0,6550),2)</f>
        <v>0</v>
      </c>
      <c r="I73" s="698">
        <f t="shared" si="11"/>
        <v>0</v>
      </c>
      <c r="J73" s="699">
        <f>IF(D73&gt;0,'S2'!$BL$31,0)</f>
        <v>0</v>
      </c>
      <c r="K73" s="700">
        <f t="shared" si="18"/>
        <v>0</v>
      </c>
      <c r="L73" s="700">
        <f t="shared" si="13"/>
        <v>0</v>
      </c>
      <c r="M73" s="822"/>
      <c r="N73" s="823"/>
      <c r="O73" s="824"/>
    </row>
    <row r="74" spans="1:16" ht="20.100000000000001" hidden="1" customHeight="1">
      <c r="A74" s="708"/>
      <c r="B74" s="744" t="s">
        <v>305</v>
      </c>
      <c r="C74" s="694"/>
      <c r="D74" s="751">
        <v>0</v>
      </c>
      <c r="E74" s="727" t="s">
        <v>37</v>
      </c>
      <c r="F74" s="697">
        <f t="shared" si="16"/>
        <v>0</v>
      </c>
      <c r="G74" s="697">
        <f t="shared" si="17"/>
        <v>0</v>
      </c>
      <c r="H74" s="724">
        <f>ROUND(IF(D74&lt;=0,0,5320),2)</f>
        <v>0</v>
      </c>
      <c r="I74" s="698">
        <f t="shared" si="11"/>
        <v>0</v>
      </c>
      <c r="J74" s="699">
        <f>IF(D74&gt;0,'S2'!$BL$31,0)</f>
        <v>0</v>
      </c>
      <c r="K74" s="700">
        <f t="shared" si="18"/>
        <v>0</v>
      </c>
      <c r="L74" s="700">
        <f t="shared" si="13"/>
        <v>0</v>
      </c>
      <c r="M74" s="822"/>
      <c r="N74" s="823"/>
      <c r="O74" s="824"/>
    </row>
    <row r="75" spans="1:16" ht="20.100000000000001" hidden="1" customHeight="1">
      <c r="A75" s="708"/>
      <c r="B75" s="744" t="s">
        <v>306</v>
      </c>
      <c r="C75" s="694"/>
      <c r="D75" s="751">
        <v>0</v>
      </c>
      <c r="E75" s="727" t="s">
        <v>37</v>
      </c>
      <c r="F75" s="697">
        <f>IF(D75&lt;=0,0,)</f>
        <v>0</v>
      </c>
      <c r="G75" s="697">
        <f>IF(D75&lt;=0,0,)</f>
        <v>0</v>
      </c>
      <c r="H75" s="724">
        <f>ROUND(IF(D75&lt;=0,0,4210),2)</f>
        <v>0</v>
      </c>
      <c r="I75" s="698">
        <f t="shared" si="11"/>
        <v>0</v>
      </c>
      <c r="J75" s="699">
        <f>IF(D75&gt;0,'S2'!$BL$31,0)</f>
        <v>0</v>
      </c>
      <c r="K75" s="700">
        <f t="shared" ref="K75" si="24">ROUNDDOWN(H75*J75,2)</f>
        <v>0</v>
      </c>
      <c r="L75" s="700">
        <f t="shared" si="13"/>
        <v>0</v>
      </c>
      <c r="M75" s="822"/>
      <c r="N75" s="823"/>
      <c r="O75" s="824"/>
    </row>
    <row r="76" spans="1:16" ht="20.100000000000001" hidden="1" customHeight="1">
      <c r="A76" s="708"/>
      <c r="B76" s="744" t="s">
        <v>307</v>
      </c>
      <c r="C76" s="694"/>
      <c r="D76" s="751">
        <v>0</v>
      </c>
      <c r="E76" s="727" t="s">
        <v>37</v>
      </c>
      <c r="F76" s="697">
        <f t="shared" si="16"/>
        <v>0</v>
      </c>
      <c r="G76" s="697">
        <f t="shared" si="17"/>
        <v>0</v>
      </c>
      <c r="H76" s="724">
        <f>ROUND(IF(D76&lt;=0,0,4210),2)</f>
        <v>0</v>
      </c>
      <c r="I76" s="698">
        <f t="shared" si="11"/>
        <v>0</v>
      </c>
      <c r="J76" s="699">
        <f>IF(D76&gt;0,'S2'!$BL$31,0)</f>
        <v>0</v>
      </c>
      <c r="K76" s="700">
        <f t="shared" si="18"/>
        <v>0</v>
      </c>
      <c r="L76" s="700">
        <f t="shared" si="13"/>
        <v>0</v>
      </c>
      <c r="M76" s="822"/>
      <c r="N76" s="823"/>
      <c r="O76" s="824"/>
    </row>
    <row r="77" spans="1:16" ht="20.100000000000001" hidden="1" customHeight="1">
      <c r="A77" s="708"/>
      <c r="B77" s="744" t="s">
        <v>308</v>
      </c>
      <c r="C77" s="694"/>
      <c r="D77" s="751">
        <v>0</v>
      </c>
      <c r="E77" s="727" t="s">
        <v>37</v>
      </c>
      <c r="F77" s="697">
        <f t="shared" si="16"/>
        <v>0</v>
      </c>
      <c r="G77" s="697">
        <f t="shared" si="17"/>
        <v>0</v>
      </c>
      <c r="H77" s="724">
        <f>ROUND(IF(D77&lt;=0,0,5020),2)</f>
        <v>0</v>
      </c>
      <c r="I77" s="698">
        <f t="shared" si="11"/>
        <v>0</v>
      </c>
      <c r="J77" s="699">
        <f>IF(D77&gt;0,'S2'!$BL$31,0)</f>
        <v>0</v>
      </c>
      <c r="K77" s="700">
        <f t="shared" si="18"/>
        <v>0</v>
      </c>
      <c r="L77" s="700">
        <f t="shared" si="13"/>
        <v>0</v>
      </c>
      <c r="M77" s="700"/>
      <c r="N77" s="694"/>
      <c r="O77" s="693"/>
    </row>
    <row r="78" spans="1:16" ht="20.100000000000001" hidden="1" customHeight="1">
      <c r="A78" s="708"/>
      <c r="B78" s="744" t="s">
        <v>309</v>
      </c>
      <c r="C78" s="694"/>
      <c r="D78" s="751">
        <v>0</v>
      </c>
      <c r="E78" s="727" t="s">
        <v>37</v>
      </c>
      <c r="F78" s="697">
        <f t="shared" si="16"/>
        <v>0</v>
      </c>
      <c r="G78" s="697">
        <f t="shared" si="17"/>
        <v>0</v>
      </c>
      <c r="H78" s="724">
        <f>ROUND(IF(D78&lt;=0,0,2700),2)</f>
        <v>0</v>
      </c>
      <c r="I78" s="698">
        <f t="shared" si="11"/>
        <v>0</v>
      </c>
      <c r="J78" s="699">
        <f>IF(D78&gt;0,'S2'!$BL$31,0)</f>
        <v>0</v>
      </c>
      <c r="K78" s="700">
        <f t="shared" si="18"/>
        <v>0</v>
      </c>
      <c r="L78" s="700">
        <f t="shared" si="13"/>
        <v>0</v>
      </c>
      <c r="M78" s="700"/>
      <c r="N78" s="694"/>
      <c r="O78" s="693"/>
    </row>
    <row r="79" spans="1:16" ht="20.100000000000001" hidden="1" customHeight="1">
      <c r="A79" s="708"/>
      <c r="B79" s="744" t="s">
        <v>310</v>
      </c>
      <c r="C79" s="694"/>
      <c r="D79" s="751">
        <v>0</v>
      </c>
      <c r="E79" s="727" t="s">
        <v>37</v>
      </c>
      <c r="F79" s="697">
        <f>IF(D79&lt;=0,0,)</f>
        <v>0</v>
      </c>
      <c r="G79" s="697">
        <f>IF(D79&lt;=0,0,)</f>
        <v>0</v>
      </c>
      <c r="H79" s="724">
        <f>ROUND(IF(D79&lt;=0,0,4930),2)</f>
        <v>0</v>
      </c>
      <c r="I79" s="698">
        <f t="shared" si="11"/>
        <v>0</v>
      </c>
      <c r="J79" s="699">
        <f>IF(D79&gt;0,'S2'!$BL$31,0)</f>
        <v>0</v>
      </c>
      <c r="K79" s="700">
        <f t="shared" si="18"/>
        <v>0</v>
      </c>
      <c r="L79" s="700">
        <f t="shared" si="13"/>
        <v>0</v>
      </c>
      <c r="M79" s="700"/>
      <c r="N79" s="825"/>
      <c r="O79" s="826"/>
    </row>
    <row r="80" spans="1:16" ht="20.100000000000001" hidden="1" customHeight="1">
      <c r="A80" s="708"/>
      <c r="B80" s="744" t="s">
        <v>311</v>
      </c>
      <c r="C80" s="694"/>
      <c r="D80" s="751">
        <v>0</v>
      </c>
      <c r="E80" s="727" t="s">
        <v>37</v>
      </c>
      <c r="F80" s="697">
        <f t="shared" si="16"/>
        <v>0</v>
      </c>
      <c r="G80" s="697">
        <f t="shared" si="17"/>
        <v>0</v>
      </c>
      <c r="H80" s="724">
        <f>ROUND(IF(D80&lt;=0,0,3320),2)</f>
        <v>0</v>
      </c>
      <c r="I80" s="698">
        <f t="shared" si="11"/>
        <v>0</v>
      </c>
      <c r="J80" s="699">
        <f>IF(D80&gt;0,'S2'!$BL$31,0)</f>
        <v>0</v>
      </c>
      <c r="K80" s="700">
        <f t="shared" si="18"/>
        <v>0</v>
      </c>
      <c r="L80" s="700">
        <f t="shared" si="13"/>
        <v>0</v>
      </c>
      <c r="M80" s="700"/>
      <c r="N80" s="694"/>
      <c r="O80" s="693"/>
    </row>
    <row r="81" spans="1:15" ht="20.100000000000001" hidden="1" customHeight="1">
      <c r="A81" s="708"/>
      <c r="B81" s="744" t="s">
        <v>456</v>
      </c>
      <c r="C81" s="694"/>
      <c r="D81" s="750">
        <v>0</v>
      </c>
      <c r="E81" s="727" t="s">
        <v>37</v>
      </c>
      <c r="F81" s="697">
        <f t="shared" si="16"/>
        <v>0</v>
      </c>
      <c r="G81" s="697">
        <f t="shared" si="17"/>
        <v>0</v>
      </c>
      <c r="H81" s="724">
        <f>ROUND(IF(D81&lt;=0,0,4570),2)</f>
        <v>0</v>
      </c>
      <c r="I81" s="698">
        <f t="shared" si="11"/>
        <v>0</v>
      </c>
      <c r="J81" s="699">
        <f>IF(D81&gt;0,'S2'!$BL$31,0)</f>
        <v>0</v>
      </c>
      <c r="K81" s="700">
        <f t="shared" si="18"/>
        <v>0</v>
      </c>
      <c r="L81" s="700">
        <f t="shared" si="13"/>
        <v>0</v>
      </c>
      <c r="M81" s="700"/>
      <c r="N81" s="694"/>
      <c r="O81" s="693"/>
    </row>
    <row r="82" spans="1:15" ht="20.100000000000001" hidden="1" customHeight="1">
      <c r="A82" s="708"/>
      <c r="B82" s="744" t="s">
        <v>461</v>
      </c>
      <c r="C82" s="694"/>
      <c r="D82" s="750">
        <v>0</v>
      </c>
      <c r="E82" s="727" t="s">
        <v>37</v>
      </c>
      <c r="F82" s="697">
        <f t="shared" si="16"/>
        <v>0</v>
      </c>
      <c r="G82" s="697">
        <f t="shared" si="17"/>
        <v>0</v>
      </c>
      <c r="H82" s="724">
        <f>ROUND(IF(D82&lt;=0,0,8640),2)</f>
        <v>0</v>
      </c>
      <c r="I82" s="698">
        <f t="shared" si="11"/>
        <v>0</v>
      </c>
      <c r="J82" s="699">
        <f>IF(D82&gt;0,'S2'!$BL$31,0)</f>
        <v>0</v>
      </c>
      <c r="K82" s="700">
        <f t="shared" si="18"/>
        <v>0</v>
      </c>
      <c r="L82" s="700">
        <f t="shared" si="13"/>
        <v>0</v>
      </c>
      <c r="M82" s="700"/>
      <c r="N82" s="694"/>
      <c r="O82" s="693"/>
    </row>
    <row r="83" spans="1:15" ht="20.100000000000001" hidden="1" customHeight="1">
      <c r="A83" s="708"/>
      <c r="B83" s="744" t="s">
        <v>462</v>
      </c>
      <c r="C83" s="694"/>
      <c r="D83" s="750">
        <v>0</v>
      </c>
      <c r="E83" s="727" t="s">
        <v>37</v>
      </c>
      <c r="F83" s="697">
        <f t="shared" si="16"/>
        <v>0</v>
      </c>
      <c r="G83" s="697">
        <f t="shared" si="17"/>
        <v>0</v>
      </c>
      <c r="H83" s="724">
        <f>ROUND(IF(D83&lt;=0,0,13810),2)</f>
        <v>0</v>
      </c>
      <c r="I83" s="698">
        <f t="shared" si="11"/>
        <v>0</v>
      </c>
      <c r="J83" s="699">
        <f>IF(D83&gt;0,'S2'!$BL$31,0)</f>
        <v>0</v>
      </c>
      <c r="K83" s="700">
        <f t="shared" si="18"/>
        <v>0</v>
      </c>
      <c r="L83" s="700">
        <f t="shared" si="13"/>
        <v>0</v>
      </c>
      <c r="M83" s="700"/>
      <c r="N83" s="694"/>
      <c r="O83" s="693"/>
    </row>
    <row r="84" spans="1:15" ht="20.100000000000001" hidden="1" customHeight="1">
      <c r="A84" s="708"/>
      <c r="B84" s="744" t="s">
        <v>463</v>
      </c>
      <c r="C84" s="694"/>
      <c r="D84" s="751">
        <v>0</v>
      </c>
      <c r="E84" s="727" t="s">
        <v>37</v>
      </c>
      <c r="F84" s="697">
        <f t="shared" si="16"/>
        <v>0</v>
      </c>
      <c r="G84" s="697">
        <f t="shared" si="17"/>
        <v>0</v>
      </c>
      <c r="H84" s="724">
        <f>ROUND(IF(D84&lt;=0,0,20390),2)</f>
        <v>0</v>
      </c>
      <c r="I84" s="698">
        <f t="shared" si="11"/>
        <v>0</v>
      </c>
      <c r="J84" s="699">
        <f>IF(D84&gt;0,'S2'!$BL$31,0)</f>
        <v>0</v>
      </c>
      <c r="K84" s="700">
        <f t="shared" si="18"/>
        <v>0</v>
      </c>
      <c r="L84" s="700">
        <f t="shared" si="13"/>
        <v>0</v>
      </c>
      <c r="M84" s="700"/>
      <c r="N84" s="694"/>
      <c r="O84" s="693"/>
    </row>
    <row r="85" spans="1:15" ht="20.100000000000001" hidden="1" customHeight="1">
      <c r="A85" s="708"/>
      <c r="B85" s="744" t="s">
        <v>450</v>
      </c>
      <c r="C85" s="694"/>
      <c r="D85" s="750">
        <v>0</v>
      </c>
      <c r="E85" s="727" t="s">
        <v>37</v>
      </c>
      <c r="F85" s="697">
        <f t="shared" si="16"/>
        <v>0</v>
      </c>
      <c r="G85" s="697">
        <f t="shared" si="17"/>
        <v>0</v>
      </c>
      <c r="H85" s="724">
        <f>ROUND(IF(D85&lt;=0,0,8060),2)</f>
        <v>0</v>
      </c>
      <c r="I85" s="698">
        <f t="shared" si="11"/>
        <v>0</v>
      </c>
      <c r="J85" s="699">
        <f>IF(D85&gt;0,'S2'!$BL$31,0)</f>
        <v>0</v>
      </c>
      <c r="K85" s="700">
        <f t="shared" si="18"/>
        <v>0</v>
      </c>
      <c r="L85" s="700">
        <f t="shared" si="13"/>
        <v>0</v>
      </c>
      <c r="M85" s="700"/>
      <c r="N85" s="694"/>
      <c r="O85" s="693"/>
    </row>
    <row r="86" spans="1:15" ht="20.100000000000001" hidden="1" customHeight="1">
      <c r="A86" s="708"/>
      <c r="B86" s="744" t="s">
        <v>360</v>
      </c>
      <c r="C86" s="694"/>
      <c r="D86" s="751">
        <v>0</v>
      </c>
      <c r="E86" s="727" t="s">
        <v>37</v>
      </c>
      <c r="F86" s="697">
        <f t="shared" si="16"/>
        <v>0</v>
      </c>
      <c r="G86" s="697">
        <f t="shared" si="17"/>
        <v>0</v>
      </c>
      <c r="H86" s="724">
        <f>ROUND(IF(D86&lt;=0,0,8510),2)</f>
        <v>0</v>
      </c>
      <c r="I86" s="698">
        <f t="shared" si="11"/>
        <v>0</v>
      </c>
      <c r="J86" s="699">
        <f>IF(D86&gt;0,'S2'!$BL$31,0)</f>
        <v>0</v>
      </c>
      <c r="K86" s="700">
        <f t="shared" si="18"/>
        <v>0</v>
      </c>
      <c r="L86" s="700">
        <f t="shared" si="13"/>
        <v>0</v>
      </c>
      <c r="M86" s="700"/>
      <c r="N86" s="694"/>
      <c r="O86" s="693"/>
    </row>
    <row r="87" spans="1:15" ht="20.100000000000001" hidden="1" customHeight="1">
      <c r="A87" s="708"/>
      <c r="B87" s="744" t="s">
        <v>312</v>
      </c>
      <c r="C87" s="694"/>
      <c r="D87" s="751">
        <v>0</v>
      </c>
      <c r="E87" s="727" t="s">
        <v>37</v>
      </c>
      <c r="F87" s="697">
        <f t="shared" si="16"/>
        <v>0</v>
      </c>
      <c r="G87" s="697">
        <f t="shared" si="17"/>
        <v>0</v>
      </c>
      <c r="H87" s="724">
        <f>ROUND(IF(D87&lt;=0,0,5000),2)</f>
        <v>0</v>
      </c>
      <c r="I87" s="698">
        <f t="shared" si="11"/>
        <v>0</v>
      </c>
      <c r="J87" s="699">
        <f>IF(D87&gt;0,'S2'!$BL$31,0)</f>
        <v>0</v>
      </c>
      <c r="K87" s="700">
        <f t="shared" si="18"/>
        <v>0</v>
      </c>
      <c r="L87" s="700">
        <f t="shared" si="13"/>
        <v>0</v>
      </c>
      <c r="M87" s="700"/>
      <c r="N87" s="694"/>
      <c r="O87" s="693"/>
    </row>
    <row r="88" spans="1:15" ht="20.100000000000001" hidden="1" customHeight="1">
      <c r="A88" s="708"/>
      <c r="B88" s="725" t="s">
        <v>448</v>
      </c>
      <c r="C88" s="694"/>
      <c r="D88" s="750">
        <v>0</v>
      </c>
      <c r="E88" s="727" t="s">
        <v>37</v>
      </c>
      <c r="F88" s="697">
        <f t="shared" si="16"/>
        <v>0</v>
      </c>
      <c r="G88" s="697">
        <f t="shared" si="17"/>
        <v>0</v>
      </c>
      <c r="H88" s="724">
        <f>ROUND(IF(D88&lt;=0,0,3240),2)</f>
        <v>0</v>
      </c>
      <c r="I88" s="698">
        <f t="shared" si="11"/>
        <v>0</v>
      </c>
      <c r="J88" s="699">
        <f>IF(D88&gt;0,'S2'!$BL$31,0)</f>
        <v>0</v>
      </c>
      <c r="K88" s="700">
        <f t="shared" si="18"/>
        <v>0</v>
      </c>
      <c r="L88" s="700">
        <f t="shared" si="13"/>
        <v>0</v>
      </c>
      <c r="M88" s="700"/>
      <c r="N88" s="694"/>
      <c r="O88" s="693"/>
    </row>
    <row r="89" spans="1:15" hidden="1">
      <c r="A89" s="696"/>
      <c r="B89" s="744" t="s">
        <v>322</v>
      </c>
      <c r="C89" s="694"/>
      <c r="D89" s="695">
        <v>0</v>
      </c>
      <c r="E89" s="727" t="s">
        <v>37</v>
      </c>
      <c r="F89" s="697">
        <f t="shared" si="16"/>
        <v>0</v>
      </c>
      <c r="G89" s="697">
        <f t="shared" si="17"/>
        <v>0</v>
      </c>
      <c r="H89" s="724">
        <f>ROUND(IF(D89&lt;=0,0,3990),2)</f>
        <v>0</v>
      </c>
      <c r="I89" s="698">
        <f t="shared" si="11"/>
        <v>0</v>
      </c>
      <c r="J89" s="699">
        <f>IF(D89&gt;0,'S2'!$BL$31,0)</f>
        <v>0</v>
      </c>
      <c r="K89" s="700">
        <f t="shared" si="18"/>
        <v>0</v>
      </c>
      <c r="L89" s="700">
        <f t="shared" si="13"/>
        <v>0</v>
      </c>
      <c r="M89" s="700"/>
      <c r="N89" s="694"/>
      <c r="O89" s="693"/>
    </row>
    <row r="90" spans="1:15" hidden="1">
      <c r="A90" s="696"/>
      <c r="B90" s="744" t="s">
        <v>341</v>
      </c>
      <c r="D90" s="695">
        <v>0</v>
      </c>
      <c r="E90" s="727" t="s">
        <v>37</v>
      </c>
      <c r="F90" s="697">
        <f>IF(D90&lt;=0,0,)</f>
        <v>0</v>
      </c>
      <c r="G90" s="697">
        <f>IF(D90&lt;=0,0,)</f>
        <v>0</v>
      </c>
      <c r="H90" s="724">
        <f>ROUND(IF(D90&lt;=0,0,),2)</f>
        <v>0</v>
      </c>
      <c r="I90" s="698">
        <f t="shared" si="11"/>
        <v>0</v>
      </c>
      <c r="J90" s="699">
        <f>IF(D90&gt;0,'S2'!$BL$31,0)</f>
        <v>0</v>
      </c>
      <c r="K90" s="700">
        <f t="shared" si="18"/>
        <v>0</v>
      </c>
      <c r="L90" s="700">
        <f t="shared" si="13"/>
        <v>0</v>
      </c>
      <c r="M90" s="700"/>
      <c r="N90" s="694"/>
      <c r="O90" s="693"/>
    </row>
    <row r="91" spans="1:15" hidden="1">
      <c r="A91" s="696"/>
      <c r="B91" s="744"/>
      <c r="D91" s="695"/>
      <c r="E91" s="727"/>
      <c r="F91" s="697"/>
      <c r="G91" s="697"/>
      <c r="H91" s="724"/>
      <c r="I91" s="698"/>
      <c r="J91" s="699"/>
      <c r="K91" s="700"/>
      <c r="L91" s="700"/>
      <c r="M91" s="700"/>
      <c r="N91" s="694"/>
      <c r="O91" s="693"/>
    </row>
    <row r="92" spans="1:15" hidden="1">
      <c r="A92" s="696"/>
      <c r="B92" s="744" t="s">
        <v>465</v>
      </c>
      <c r="C92" s="694"/>
      <c r="D92" s="695">
        <v>0</v>
      </c>
      <c r="E92" s="727" t="s">
        <v>38</v>
      </c>
      <c r="F92" s="697">
        <f>IF(D92&lt;=0,0,)</f>
        <v>0</v>
      </c>
      <c r="G92" s="697">
        <f>IF(D92&lt;=0,0,)</f>
        <v>0</v>
      </c>
      <c r="H92" s="724">
        <v>0</v>
      </c>
      <c r="I92" s="698">
        <f t="shared" ref="I92:I93" si="25">ROUNDDOWN(D92*H92,2)</f>
        <v>0</v>
      </c>
      <c r="J92" s="699">
        <f>IF(D92&gt;0,'S2'!$BL$31,0)</f>
        <v>0</v>
      </c>
      <c r="K92" s="700">
        <f t="shared" ref="K92:K93" si="26">ROUNDDOWN(H92*J92,2)</f>
        <v>0</v>
      </c>
      <c r="L92" s="700">
        <f t="shared" ref="L92:L93" si="27">ROUNDDOWN(I92*J92,2)</f>
        <v>0</v>
      </c>
      <c r="M92" s="700"/>
      <c r="N92" s="694"/>
      <c r="O92" s="693"/>
    </row>
    <row r="93" spans="1:15" hidden="1">
      <c r="A93" s="696"/>
      <c r="B93" s="744" t="s">
        <v>475</v>
      </c>
      <c r="C93" s="694"/>
      <c r="D93" s="695">
        <v>0</v>
      </c>
      <c r="E93" s="727" t="s">
        <v>37</v>
      </c>
      <c r="F93" s="697">
        <f>IF(D93&lt;=0,0,)</f>
        <v>0</v>
      </c>
      <c r="G93" s="697">
        <f>IF(D93&lt;=0,0,)</f>
        <v>0</v>
      </c>
      <c r="H93" s="724">
        <f>ROUND(IF(D93&lt;=0,0,14280),2)</f>
        <v>0</v>
      </c>
      <c r="I93" s="698">
        <f t="shared" si="25"/>
        <v>0</v>
      </c>
      <c r="J93" s="699">
        <f>IF(D93&gt;0,'S2'!$BL$31,0)</f>
        <v>0</v>
      </c>
      <c r="K93" s="700">
        <f t="shared" si="26"/>
        <v>0</v>
      </c>
      <c r="L93" s="700">
        <f t="shared" si="27"/>
        <v>0</v>
      </c>
      <c r="M93" s="700"/>
      <c r="N93" s="694"/>
      <c r="O93" s="693"/>
    </row>
    <row r="94" spans="1:15" hidden="1">
      <c r="A94" s="696"/>
      <c r="B94" s="744" t="s">
        <v>466</v>
      </c>
      <c r="C94" s="694"/>
      <c r="D94" s="695">
        <v>0</v>
      </c>
      <c r="E94" s="727" t="s">
        <v>37</v>
      </c>
      <c r="F94" s="697">
        <f>IF(D94&lt;=0,0,)</f>
        <v>0</v>
      </c>
      <c r="G94" s="697">
        <f>IF(D94&lt;=0,0,)</f>
        <v>0</v>
      </c>
      <c r="H94" s="724">
        <f>ROUND(IF(D94&lt;=0,0,17020),2)</f>
        <v>0</v>
      </c>
      <c r="I94" s="698">
        <f t="shared" ref="I94:I95" si="28">ROUNDDOWN(D94*H94,2)</f>
        <v>0</v>
      </c>
      <c r="J94" s="699">
        <f>IF(D94&gt;0,'S2'!$BL$31,0)</f>
        <v>0</v>
      </c>
      <c r="K94" s="700">
        <f t="shared" ref="K94:K95" si="29">ROUNDDOWN(H94*J94,2)</f>
        <v>0</v>
      </c>
      <c r="L94" s="700">
        <f t="shared" ref="L94:L95" si="30">ROUNDDOWN(I94*J94,2)</f>
        <v>0</v>
      </c>
      <c r="M94" s="700"/>
      <c r="N94" s="694"/>
      <c r="O94" s="693"/>
    </row>
    <row r="95" spans="1:15" hidden="1">
      <c r="A95" s="696"/>
      <c r="B95" s="744" t="s">
        <v>464</v>
      </c>
      <c r="D95" s="695">
        <v>0</v>
      </c>
      <c r="E95" s="727" t="s">
        <v>37</v>
      </c>
      <c r="F95" s="697">
        <f>IF(D95&lt;=0,0,)</f>
        <v>0</v>
      </c>
      <c r="G95" s="697">
        <f>IF(D95&lt;=0,0,)</f>
        <v>0</v>
      </c>
      <c r="H95" s="724">
        <f>ROUND(IF(D95&lt;=0,0,15260),2)</f>
        <v>0</v>
      </c>
      <c r="I95" s="698">
        <f t="shared" si="28"/>
        <v>0</v>
      </c>
      <c r="J95" s="699">
        <f>IF(D95&gt;0,'S2'!$BL$31,0)</f>
        <v>0</v>
      </c>
      <c r="K95" s="700">
        <f t="shared" si="29"/>
        <v>0</v>
      </c>
      <c r="L95" s="700">
        <f t="shared" si="30"/>
        <v>0</v>
      </c>
      <c r="M95" s="700"/>
      <c r="N95" s="694"/>
      <c r="O95" s="693"/>
    </row>
    <row r="96" spans="1:15" hidden="1">
      <c r="A96" s="696"/>
      <c r="B96" s="744" t="s">
        <v>467</v>
      </c>
      <c r="C96" s="694"/>
      <c r="D96" s="695">
        <v>0</v>
      </c>
      <c r="E96" s="727" t="s">
        <v>50</v>
      </c>
      <c r="F96" s="697">
        <f>IF(D96&lt;=0,0,)</f>
        <v>0</v>
      </c>
      <c r="G96" s="697">
        <f>IF(D96&lt;=0,0,)</f>
        <v>0</v>
      </c>
      <c r="H96" s="724">
        <f>ROUND(IF(D96&lt;=0,0,890),2)</f>
        <v>0</v>
      </c>
      <c r="I96" s="698">
        <f t="shared" ref="I96" si="31">ROUNDDOWN(D96*H96,2)</f>
        <v>0</v>
      </c>
      <c r="J96" s="699">
        <f>IF(D96&gt;0,'S2'!$BL$31,0)</f>
        <v>0</v>
      </c>
      <c r="K96" s="700">
        <f t="shared" ref="K96" si="32">ROUNDDOWN(H96*J96,2)</f>
        <v>0</v>
      </c>
      <c r="L96" s="700">
        <f t="shared" ref="L96" si="33">ROUNDDOWN(I96*J96,2)</f>
        <v>0</v>
      </c>
      <c r="M96" s="700"/>
      <c r="N96" s="694"/>
      <c r="O96" s="693"/>
    </row>
    <row r="97" spans="1:17" hidden="1">
      <c r="A97" s="696"/>
      <c r="B97" s="744"/>
      <c r="C97" s="694"/>
      <c r="D97" s="695"/>
      <c r="E97" s="727"/>
      <c r="F97" s="697"/>
      <c r="G97" s="697"/>
      <c r="H97" s="724"/>
      <c r="I97" s="698"/>
      <c r="J97" s="699"/>
      <c r="K97" s="700"/>
      <c r="L97" s="700"/>
      <c r="M97" s="700"/>
      <c r="N97" s="694"/>
      <c r="O97" s="693"/>
    </row>
    <row r="98" spans="1:17" hidden="1">
      <c r="A98" s="696"/>
      <c r="B98" s="744"/>
      <c r="C98" s="694"/>
      <c r="D98" s="695"/>
      <c r="E98" s="727"/>
      <c r="F98" s="697"/>
      <c r="G98" s="697"/>
      <c r="H98" s="724"/>
      <c r="I98" s="698"/>
      <c r="J98" s="699"/>
      <c r="K98" s="700"/>
      <c r="L98" s="700"/>
      <c r="M98" s="700"/>
      <c r="N98" s="694"/>
      <c r="O98" s="693"/>
    </row>
    <row r="99" spans="1:17" hidden="1">
      <c r="A99" s="696"/>
      <c r="B99" s="744"/>
      <c r="C99" s="694"/>
      <c r="D99" s="695"/>
      <c r="E99" s="727"/>
      <c r="F99" s="697"/>
      <c r="G99" s="697"/>
      <c r="H99" s="724"/>
      <c r="I99" s="698"/>
      <c r="J99" s="699"/>
      <c r="K99" s="700"/>
      <c r="L99" s="700"/>
      <c r="M99" s="700"/>
      <c r="N99" s="694"/>
      <c r="O99" s="693"/>
    </row>
    <row r="100" spans="1:17" hidden="1">
      <c r="A100" s="696"/>
      <c r="B100" s="744"/>
      <c r="C100" s="694"/>
      <c r="D100" s="695"/>
      <c r="E100" s="727"/>
      <c r="F100" s="697"/>
      <c r="G100" s="697"/>
      <c r="H100" s="724"/>
      <c r="I100" s="698"/>
      <c r="J100" s="699"/>
      <c r="K100" s="700"/>
      <c r="L100" s="700"/>
      <c r="M100" s="700"/>
      <c r="N100" s="694"/>
      <c r="O100" s="693"/>
    </row>
    <row r="101" spans="1:17" hidden="1">
      <c r="A101" s="696"/>
      <c r="B101" s="744"/>
      <c r="C101" s="694"/>
      <c r="D101" s="695"/>
      <c r="E101" s="727"/>
      <c r="F101" s="697"/>
      <c r="G101" s="697"/>
      <c r="H101" s="724"/>
      <c r="I101" s="698"/>
      <c r="J101" s="699"/>
      <c r="K101" s="700"/>
      <c r="L101" s="700"/>
      <c r="M101" s="700"/>
      <c r="N101" s="694"/>
      <c r="O101" s="693"/>
    </row>
    <row r="102" spans="1:17" hidden="1">
      <c r="A102" s="729"/>
      <c r="B102" s="730"/>
      <c r="C102" s="731" t="s">
        <v>139</v>
      </c>
      <c r="D102" s="732"/>
      <c r="E102" s="732"/>
      <c r="F102" s="732"/>
      <c r="G102" s="732"/>
      <c r="H102" s="732"/>
      <c r="I102" s="733">
        <f>SUM(I54:I101)</f>
        <v>504946.83</v>
      </c>
      <c r="J102" s="734"/>
      <c r="K102" s="734"/>
      <c r="L102" s="733">
        <f>SUM(L54:L101)</f>
        <v>674861.43</v>
      </c>
      <c r="M102" s="734"/>
      <c r="N102" s="735"/>
      <c r="O102" s="736"/>
    </row>
    <row r="103" spans="1:17" ht="23.25" hidden="1">
      <c r="A103" s="821" t="s">
        <v>339</v>
      </c>
      <c r="B103" s="821"/>
      <c r="C103" s="821"/>
      <c r="D103" s="821"/>
      <c r="E103" s="821"/>
      <c r="F103" s="821"/>
      <c r="G103" s="821"/>
      <c r="H103" s="821"/>
      <c r="I103" s="821"/>
      <c r="J103" s="821"/>
      <c r="K103" s="821"/>
      <c r="L103" s="821"/>
      <c r="M103" s="821"/>
      <c r="N103" s="821"/>
    </row>
    <row r="104" spans="1:17" hidden="1">
      <c r="B104" s="669" t="s">
        <v>39</v>
      </c>
      <c r="C104" s="670">
        <f>C2</f>
        <v>0</v>
      </c>
      <c r="D104" s="668"/>
      <c r="G104" s="668" t="s">
        <v>23</v>
      </c>
      <c r="I104" s="666" t="str">
        <f>$I$2</f>
        <v>สายภายในศาลากลางจังหวัดเพชรบุรี</v>
      </c>
    </row>
    <row r="105" spans="1:17" hidden="1">
      <c r="B105" s="669" t="s">
        <v>40</v>
      </c>
      <c r="C105" s="670" t="str">
        <f>C3</f>
        <v>อำเภอเมือง จังหวัดเพชรบุรี</v>
      </c>
      <c r="G105" s="668" t="s">
        <v>254</v>
      </c>
      <c r="I105" s="194">
        <f>$I$3</f>
        <v>0.251</v>
      </c>
      <c r="J105" s="670" t="s">
        <v>41</v>
      </c>
      <c r="K105" s="670"/>
      <c r="L105" s="670"/>
      <c r="M105" s="670"/>
    </row>
    <row r="106" spans="1:17" hidden="1">
      <c r="A106" s="673" t="s">
        <v>0</v>
      </c>
      <c r="B106" s="674"/>
      <c r="C106" s="675" t="s">
        <v>42</v>
      </c>
      <c r="D106" s="673" t="s">
        <v>24</v>
      </c>
      <c r="E106" s="673" t="s">
        <v>25</v>
      </c>
      <c r="F106" s="813" t="s">
        <v>26</v>
      </c>
      <c r="G106" s="814"/>
      <c r="H106" s="815"/>
      <c r="I106" s="673" t="s">
        <v>27</v>
      </c>
      <c r="J106" s="838" t="s">
        <v>2</v>
      </c>
      <c r="K106" s="813" t="s">
        <v>264</v>
      </c>
      <c r="L106" s="815"/>
      <c r="M106" s="827" t="s">
        <v>20</v>
      </c>
      <c r="N106" s="828"/>
      <c r="O106" s="829"/>
    </row>
    <row r="107" spans="1:17" hidden="1">
      <c r="A107" s="676"/>
      <c r="B107" s="677"/>
      <c r="C107" s="678"/>
      <c r="D107" s="676"/>
      <c r="E107" s="676"/>
      <c r="F107" s="679" t="s">
        <v>28</v>
      </c>
      <c r="G107" s="679" t="s">
        <v>29</v>
      </c>
      <c r="H107" s="679" t="s">
        <v>30</v>
      </c>
      <c r="I107" s="676" t="s">
        <v>31</v>
      </c>
      <c r="J107" s="838"/>
      <c r="K107" s="680" t="s">
        <v>265</v>
      </c>
      <c r="L107" s="679" t="s">
        <v>30</v>
      </c>
      <c r="M107" s="740"/>
      <c r="N107" s="752"/>
      <c r="O107" s="693"/>
    </row>
    <row r="108" spans="1:17" hidden="1">
      <c r="A108" s="696"/>
      <c r="B108" s="740"/>
      <c r="C108" s="741" t="s">
        <v>140</v>
      </c>
      <c r="D108" s="696"/>
      <c r="E108" s="696"/>
      <c r="F108" s="696"/>
      <c r="G108" s="696"/>
      <c r="H108" s="696"/>
      <c r="I108" s="742">
        <f>I102</f>
        <v>504946.83</v>
      </c>
      <c r="J108" s="743"/>
      <c r="K108" s="743"/>
      <c r="L108" s="743">
        <f>L102</f>
        <v>674861.43</v>
      </c>
      <c r="M108" s="753"/>
      <c r="N108" s="754"/>
      <c r="O108" s="691"/>
    </row>
    <row r="109" spans="1:17" hidden="1">
      <c r="A109" s="708"/>
      <c r="B109" s="744" t="s">
        <v>361</v>
      </c>
      <c r="D109" s="695">
        <v>0</v>
      </c>
      <c r="E109" s="745" t="s">
        <v>38</v>
      </c>
      <c r="F109" s="697">
        <f t="shared" ref="F109:F121" si="34">IF(D109&lt;=0,0,)</f>
        <v>0</v>
      </c>
      <c r="G109" s="697">
        <f t="shared" ref="G109:G121" si="35">IF(D109&lt;=0,0,)</f>
        <v>0</v>
      </c>
      <c r="H109" s="724">
        <f>ROUND(IF(D109&lt;=0,0,750),2)</f>
        <v>0</v>
      </c>
      <c r="I109" s="698">
        <f t="shared" ref="I109:I121" si="36">ROUNDDOWN(D109*H109,2)</f>
        <v>0</v>
      </c>
      <c r="J109" s="699">
        <f>IF(D109&gt;0,'S2'!$BL$31,0)</f>
        <v>0</v>
      </c>
      <c r="K109" s="700">
        <f t="shared" ref="K109:K121" si="37">ROUNDDOWN(H109*J109,2)</f>
        <v>0</v>
      </c>
      <c r="L109" s="700">
        <f t="shared" ref="L109:L121" si="38">ROUNDDOWN(I109*J109,2)</f>
        <v>0</v>
      </c>
      <c r="M109" s="816"/>
      <c r="N109" s="817"/>
      <c r="O109" s="818"/>
      <c r="Q109" s="668" t="s">
        <v>347</v>
      </c>
    </row>
    <row r="110" spans="1:17" hidden="1">
      <c r="A110" s="708"/>
      <c r="B110" s="744" t="s">
        <v>313</v>
      </c>
      <c r="D110" s="695">
        <v>0</v>
      </c>
      <c r="E110" s="745" t="s">
        <v>38</v>
      </c>
      <c r="F110" s="697">
        <f t="shared" ref="F110" si="39">IF(D110&lt;=0,0,)</f>
        <v>0</v>
      </c>
      <c r="G110" s="697">
        <f t="shared" ref="G110" si="40">IF(D110&lt;=0,0,)</f>
        <v>0</v>
      </c>
      <c r="H110" s="724">
        <f>ROUND(IF(D110&lt;=0,0,780),2)</f>
        <v>0</v>
      </c>
      <c r="I110" s="698">
        <f t="shared" si="36"/>
        <v>0</v>
      </c>
      <c r="J110" s="699">
        <f>IF(D110&gt;0,'S2'!$BL$31,0)</f>
        <v>0</v>
      </c>
      <c r="K110" s="700">
        <f t="shared" ref="K110" si="41">ROUNDDOWN(H110*J110,2)</f>
        <v>0</v>
      </c>
      <c r="L110" s="700">
        <f t="shared" si="38"/>
        <v>0</v>
      </c>
      <c r="M110" s="816"/>
      <c r="N110" s="817"/>
      <c r="O110" s="818"/>
    </row>
    <row r="111" spans="1:17" hidden="1">
      <c r="A111" s="708"/>
      <c r="B111" s="744" t="s">
        <v>468</v>
      </c>
      <c r="D111" s="695">
        <v>0</v>
      </c>
      <c r="E111" s="745" t="s">
        <v>38</v>
      </c>
      <c r="F111" s="697">
        <f t="shared" si="34"/>
        <v>0</v>
      </c>
      <c r="G111" s="697">
        <f t="shared" si="35"/>
        <v>0</v>
      </c>
      <c r="H111" s="724">
        <f>ROUND(IF(D111&lt;=0,0,3680),2)</f>
        <v>0</v>
      </c>
      <c r="I111" s="698">
        <f t="shared" si="36"/>
        <v>0</v>
      </c>
      <c r="J111" s="699">
        <f>IF(D111&gt;0,'S2'!$BL$31,0)</f>
        <v>0</v>
      </c>
      <c r="K111" s="700">
        <f t="shared" si="37"/>
        <v>0</v>
      </c>
      <c r="L111" s="700">
        <f t="shared" si="38"/>
        <v>0</v>
      </c>
      <c r="M111" s="700"/>
      <c r="N111" s="694"/>
      <c r="O111" s="693"/>
    </row>
    <row r="112" spans="1:17" hidden="1">
      <c r="A112" s="708"/>
      <c r="B112" s="744" t="s">
        <v>314</v>
      </c>
      <c r="D112" s="695">
        <v>0</v>
      </c>
      <c r="E112" s="745" t="s">
        <v>38</v>
      </c>
      <c r="F112" s="697">
        <f t="shared" si="34"/>
        <v>0</v>
      </c>
      <c r="G112" s="697">
        <f t="shared" si="35"/>
        <v>0</v>
      </c>
      <c r="H112" s="724">
        <f>ROUND(IF(D112&lt;=0,0,350),2)</f>
        <v>0</v>
      </c>
      <c r="I112" s="698">
        <f t="shared" si="36"/>
        <v>0</v>
      </c>
      <c r="J112" s="699">
        <f>IF(D112&gt;0,'S2'!$BL$31,0)</f>
        <v>0</v>
      </c>
      <c r="K112" s="700">
        <f t="shared" si="37"/>
        <v>0</v>
      </c>
      <c r="L112" s="700">
        <f t="shared" si="38"/>
        <v>0</v>
      </c>
      <c r="M112" s="700"/>
      <c r="N112" s="694"/>
      <c r="O112" s="693"/>
    </row>
    <row r="113" spans="1:17" hidden="1">
      <c r="A113" s="708"/>
      <c r="B113" s="744" t="s">
        <v>470</v>
      </c>
      <c r="D113" s="695">
        <v>0</v>
      </c>
      <c r="E113" s="745" t="s">
        <v>50</v>
      </c>
      <c r="F113" s="697">
        <f t="shared" si="34"/>
        <v>0</v>
      </c>
      <c r="G113" s="697">
        <f t="shared" si="35"/>
        <v>0</v>
      </c>
      <c r="H113" s="724">
        <f>ROUND(IF(D113&lt;=0,0,1460),2)</f>
        <v>0</v>
      </c>
      <c r="I113" s="698">
        <f t="shared" si="36"/>
        <v>0</v>
      </c>
      <c r="J113" s="699">
        <f>IF(D113&gt;0,'S2'!$BL$31,0)</f>
        <v>0</v>
      </c>
      <c r="K113" s="700">
        <f t="shared" si="37"/>
        <v>0</v>
      </c>
      <c r="L113" s="700">
        <f t="shared" si="38"/>
        <v>0</v>
      </c>
      <c r="M113" s="700"/>
      <c r="N113" s="694"/>
      <c r="O113" s="693"/>
    </row>
    <row r="114" spans="1:17" hidden="1">
      <c r="A114" s="708"/>
      <c r="B114" s="744" t="s">
        <v>471</v>
      </c>
      <c r="D114" s="695">
        <v>0</v>
      </c>
      <c r="E114" s="745" t="s">
        <v>50</v>
      </c>
      <c r="F114" s="697">
        <f t="shared" ref="F114:F116" si="42">IF(D114&lt;=0,0,)</f>
        <v>0</v>
      </c>
      <c r="G114" s="697">
        <f t="shared" ref="G114:G116" si="43">IF(D114&lt;=0,0,)</f>
        <v>0</v>
      </c>
      <c r="H114" s="724">
        <f>ROUND(IF(D114&lt;=0,0,1570),2)</f>
        <v>0</v>
      </c>
      <c r="I114" s="698">
        <f t="shared" ref="I114:I116" si="44">ROUNDDOWN(D114*H114,2)</f>
        <v>0</v>
      </c>
      <c r="J114" s="699">
        <f>IF(D114&gt;0,'S2'!$BL$31,0)</f>
        <v>0</v>
      </c>
      <c r="K114" s="700">
        <f t="shared" ref="K114:K116" si="45">ROUNDDOWN(H114*J114,2)</f>
        <v>0</v>
      </c>
      <c r="L114" s="700">
        <f t="shared" ref="L114:L116" si="46">ROUNDDOWN(I114*J114,2)</f>
        <v>0</v>
      </c>
      <c r="M114" s="700"/>
      <c r="N114" s="694"/>
      <c r="O114" s="693"/>
    </row>
    <row r="115" spans="1:17" hidden="1">
      <c r="A115" s="708"/>
      <c r="B115" s="744" t="s">
        <v>472</v>
      </c>
      <c r="D115" s="695">
        <v>0</v>
      </c>
      <c r="E115" s="745" t="s">
        <v>50</v>
      </c>
      <c r="F115" s="697">
        <f t="shared" si="42"/>
        <v>0</v>
      </c>
      <c r="G115" s="697">
        <f t="shared" si="43"/>
        <v>0</v>
      </c>
      <c r="H115" s="724">
        <f>ROUND(IF(D115&lt;=0,0,1880),2)</f>
        <v>0</v>
      </c>
      <c r="I115" s="698">
        <f t="shared" si="44"/>
        <v>0</v>
      </c>
      <c r="J115" s="699">
        <f>IF(D115&gt;0,'S2'!$BL$31,0)</f>
        <v>0</v>
      </c>
      <c r="K115" s="700">
        <f t="shared" si="45"/>
        <v>0</v>
      </c>
      <c r="L115" s="700">
        <f t="shared" si="46"/>
        <v>0</v>
      </c>
      <c r="M115" s="700"/>
      <c r="N115" s="694"/>
      <c r="O115" s="693"/>
    </row>
    <row r="116" spans="1:17" hidden="1">
      <c r="A116" s="708"/>
      <c r="B116" s="744" t="s">
        <v>473</v>
      </c>
      <c r="D116" s="695">
        <v>0</v>
      </c>
      <c r="E116" s="745" t="s">
        <v>50</v>
      </c>
      <c r="F116" s="697">
        <f t="shared" si="42"/>
        <v>0</v>
      </c>
      <c r="G116" s="697">
        <f t="shared" si="43"/>
        <v>0</v>
      </c>
      <c r="H116" s="724">
        <f>ROUND(IF(D116&lt;=0,0,2800),2)</f>
        <v>0</v>
      </c>
      <c r="I116" s="698">
        <f t="shared" si="44"/>
        <v>0</v>
      </c>
      <c r="J116" s="699">
        <f>IF(D116&gt;0,'S2'!$BL$31,0)</f>
        <v>0</v>
      </c>
      <c r="K116" s="700">
        <f t="shared" si="45"/>
        <v>0</v>
      </c>
      <c r="L116" s="700">
        <f t="shared" si="46"/>
        <v>0</v>
      </c>
      <c r="M116" s="700"/>
      <c r="N116" s="694"/>
      <c r="O116" s="693"/>
    </row>
    <row r="117" spans="1:17" hidden="1">
      <c r="A117" s="708"/>
      <c r="B117" s="744" t="s">
        <v>474</v>
      </c>
      <c r="D117" s="695">
        <v>0</v>
      </c>
      <c r="E117" s="745" t="s">
        <v>50</v>
      </c>
      <c r="F117" s="697">
        <f t="shared" ref="F117" si="47">IF(D117&lt;=0,0,)</f>
        <v>0</v>
      </c>
      <c r="G117" s="697">
        <f t="shared" ref="G117" si="48">IF(D117&lt;=0,0,)</f>
        <v>0</v>
      </c>
      <c r="H117" s="724">
        <f>ROUND(IF(D117&lt;=0,0,1890),2)</f>
        <v>0</v>
      </c>
      <c r="I117" s="698">
        <f t="shared" ref="I117" si="49">ROUNDDOWN(D117*H117,2)</f>
        <v>0</v>
      </c>
      <c r="J117" s="699">
        <f>IF(D117&gt;0,'S2'!$BL$31,0)</f>
        <v>0</v>
      </c>
      <c r="K117" s="700">
        <f t="shared" ref="K117" si="50">ROUNDDOWN(H117*J117,2)</f>
        <v>0</v>
      </c>
      <c r="L117" s="700">
        <f t="shared" ref="L117" si="51">ROUNDDOWN(I117*J117,2)</f>
        <v>0</v>
      </c>
      <c r="M117" s="700"/>
      <c r="N117" s="694"/>
      <c r="O117" s="693"/>
    </row>
    <row r="118" spans="1:17" hidden="1">
      <c r="A118" s="708"/>
      <c r="B118" s="744"/>
      <c r="D118" s="695"/>
      <c r="E118" s="745"/>
      <c r="F118" s="697"/>
      <c r="G118" s="697"/>
      <c r="H118" s="724"/>
      <c r="I118" s="698"/>
      <c r="J118" s="699"/>
      <c r="K118" s="700"/>
      <c r="L118" s="700"/>
      <c r="M118" s="700"/>
      <c r="N118" s="694"/>
      <c r="O118" s="693"/>
    </row>
    <row r="119" spans="1:17" hidden="1">
      <c r="A119" s="708"/>
      <c r="B119" s="744"/>
      <c r="D119" s="695"/>
      <c r="E119" s="745"/>
      <c r="F119" s="697"/>
      <c r="G119" s="697"/>
      <c r="H119" s="724"/>
      <c r="I119" s="698"/>
      <c r="J119" s="699"/>
      <c r="K119" s="700"/>
      <c r="L119" s="700"/>
      <c r="M119" s="700"/>
      <c r="N119" s="694"/>
      <c r="O119" s="693"/>
    </row>
    <row r="120" spans="1:17" hidden="1">
      <c r="A120" s="708"/>
      <c r="B120" s="744" t="s">
        <v>469</v>
      </c>
      <c r="D120" s="755">
        <v>0</v>
      </c>
      <c r="E120" s="745" t="s">
        <v>33</v>
      </c>
      <c r="F120" s="697">
        <f t="shared" si="34"/>
        <v>0</v>
      </c>
      <c r="G120" s="697">
        <f t="shared" si="35"/>
        <v>0</v>
      </c>
      <c r="H120" s="724">
        <f>ROUND(IF(D120&lt;=0,0,460),2)</f>
        <v>0</v>
      </c>
      <c r="I120" s="698">
        <f t="shared" si="36"/>
        <v>0</v>
      </c>
      <c r="J120" s="699">
        <f>IF(D120&gt;0,'S2'!$BL$31,0)</f>
        <v>0</v>
      </c>
      <c r="K120" s="700">
        <f t="shared" si="37"/>
        <v>0</v>
      </c>
      <c r="L120" s="700">
        <f t="shared" si="38"/>
        <v>0</v>
      </c>
      <c r="M120" s="700"/>
      <c r="N120" s="694"/>
      <c r="O120" s="693"/>
    </row>
    <row r="121" spans="1:17" hidden="1">
      <c r="A121" s="708"/>
      <c r="B121" s="744" t="s">
        <v>434</v>
      </c>
      <c r="C121" s="694"/>
      <c r="D121" s="695">
        <v>0</v>
      </c>
      <c r="E121" s="745" t="s">
        <v>126</v>
      </c>
      <c r="F121" s="697">
        <f t="shared" si="34"/>
        <v>0</v>
      </c>
      <c r="G121" s="697">
        <f t="shared" si="35"/>
        <v>0</v>
      </c>
      <c r="H121" s="724">
        <f>ROUND(IF(D121&lt;=0,0,215),2)</f>
        <v>0</v>
      </c>
      <c r="I121" s="698">
        <f t="shared" si="36"/>
        <v>0</v>
      </c>
      <c r="J121" s="699">
        <f>IF(D121&gt;0,'S2'!$BL$31,0)</f>
        <v>0</v>
      </c>
      <c r="K121" s="700">
        <f t="shared" si="37"/>
        <v>0</v>
      </c>
      <c r="L121" s="700">
        <f t="shared" si="38"/>
        <v>0</v>
      </c>
      <c r="M121" s="700"/>
      <c r="N121" s="694"/>
      <c r="O121" s="693"/>
      <c r="P121" s="714"/>
      <c r="Q121" s="698">
        <f>0.6*0.6*131</f>
        <v>47.16</v>
      </c>
    </row>
    <row r="122" spans="1:17">
      <c r="A122" s="756">
        <v>4</v>
      </c>
      <c r="B122" s="746" t="s">
        <v>514</v>
      </c>
      <c r="C122" s="694"/>
      <c r="D122" s="695"/>
      <c r="E122" s="745"/>
      <c r="F122" s="697"/>
      <c r="G122" s="697"/>
      <c r="H122" s="724"/>
      <c r="I122" s="698"/>
      <c r="J122" s="699"/>
      <c r="K122" s="700"/>
      <c r="L122" s="700"/>
      <c r="M122" s="700"/>
      <c r="N122" s="694"/>
      <c r="O122" s="693"/>
      <c r="P122" s="714"/>
      <c r="Q122" s="668">
        <f>5*600</f>
        <v>3000</v>
      </c>
    </row>
    <row r="123" spans="1:17">
      <c r="A123" s="708"/>
      <c r="B123" s="819" t="s">
        <v>491</v>
      </c>
      <c r="C123" s="820"/>
      <c r="D123" s="695">
        <v>253</v>
      </c>
      <c r="E123" s="745" t="s">
        <v>33</v>
      </c>
      <c r="F123" s="697"/>
      <c r="G123" s="697"/>
      <c r="H123" s="724">
        <v>97</v>
      </c>
      <c r="I123" s="698">
        <f t="shared" ref="I123" si="52">ROUNDDOWN(D123*H123,2)</f>
        <v>24541</v>
      </c>
      <c r="J123" s="699">
        <f>IF(D123&gt;0,'S2'!$BL$31,0)</f>
        <v>1.3365</v>
      </c>
      <c r="K123" s="700">
        <f t="shared" ref="K123" si="53">ROUNDDOWN(H123*J123,2)</f>
        <v>129.63999999999999</v>
      </c>
      <c r="L123" s="700">
        <f t="shared" ref="L123" si="54">ROUNDDOWN(I123*J123,2)</f>
        <v>32799.040000000001</v>
      </c>
      <c r="M123" s="700"/>
      <c r="N123" s="694"/>
      <c r="O123" s="693"/>
      <c r="P123" s="714"/>
      <c r="Q123" s="757">
        <f>Q122/D124</f>
        <v>22.900763358778626</v>
      </c>
    </row>
    <row r="124" spans="1:17">
      <c r="A124" s="708"/>
      <c r="B124" s="819" t="s">
        <v>495</v>
      </c>
      <c r="C124" s="820"/>
      <c r="D124" s="695">
        <v>131</v>
      </c>
      <c r="E124" s="745" t="s">
        <v>202</v>
      </c>
      <c r="F124" s="697"/>
      <c r="G124" s="697"/>
      <c r="H124" s="724">
        <v>300</v>
      </c>
      <c r="I124" s="698">
        <f t="shared" ref="I124" si="55">ROUNDDOWN(D124*H124,2)</f>
        <v>39300</v>
      </c>
      <c r="J124" s="699">
        <f>IF(D124&gt;0,'S2'!$BL$31,0)</f>
        <v>1.3365</v>
      </c>
      <c r="K124" s="700">
        <f t="shared" ref="K124" si="56">ROUNDDOWN(H124*J124,2)</f>
        <v>400.95</v>
      </c>
      <c r="L124" s="700">
        <f t="shared" ref="L124" si="57">ROUNDDOWN(I124*J124,2)</f>
        <v>52524.45</v>
      </c>
      <c r="M124" s="700"/>
      <c r="N124" s="694"/>
      <c r="O124" s="693"/>
      <c r="P124" s="714"/>
    </row>
    <row r="125" spans="1:17">
      <c r="A125" s="708"/>
      <c r="B125" s="819" t="s">
        <v>497</v>
      </c>
      <c r="C125" s="820"/>
      <c r="D125" s="695">
        <v>14</v>
      </c>
      <c r="E125" s="745" t="s">
        <v>496</v>
      </c>
      <c r="F125" s="697"/>
      <c r="G125" s="697"/>
      <c r="H125" s="724">
        <v>1000</v>
      </c>
      <c r="I125" s="698">
        <f t="shared" ref="I125:I126" si="58">ROUNDDOWN(D125*H125,2)</f>
        <v>14000</v>
      </c>
      <c r="J125" s="699">
        <f>IF(D125&gt;0,'S2'!$BL$31,0)</f>
        <v>1.3365</v>
      </c>
      <c r="K125" s="700">
        <f t="shared" ref="K125:K126" si="59">ROUNDDOWN(H125*J125,2)</f>
        <v>1336.5</v>
      </c>
      <c r="L125" s="700">
        <f t="shared" ref="L125:L126" si="60">ROUNDDOWN(I125*J125,2)</f>
        <v>18711</v>
      </c>
      <c r="M125" s="700"/>
      <c r="N125" s="694"/>
      <c r="O125" s="693"/>
      <c r="P125" s="714"/>
    </row>
    <row r="126" spans="1:17">
      <c r="A126" s="708"/>
      <c r="B126" s="819" t="s">
        <v>498</v>
      </c>
      <c r="C126" s="820"/>
      <c r="D126" s="695">
        <v>140</v>
      </c>
      <c r="E126" s="745" t="s">
        <v>202</v>
      </c>
      <c r="F126" s="697"/>
      <c r="G126" s="697"/>
      <c r="H126" s="724">
        <v>2640</v>
      </c>
      <c r="I126" s="698">
        <f t="shared" si="58"/>
        <v>369600</v>
      </c>
      <c r="J126" s="699">
        <f>IF(D126&gt;0,'S2'!$BL$31,0)</f>
        <v>1.3365</v>
      </c>
      <c r="K126" s="700">
        <f t="shared" si="59"/>
        <v>3528.36</v>
      </c>
      <c r="L126" s="700">
        <f t="shared" si="60"/>
        <v>493970.4</v>
      </c>
      <c r="M126" s="700"/>
      <c r="N126" s="694"/>
      <c r="O126" s="693"/>
      <c r="P126" s="714"/>
    </row>
    <row r="127" spans="1:17">
      <c r="A127" s="708"/>
      <c r="B127" s="819" t="s">
        <v>501</v>
      </c>
      <c r="C127" s="820"/>
      <c r="D127" s="695">
        <v>14</v>
      </c>
      <c r="E127" s="745" t="s">
        <v>496</v>
      </c>
      <c r="F127" s="697"/>
      <c r="G127" s="697"/>
      <c r="H127" s="724">
        <v>9000</v>
      </c>
      <c r="I127" s="698">
        <f t="shared" ref="I127" si="61">ROUNDDOWN(D127*H127,2)</f>
        <v>126000</v>
      </c>
      <c r="J127" s="699">
        <f>IF(D127&gt;0,'S2'!$BL$31,0)</f>
        <v>1.3365</v>
      </c>
      <c r="K127" s="700">
        <f t="shared" ref="K127" si="62">ROUNDDOWN(H127*J127,2)</f>
        <v>12028.5</v>
      </c>
      <c r="L127" s="700">
        <f t="shared" ref="L127" si="63">ROUNDDOWN(I127*J127,2)</f>
        <v>168399</v>
      </c>
      <c r="M127" s="700"/>
      <c r="N127" s="694"/>
      <c r="O127" s="693"/>
      <c r="P127" s="714"/>
    </row>
    <row r="128" spans="1:17">
      <c r="A128" s="708"/>
      <c r="B128" s="819" t="s">
        <v>499</v>
      </c>
      <c r="C128" s="820"/>
      <c r="D128" s="695">
        <v>45</v>
      </c>
      <c r="E128" s="745" t="s">
        <v>34</v>
      </c>
      <c r="F128" s="697"/>
      <c r="G128" s="697"/>
      <c r="H128" s="724">
        <v>467</v>
      </c>
      <c r="I128" s="698">
        <f t="shared" ref="I128" si="64">ROUNDDOWN(D128*H128,2)</f>
        <v>21015</v>
      </c>
      <c r="J128" s="699">
        <f>IF(D128&gt;0,'S2'!$BL$31,0)</f>
        <v>1.3365</v>
      </c>
      <c r="K128" s="700">
        <f t="shared" ref="K128" si="65">ROUNDDOWN(H128*J128,2)</f>
        <v>624.14</v>
      </c>
      <c r="L128" s="700">
        <f t="shared" ref="L128" si="66">ROUNDDOWN(I128*J128,2)</f>
        <v>28086.54</v>
      </c>
      <c r="M128" s="700"/>
      <c r="N128" s="694"/>
      <c r="O128" s="693"/>
      <c r="P128" s="714"/>
    </row>
    <row r="129" spans="1:16">
      <c r="A129" s="708"/>
      <c r="B129" s="819" t="s">
        <v>500</v>
      </c>
      <c r="C129" s="820"/>
      <c r="D129" s="695">
        <v>15</v>
      </c>
      <c r="E129" s="745" t="s">
        <v>34</v>
      </c>
      <c r="F129" s="697"/>
      <c r="G129" s="697"/>
      <c r="H129" s="724">
        <v>1845</v>
      </c>
      <c r="I129" s="698">
        <f t="shared" ref="I129:I130" si="67">ROUNDDOWN(D129*H129,2)</f>
        <v>27675</v>
      </c>
      <c r="J129" s="699">
        <f>IF(D129&gt;0,'S2'!$BL$31,0)</f>
        <v>1.3365</v>
      </c>
      <c r="K129" s="700">
        <f t="shared" ref="K129:K130" si="68">ROUNDDOWN(H129*J129,2)</f>
        <v>2465.84</v>
      </c>
      <c r="L129" s="700">
        <f t="shared" ref="L129:L130" si="69">ROUNDDOWN(I129*J129,2)</f>
        <v>36987.629999999997</v>
      </c>
      <c r="M129" s="700"/>
      <c r="N129" s="694"/>
      <c r="O129" s="693"/>
      <c r="P129" s="714"/>
    </row>
    <row r="130" spans="1:16">
      <c r="A130" s="708"/>
      <c r="B130" s="819" t="s">
        <v>492</v>
      </c>
      <c r="C130" s="820"/>
      <c r="D130" s="695">
        <v>253</v>
      </c>
      <c r="E130" s="745" t="s">
        <v>33</v>
      </c>
      <c r="F130" s="697"/>
      <c r="G130" s="697"/>
      <c r="H130" s="724">
        <v>540</v>
      </c>
      <c r="I130" s="698">
        <f t="shared" si="67"/>
        <v>136620</v>
      </c>
      <c r="J130" s="699">
        <f>IF(D130&gt;0,'S2'!$BL$31,0)</f>
        <v>1.3365</v>
      </c>
      <c r="K130" s="700">
        <f t="shared" si="68"/>
        <v>721.71</v>
      </c>
      <c r="L130" s="700">
        <f t="shared" si="69"/>
        <v>182592.63</v>
      </c>
      <c r="M130" s="700"/>
      <c r="N130" s="694"/>
      <c r="O130" s="693"/>
      <c r="P130" s="714"/>
    </row>
    <row r="131" spans="1:16">
      <c r="A131" s="708"/>
      <c r="B131" s="843" t="s">
        <v>515</v>
      </c>
      <c r="C131" s="844"/>
      <c r="D131" s="695"/>
      <c r="E131" s="745"/>
      <c r="F131" s="697"/>
      <c r="G131" s="697"/>
      <c r="H131" s="724"/>
      <c r="I131" s="698"/>
      <c r="J131" s="699"/>
      <c r="K131" s="700"/>
      <c r="L131" s="700"/>
      <c r="M131" s="700"/>
      <c r="N131" s="694"/>
      <c r="O131" s="693"/>
      <c r="P131" s="714"/>
    </row>
    <row r="132" spans="1:16">
      <c r="A132" s="708"/>
      <c r="B132" s="758"/>
      <c r="D132" s="695"/>
      <c r="E132" s="745"/>
      <c r="F132" s="697"/>
      <c r="G132" s="697"/>
      <c r="H132" s="724"/>
      <c r="I132" s="698"/>
      <c r="J132" s="699"/>
      <c r="K132" s="700"/>
      <c r="L132" s="700"/>
      <c r="M132" s="700"/>
      <c r="N132" s="694"/>
      <c r="O132" s="693"/>
      <c r="P132" s="714"/>
    </row>
    <row r="133" spans="1:16">
      <c r="A133" s="708"/>
      <c r="B133" s="819"/>
      <c r="C133" s="820"/>
      <c r="D133" s="695"/>
      <c r="E133" s="745"/>
      <c r="F133" s="697"/>
      <c r="G133" s="697"/>
      <c r="H133" s="724"/>
      <c r="I133" s="698"/>
      <c r="J133" s="699"/>
      <c r="K133" s="700"/>
      <c r="L133" s="700"/>
      <c r="M133" s="700"/>
      <c r="N133" s="694"/>
      <c r="O133" s="693"/>
    </row>
    <row r="134" spans="1:16">
      <c r="A134" s="708"/>
      <c r="B134" s="819"/>
      <c r="C134" s="820"/>
      <c r="D134" s="695"/>
      <c r="E134" s="745"/>
      <c r="F134" s="697"/>
      <c r="G134" s="697"/>
      <c r="H134" s="724"/>
      <c r="I134" s="698"/>
      <c r="J134" s="699"/>
      <c r="K134" s="700"/>
      <c r="L134" s="700"/>
      <c r="M134" s="700"/>
      <c r="N134" s="694"/>
      <c r="O134" s="693"/>
    </row>
    <row r="135" spans="1:16">
      <c r="A135" s="708"/>
      <c r="B135" s="819"/>
      <c r="C135" s="820"/>
      <c r="D135" s="695"/>
      <c r="E135" s="745"/>
      <c r="F135" s="697"/>
      <c r="G135" s="697"/>
      <c r="H135" s="724"/>
      <c r="I135" s="698"/>
      <c r="J135" s="699"/>
      <c r="K135" s="700"/>
      <c r="L135" s="700"/>
      <c r="M135" s="700"/>
      <c r="N135" s="694"/>
      <c r="O135" s="693"/>
    </row>
    <row r="136" spans="1:16">
      <c r="A136" s="729"/>
      <c r="B136" s="730"/>
      <c r="C136" s="759" t="s">
        <v>30</v>
      </c>
      <c r="D136" s="732"/>
      <c r="E136" s="732"/>
      <c r="F136" s="732"/>
      <c r="G136" s="732"/>
      <c r="H136" s="732"/>
      <c r="I136" s="733">
        <f>SUM(I108:I135)</f>
        <v>1263697.83</v>
      </c>
      <c r="J136" s="760">
        <f>IF(I136&gt;0,'S2'!$BL$31,0)</f>
        <v>1.3365</v>
      </c>
      <c r="K136" s="734"/>
      <c r="L136" s="734">
        <f>I136*J136</f>
        <v>1688932.1497950002</v>
      </c>
      <c r="M136" s="734"/>
      <c r="N136" s="735"/>
      <c r="O136" s="736"/>
    </row>
    <row r="137" spans="1:16" hidden="1">
      <c r="A137" s="694"/>
      <c r="C137" s="761"/>
      <c r="D137" s="694"/>
      <c r="E137" s="694"/>
      <c r="F137" s="694"/>
      <c r="G137" s="694"/>
      <c r="H137" s="694"/>
      <c r="I137" s="762">
        <f>SUM(I108:I135)</f>
        <v>1263697.83</v>
      </c>
      <c r="J137" s="738"/>
      <c r="K137" s="738"/>
      <c r="L137" s="738"/>
      <c r="M137" s="738"/>
      <c r="N137" s="694"/>
      <c r="O137" s="694"/>
    </row>
    <row r="138" spans="1:16" hidden="1">
      <c r="A138" s="839" t="s">
        <v>331</v>
      </c>
      <c r="B138" s="840"/>
      <c r="C138" s="840"/>
      <c r="D138" s="840"/>
      <c r="E138" s="840"/>
      <c r="F138" s="840"/>
      <c r="G138" s="840"/>
      <c r="H138" s="840"/>
      <c r="I138" s="840"/>
      <c r="J138" s="840"/>
      <c r="K138" s="840"/>
      <c r="L138" s="840"/>
      <c r="M138" s="839"/>
      <c r="N138" s="839"/>
      <c r="O138" s="839"/>
    </row>
    <row r="139" spans="1:16" hidden="1">
      <c r="A139" s="688"/>
      <c r="B139" s="841" t="s">
        <v>425</v>
      </c>
      <c r="C139" s="842"/>
      <c r="D139" s="732"/>
      <c r="E139" s="732"/>
      <c r="F139" s="732"/>
      <c r="G139" s="732"/>
      <c r="H139" s="732"/>
      <c r="I139" s="763"/>
      <c r="J139" s="733"/>
      <c r="K139" s="733"/>
      <c r="L139" s="733"/>
      <c r="M139" s="734"/>
      <c r="N139" s="735"/>
      <c r="O139" s="736"/>
    </row>
    <row r="140" spans="1:16" hidden="1">
      <c r="A140" s="708"/>
      <c r="B140" s="851" t="s">
        <v>428</v>
      </c>
      <c r="C140" s="852"/>
      <c r="D140" s="764">
        <v>0</v>
      </c>
      <c r="E140" s="765" t="s">
        <v>113</v>
      </c>
      <c r="F140" s="766">
        <v>0</v>
      </c>
      <c r="G140" s="767">
        <f t="shared" ref="G140" si="70">IF(D140&lt;=0,0,)</f>
        <v>0</v>
      </c>
      <c r="H140" s="767">
        <f>F140</f>
        <v>0</v>
      </c>
      <c r="I140" s="768">
        <f>D140*F140</f>
        <v>0</v>
      </c>
      <c r="J140" s="769">
        <v>1.07</v>
      </c>
      <c r="K140" s="768">
        <f>I140*J140</f>
        <v>0</v>
      </c>
      <c r="L140" s="768">
        <f>K140</f>
        <v>0</v>
      </c>
      <c r="M140" s="853" t="s">
        <v>273</v>
      </c>
      <c r="N140" s="853"/>
      <c r="O140" s="853"/>
      <c r="P140" s="714"/>
    </row>
    <row r="141" spans="1:16" hidden="1">
      <c r="A141" s="708"/>
      <c r="B141" s="770" t="s">
        <v>427</v>
      </c>
      <c r="C141" s="771"/>
      <c r="D141" s="764">
        <v>0</v>
      </c>
      <c r="E141" s="765" t="s">
        <v>1</v>
      </c>
      <c r="F141" s="766"/>
      <c r="G141" s="767"/>
      <c r="H141" s="767">
        <f>0</f>
        <v>0</v>
      </c>
      <c r="I141" s="698">
        <f t="shared" ref="I141" si="71">ROUNDDOWN(D141*H141,2)</f>
        <v>0</v>
      </c>
      <c r="J141" s="769">
        <v>1.07</v>
      </c>
      <c r="K141" s="768">
        <f>I141*J141</f>
        <v>0</v>
      </c>
      <c r="L141" s="768">
        <f>K141</f>
        <v>0</v>
      </c>
      <c r="M141" s="772"/>
      <c r="N141" s="773"/>
      <c r="O141" s="774"/>
      <c r="P141" s="714"/>
    </row>
    <row r="142" spans="1:16" hidden="1">
      <c r="A142" s="708"/>
      <c r="B142" s="834" t="s">
        <v>332</v>
      </c>
      <c r="C142" s="849"/>
      <c r="D142" s="764"/>
      <c r="E142" s="765"/>
      <c r="F142" s="767"/>
      <c r="G142" s="767"/>
      <c r="H142" s="767"/>
      <c r="I142" s="768"/>
      <c r="J142" s="769"/>
      <c r="K142" s="768"/>
      <c r="L142" s="768">
        <f>SUM(L140:L141)</f>
        <v>0</v>
      </c>
      <c r="M142" s="850"/>
      <c r="N142" s="850"/>
      <c r="O142" s="850"/>
    </row>
    <row r="143" spans="1:16" hidden="1">
      <c r="A143" s="708"/>
      <c r="B143" s="854" t="s">
        <v>333</v>
      </c>
      <c r="C143" s="855"/>
      <c r="D143" s="855"/>
      <c r="E143" s="855"/>
      <c r="F143" s="855"/>
      <c r="G143" s="855"/>
      <c r="H143" s="855"/>
      <c r="I143" s="855"/>
      <c r="J143" s="855"/>
      <c r="K143" s="856"/>
      <c r="L143" s="775">
        <f>L136+L142</f>
        <v>1688932.1497950002</v>
      </c>
      <c r="M143" s="776"/>
      <c r="N143" s="777"/>
      <c r="O143" s="778"/>
    </row>
    <row r="144" spans="1:16" hidden="1">
      <c r="A144" s="708"/>
      <c r="B144" s="854" t="s">
        <v>334</v>
      </c>
      <c r="C144" s="855"/>
      <c r="D144" s="855"/>
      <c r="E144" s="855"/>
      <c r="F144" s="855"/>
      <c r="G144" s="855"/>
      <c r="H144" s="855"/>
      <c r="I144" s="855"/>
      <c r="J144" s="855"/>
      <c r="K144" s="856"/>
      <c r="L144" s="775">
        <f>ROUNDDOWN(L143,-4)</f>
        <v>1680000</v>
      </c>
      <c r="M144" s="776"/>
      <c r="N144" s="777"/>
      <c r="O144" s="778"/>
    </row>
    <row r="145" spans="1:27" hidden="1">
      <c r="A145" s="729"/>
      <c r="B145" s="779"/>
      <c r="C145" s="780"/>
      <c r="D145" s="781" t="s">
        <v>335</v>
      </c>
      <c r="E145" s="780"/>
      <c r="F145" s="780"/>
      <c r="G145" s="834" t="str">
        <f>"("&amp;(BAHTTEXT(L144)&amp;")")</f>
        <v>(หนึ่งล้านหกแสนแปดหมื่นบาทถ้วน)</v>
      </c>
      <c r="H145" s="834"/>
      <c r="I145" s="834"/>
      <c r="J145" s="780"/>
      <c r="K145" s="780"/>
      <c r="L145" s="782"/>
      <c r="M145" s="776"/>
      <c r="N145" s="777"/>
      <c r="O145" s="778"/>
    </row>
    <row r="146" spans="1:27" hidden="1">
      <c r="A146" s="694"/>
      <c r="B146" s="669" t="s">
        <v>488</v>
      </c>
      <c r="C146" s="744"/>
      <c r="D146" s="783"/>
      <c r="E146" s="745"/>
      <c r="F146" s="784"/>
      <c r="G146" s="784"/>
      <c r="H146" s="784"/>
      <c r="I146" s="785"/>
      <c r="J146" s="786"/>
      <c r="K146" s="669" t="s">
        <v>481</v>
      </c>
      <c r="L146" s="785"/>
      <c r="M146" s="773"/>
      <c r="N146" s="773"/>
      <c r="O146" s="773"/>
    </row>
    <row r="147" spans="1:27" ht="21" hidden="1" customHeight="1">
      <c r="B147" s="669"/>
      <c r="F147" s="845"/>
      <c r="G147" s="845"/>
      <c r="H147" s="845"/>
      <c r="I147" s="845"/>
      <c r="J147" s="845"/>
      <c r="K147" s="845"/>
      <c r="V147" s="845" t="s">
        <v>354</v>
      </c>
      <c r="W147" s="845"/>
      <c r="X147" s="845"/>
      <c r="Y147" s="845"/>
      <c r="Z147" s="845"/>
      <c r="AA147" s="845"/>
    </row>
    <row r="148" spans="1:27" ht="21.75" hidden="1" customHeight="1">
      <c r="C148" s="787"/>
      <c r="D148" s="787"/>
      <c r="E148" s="788"/>
      <c r="F148" s="788"/>
      <c r="G148" s="788"/>
      <c r="H148" s="788"/>
      <c r="I148" s="788"/>
      <c r="J148" s="788"/>
      <c r="K148" s="788"/>
      <c r="L148" s="787"/>
      <c r="M148" s="787"/>
      <c r="U148" s="788" t="s">
        <v>362</v>
      </c>
      <c r="V148" s="788"/>
      <c r="W148" s="788"/>
      <c r="X148" s="788"/>
      <c r="Y148" s="788"/>
      <c r="Z148" s="788"/>
      <c r="AA148" s="788"/>
    </row>
    <row r="149" spans="1:27">
      <c r="C149" s="789"/>
      <c r="D149" s="789"/>
      <c r="E149" s="787"/>
      <c r="F149" s="846"/>
      <c r="G149" s="846"/>
      <c r="H149" s="846"/>
      <c r="I149" s="846"/>
      <c r="J149" s="846"/>
      <c r="K149" s="787"/>
      <c r="L149" s="789"/>
      <c r="M149" s="789"/>
      <c r="N149" s="789"/>
      <c r="U149" s="787"/>
      <c r="V149" s="846"/>
      <c r="W149" s="846"/>
      <c r="X149" s="846"/>
      <c r="Y149" s="846"/>
      <c r="Z149" s="846"/>
      <c r="AA149" s="787"/>
    </row>
    <row r="150" spans="1:27">
      <c r="E150" s="787"/>
      <c r="F150" s="790"/>
      <c r="G150" s="790"/>
      <c r="H150" s="790"/>
      <c r="I150" s="790"/>
      <c r="J150" s="790"/>
      <c r="K150" s="789"/>
      <c r="L150" s="787"/>
      <c r="M150" s="787"/>
      <c r="Q150" s="797"/>
      <c r="U150" s="787"/>
      <c r="V150" s="790" t="s">
        <v>337</v>
      </c>
      <c r="W150" s="790"/>
      <c r="X150" s="790"/>
      <c r="Y150" s="790"/>
      <c r="Z150" s="790"/>
      <c r="AA150" s="789"/>
    </row>
    <row r="151" spans="1:27">
      <c r="E151" s="787"/>
      <c r="F151" s="788"/>
      <c r="G151" s="847"/>
      <c r="H151" s="847"/>
      <c r="I151" s="791"/>
      <c r="J151" s="791"/>
      <c r="K151" s="792"/>
      <c r="U151" s="787"/>
      <c r="V151" s="788"/>
      <c r="W151" s="847" t="s">
        <v>355</v>
      </c>
      <c r="X151" s="847"/>
      <c r="Y151" s="791" t="s">
        <v>356</v>
      </c>
      <c r="Z151" s="791"/>
      <c r="AA151" s="792"/>
    </row>
    <row r="152" spans="1:27">
      <c r="E152" s="787"/>
      <c r="F152" s="790"/>
      <c r="G152" s="790"/>
      <c r="H152" s="790"/>
      <c r="I152" s="790"/>
      <c r="J152" s="790"/>
      <c r="K152" s="787"/>
      <c r="U152" s="787"/>
      <c r="V152" s="790"/>
      <c r="W152" s="790"/>
      <c r="X152" s="790"/>
      <c r="Y152" s="790"/>
      <c r="Z152" s="790"/>
      <c r="AA152" s="787"/>
    </row>
    <row r="153" spans="1:27">
      <c r="E153" s="787"/>
      <c r="F153" s="790"/>
      <c r="G153" s="790"/>
      <c r="H153" s="790"/>
      <c r="I153" s="790"/>
      <c r="J153" s="790"/>
      <c r="U153" s="787"/>
      <c r="V153" s="790" t="s">
        <v>338</v>
      </c>
      <c r="W153" s="790"/>
      <c r="X153" s="790"/>
      <c r="Y153" s="790"/>
      <c r="Z153" s="790"/>
    </row>
    <row r="154" spans="1:27">
      <c r="E154" s="793"/>
      <c r="F154" s="794"/>
      <c r="G154" s="794"/>
      <c r="H154" s="787"/>
      <c r="I154" s="791"/>
      <c r="J154" s="794"/>
      <c r="K154" s="794"/>
      <c r="U154" s="793"/>
      <c r="V154" s="794" t="s">
        <v>357</v>
      </c>
      <c r="W154" s="794"/>
      <c r="X154" s="787"/>
      <c r="Y154" s="791" t="s">
        <v>358</v>
      </c>
      <c r="Z154" s="794"/>
      <c r="AA154" s="794"/>
    </row>
    <row r="155" spans="1:27">
      <c r="E155" s="787"/>
      <c r="F155" s="790"/>
      <c r="G155" s="790"/>
      <c r="H155" s="790"/>
      <c r="I155" s="790"/>
      <c r="J155" s="790"/>
      <c r="U155" s="787"/>
      <c r="V155" s="790"/>
      <c r="W155" s="790"/>
      <c r="X155" s="790"/>
      <c r="Y155" s="790"/>
      <c r="Z155" s="790"/>
    </row>
    <row r="156" spans="1:27">
      <c r="E156" s="795"/>
      <c r="F156" s="790"/>
      <c r="G156" s="790"/>
      <c r="H156" s="790"/>
      <c r="I156" s="790"/>
      <c r="J156" s="790"/>
      <c r="U156" s="795"/>
      <c r="V156" s="790" t="s">
        <v>338</v>
      </c>
      <c r="W156" s="790"/>
      <c r="X156" s="790"/>
      <c r="Y156" s="790"/>
      <c r="Z156" s="790"/>
    </row>
    <row r="157" spans="1:27">
      <c r="E157" s="796"/>
      <c r="F157" s="848"/>
      <c r="G157" s="848"/>
      <c r="H157" s="848"/>
      <c r="I157" s="848"/>
      <c r="J157" s="848"/>
      <c r="K157" s="848"/>
      <c r="U157" s="796"/>
      <c r="V157" s="848" t="s">
        <v>359</v>
      </c>
      <c r="W157" s="848"/>
      <c r="X157" s="848"/>
      <c r="Y157" s="848"/>
      <c r="Z157" s="848"/>
      <c r="AA157" s="848"/>
    </row>
    <row r="158" spans="1:27">
      <c r="F158" s="790"/>
      <c r="G158" s="790"/>
      <c r="H158" s="790"/>
      <c r="I158" s="790"/>
      <c r="J158" s="790"/>
      <c r="V158" s="790"/>
      <c r="W158" s="790"/>
      <c r="X158" s="790"/>
      <c r="Y158" s="790"/>
      <c r="Z158" s="790"/>
    </row>
  </sheetData>
  <mergeCells count="60">
    <mergeCell ref="B142:C142"/>
    <mergeCell ref="M142:O142"/>
    <mergeCell ref="B134:C134"/>
    <mergeCell ref="F147:K147"/>
    <mergeCell ref="F149:J149"/>
    <mergeCell ref="B140:C140"/>
    <mergeCell ref="M140:O140"/>
    <mergeCell ref="B143:K143"/>
    <mergeCell ref="B144:K144"/>
    <mergeCell ref="V147:AA147"/>
    <mergeCell ref="V149:Z149"/>
    <mergeCell ref="W151:X151"/>
    <mergeCell ref="V157:AA157"/>
    <mergeCell ref="F157:K157"/>
    <mergeCell ref="G151:H151"/>
    <mergeCell ref="F4:H4"/>
    <mergeCell ref="G145:I145"/>
    <mergeCell ref="M69:O69"/>
    <mergeCell ref="M4:O4"/>
    <mergeCell ref="M41:O41"/>
    <mergeCell ref="J4:J5"/>
    <mergeCell ref="K4:L4"/>
    <mergeCell ref="J52:J53"/>
    <mergeCell ref="K52:L52"/>
    <mergeCell ref="A138:O138"/>
    <mergeCell ref="M75:O75"/>
    <mergeCell ref="M110:O110"/>
    <mergeCell ref="M106:O106"/>
    <mergeCell ref="J106:J107"/>
    <mergeCell ref="K106:L106"/>
    <mergeCell ref="B139:C139"/>
    <mergeCell ref="A1:N1"/>
    <mergeCell ref="A49:N49"/>
    <mergeCell ref="A103:N103"/>
    <mergeCell ref="M73:O73"/>
    <mergeCell ref="M74:O74"/>
    <mergeCell ref="M76:O76"/>
    <mergeCell ref="M70:O70"/>
    <mergeCell ref="M71:O71"/>
    <mergeCell ref="M72:O72"/>
    <mergeCell ref="N79:O79"/>
    <mergeCell ref="M52:O52"/>
    <mergeCell ref="F52:H52"/>
    <mergeCell ref="B19:C19"/>
    <mergeCell ref="N63:O63"/>
    <mergeCell ref="B11:C11"/>
    <mergeCell ref="M65:O65"/>
    <mergeCell ref="F106:H106"/>
    <mergeCell ref="M109:O109"/>
    <mergeCell ref="B135:C135"/>
    <mergeCell ref="B133:C133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</mergeCells>
  <phoneticPr fontId="0" type="noConversion"/>
  <printOptions horizontalCentered="1"/>
  <pageMargins left="0.15748031496062992" right="0.15748031496062992" top="0.43307086614173229" bottom="0.39370078740157483" header="0" footer="0"/>
  <pageSetup paperSize="9" scale="75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8"/>
  <sheetViews>
    <sheetView topLeftCell="A7" zoomScaleNormal="100" workbookViewId="0">
      <selection activeCell="S21" sqref="S21"/>
    </sheetView>
  </sheetViews>
  <sheetFormatPr defaultColWidth="9.140625" defaultRowHeight="21"/>
  <cols>
    <col min="1" max="1" width="4" style="192" customWidth="1"/>
    <col min="2" max="2" width="10.85546875" style="192" customWidth="1"/>
    <col min="3" max="3" width="7.85546875" style="192" customWidth="1"/>
    <col min="4" max="4" width="6.5703125" style="192" customWidth="1"/>
    <col min="5" max="5" width="12.140625" style="192" customWidth="1"/>
    <col min="6" max="6" width="11.42578125" style="192" customWidth="1"/>
    <col min="7" max="7" width="9" style="192" customWidth="1"/>
    <col min="8" max="8" width="9.140625" style="192"/>
    <col min="9" max="9" width="8.85546875" style="214" customWidth="1"/>
    <col min="10" max="10" width="6.28515625" style="213" customWidth="1"/>
    <col min="11" max="11" width="11.140625" style="192" customWidth="1"/>
    <col min="12" max="12" width="7.140625" style="192" customWidth="1"/>
    <col min="13" max="13" width="9.140625" style="192"/>
    <col min="14" max="14" width="12" style="192" bestFit="1" customWidth="1"/>
    <col min="15" max="15" width="12.42578125" style="192" bestFit="1" customWidth="1"/>
    <col min="16" max="16" width="12.85546875" style="192" customWidth="1"/>
    <col min="17" max="17" width="9.140625" style="192"/>
    <col min="18" max="18" width="10" style="192" bestFit="1" customWidth="1"/>
    <col min="19" max="16384" width="9.140625" style="192"/>
  </cols>
  <sheetData>
    <row r="1" spans="1:29" s="209" customFormat="1" ht="23.25" customHeight="1">
      <c r="A1" s="857" t="s">
        <v>477</v>
      </c>
      <c r="B1" s="857"/>
      <c r="C1" s="857"/>
      <c r="D1" s="857"/>
      <c r="E1" s="857"/>
      <c r="F1" s="857"/>
      <c r="G1" s="857"/>
      <c r="H1" s="857"/>
      <c r="I1" s="857"/>
      <c r="J1" s="857"/>
      <c r="K1" s="857"/>
      <c r="L1" s="857"/>
    </row>
    <row r="2" spans="1:29" s="209" customFormat="1" ht="23.25" customHeight="1">
      <c r="A2" s="857" t="str">
        <f>ข้อมูล!$B$2</f>
        <v>คณะกรรมการกำหนดราคากลาง</v>
      </c>
      <c r="B2" s="857"/>
      <c r="C2" s="857"/>
      <c r="D2" s="857"/>
      <c r="E2" s="857"/>
      <c r="F2" s="857"/>
      <c r="G2" s="857"/>
      <c r="H2" s="857"/>
      <c r="I2" s="857"/>
      <c r="J2" s="857"/>
      <c r="K2" s="857"/>
      <c r="L2" s="857"/>
    </row>
    <row r="3" spans="1:29">
      <c r="D3" s="193"/>
      <c r="E3" s="193"/>
      <c r="F3" s="193"/>
      <c r="G3" s="193"/>
      <c r="I3" s="212" t="str">
        <f>ข้อมูล!$I$3</f>
        <v>วันที่  22  เดือน   มีนาคม   พ.ศ. 2567</v>
      </c>
    </row>
    <row r="4" spans="1:29">
      <c r="A4" s="193" t="s">
        <v>323</v>
      </c>
      <c r="C4" s="206" t="str">
        <f>ข้อมูล!$D$4</f>
        <v xml:space="preserve">ปรับปรุงผิวทางแอสฟัลท์คอนกรีต </v>
      </c>
    </row>
    <row r="5" spans="1:29" hidden="1">
      <c r="A5" s="193"/>
      <c r="C5" s="206">
        <f>ข้อมูล!D5</f>
        <v>0</v>
      </c>
    </row>
    <row r="6" spans="1:29">
      <c r="A6" s="193" t="s">
        <v>324</v>
      </c>
      <c r="C6" s="206" t="str">
        <f>ข้อมูล!$D$6</f>
        <v>จังหวัดเพชรบุรี</v>
      </c>
    </row>
    <row r="7" spans="1:29">
      <c r="A7" s="193" t="s">
        <v>325</v>
      </c>
      <c r="C7" s="215"/>
      <c r="F7" s="216" t="s">
        <v>162</v>
      </c>
      <c r="G7" s="192" t="str">
        <f>ข้อมูล!$E$7</f>
        <v>สายภายในศาลากลางจังหวัดเพชรบุรี</v>
      </c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</row>
    <row r="8" spans="1:29" ht="21.75" customHeight="1">
      <c r="A8" s="193" t="s">
        <v>326</v>
      </c>
      <c r="C8" s="217" t="str">
        <f>ข้อมูล!$C$8</f>
        <v>อำเภอเมือง จังหวัดเพชรบุรี</v>
      </c>
      <c r="D8" s="206"/>
      <c r="E8" s="206"/>
      <c r="F8" s="206"/>
      <c r="G8" s="799" t="s">
        <v>327</v>
      </c>
      <c r="H8" s="799"/>
      <c r="I8" s="218">
        <f>ข้อมูล!L8</f>
        <v>0</v>
      </c>
      <c r="J8" s="219" t="s">
        <v>41</v>
      </c>
      <c r="K8" s="206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</row>
    <row r="9" spans="1:29">
      <c r="A9" s="193" t="s">
        <v>328</v>
      </c>
      <c r="C9" s="206" t="s">
        <v>163</v>
      </c>
      <c r="D9" s="206"/>
      <c r="E9" s="220" t="s">
        <v>480</v>
      </c>
      <c r="F9" s="206"/>
      <c r="G9" s="206"/>
      <c r="H9" s="221" t="s">
        <v>329</v>
      </c>
      <c r="I9" s="222">
        <v>9</v>
      </c>
      <c r="J9" s="219" t="s">
        <v>50</v>
      </c>
      <c r="K9" s="206"/>
      <c r="N9" s="200"/>
      <c r="O9" s="261"/>
      <c r="P9" s="862"/>
      <c r="Q9" s="862"/>
      <c r="R9" s="862"/>
      <c r="S9" s="862"/>
      <c r="T9" s="862"/>
      <c r="U9" s="862"/>
      <c r="V9" s="862"/>
      <c r="W9" s="261"/>
      <c r="X9" s="262"/>
      <c r="Y9" s="869"/>
      <c r="Z9" s="869"/>
      <c r="AA9" s="869"/>
      <c r="AB9" s="245"/>
      <c r="AC9" s="23"/>
    </row>
    <row r="10" spans="1:29">
      <c r="A10" s="192" t="s">
        <v>164</v>
      </c>
      <c r="C10" s="206" t="s">
        <v>165</v>
      </c>
      <c r="D10" s="206"/>
      <c r="E10" s="220" t="s">
        <v>480</v>
      </c>
      <c r="F10" s="206"/>
      <c r="G10" s="206"/>
      <c r="H10" s="629" t="s">
        <v>437</v>
      </c>
      <c r="I10" s="222">
        <v>0</v>
      </c>
      <c r="J10" s="219" t="s">
        <v>50</v>
      </c>
      <c r="K10" s="206"/>
      <c r="N10" s="200"/>
      <c r="O10" s="261"/>
      <c r="P10" s="245"/>
      <c r="Q10" s="245"/>
      <c r="R10" s="245"/>
      <c r="S10" s="245"/>
      <c r="T10" s="245"/>
      <c r="U10" s="870"/>
      <c r="V10" s="870"/>
      <c r="W10" s="263"/>
      <c r="X10" s="264"/>
      <c r="Y10" s="265"/>
      <c r="Z10" s="245"/>
      <c r="AA10" s="245"/>
      <c r="AB10" s="245"/>
      <c r="AC10" s="23"/>
    </row>
    <row r="11" spans="1:29">
      <c r="A11" s="51" t="s">
        <v>166</v>
      </c>
      <c r="B11" s="200"/>
      <c r="C11" s="208"/>
      <c r="D11" s="208"/>
      <c r="E11" s="208" t="s">
        <v>336</v>
      </c>
      <c r="F11" s="223">
        <f>H12</f>
        <v>0.251</v>
      </c>
      <c r="G11" s="223" t="s">
        <v>41</v>
      </c>
      <c r="H11" s="208" t="s">
        <v>167</v>
      </c>
      <c r="I11" s="222">
        <v>9</v>
      </c>
      <c r="J11" s="224" t="s">
        <v>50</v>
      </c>
      <c r="K11" s="206"/>
      <c r="N11" s="200"/>
      <c r="O11" s="261"/>
      <c r="P11" s="266"/>
      <c r="Q11" s="245"/>
      <c r="R11" s="245"/>
      <c r="S11" s="245"/>
      <c r="T11" s="245"/>
      <c r="U11" s="871"/>
      <c r="V11" s="871"/>
      <c r="W11" s="267"/>
      <c r="X11" s="268"/>
      <c r="Y11" s="265"/>
      <c r="Z11" s="245"/>
      <c r="AA11" s="269"/>
      <c r="AB11" s="245"/>
      <c r="AC11" s="23"/>
    </row>
    <row r="12" spans="1:29">
      <c r="B12" s="208" t="s">
        <v>436</v>
      </c>
      <c r="C12" s="229" t="s">
        <v>168</v>
      </c>
      <c r="D12" s="225" t="s">
        <v>482</v>
      </c>
      <c r="E12" s="226" t="s">
        <v>169</v>
      </c>
      <c r="F12" s="225" t="s">
        <v>502</v>
      </c>
      <c r="G12" s="208" t="s">
        <v>449</v>
      </c>
      <c r="H12" s="634">
        <v>0.251</v>
      </c>
      <c r="I12" s="227" t="s">
        <v>41</v>
      </c>
      <c r="J12" s="228"/>
      <c r="K12" s="227"/>
      <c r="N12" s="200"/>
      <c r="O12" s="245"/>
      <c r="P12" s="245"/>
      <c r="Q12" s="245"/>
      <c r="R12" s="245"/>
      <c r="S12" s="245"/>
      <c r="T12" s="245"/>
      <c r="U12" s="245"/>
      <c r="V12" s="245"/>
      <c r="W12" s="245"/>
      <c r="X12" s="268"/>
      <c r="Y12" s="265"/>
      <c r="Z12" s="245"/>
      <c r="AA12" s="269"/>
      <c r="AB12" s="245"/>
      <c r="AC12" s="23"/>
    </row>
    <row r="13" spans="1:29">
      <c r="B13" s="208"/>
      <c r="C13" s="229"/>
      <c r="D13" s="225"/>
      <c r="E13" s="226"/>
      <c r="F13" s="225"/>
      <c r="G13" s="208"/>
      <c r="H13" s="634"/>
      <c r="I13" s="227"/>
      <c r="J13" s="228"/>
      <c r="K13" s="227"/>
      <c r="N13" s="200"/>
      <c r="O13" s="245"/>
      <c r="P13" s="245"/>
      <c r="Q13" s="245"/>
      <c r="R13" s="245"/>
      <c r="S13" s="245"/>
      <c r="T13" s="245"/>
      <c r="U13" s="245"/>
      <c r="V13" s="245"/>
      <c r="W13" s="245"/>
      <c r="X13" s="268"/>
      <c r="Y13" s="265"/>
      <c r="Z13" s="254"/>
      <c r="AA13" s="245"/>
      <c r="AB13" s="245"/>
      <c r="AC13" s="23"/>
    </row>
    <row r="14" spans="1:29" ht="21.75" customHeight="1">
      <c r="A14" s="195" t="s">
        <v>0</v>
      </c>
      <c r="B14" s="872" t="s">
        <v>1</v>
      </c>
      <c r="C14" s="873"/>
      <c r="D14" s="873"/>
      <c r="E14" s="874"/>
      <c r="F14" s="256" t="s">
        <v>330</v>
      </c>
      <c r="G14" s="253" t="s">
        <v>170</v>
      </c>
      <c r="H14" s="866" t="s">
        <v>171</v>
      </c>
      <c r="I14" s="867"/>
      <c r="J14" s="863" t="s">
        <v>172</v>
      </c>
      <c r="K14" s="864"/>
      <c r="L14" s="865"/>
      <c r="N14" s="200"/>
      <c r="O14" s="245"/>
      <c r="P14" s="245"/>
      <c r="Q14" s="245"/>
      <c r="R14" s="245"/>
      <c r="S14" s="245"/>
      <c r="T14" s="245"/>
      <c r="U14" s="245"/>
      <c r="V14" s="245"/>
      <c r="W14" s="245"/>
      <c r="X14" s="268"/>
      <c r="Y14" s="270"/>
      <c r="Z14" s="255"/>
      <c r="AA14" s="255"/>
      <c r="AB14" s="245"/>
      <c r="AC14" s="23"/>
    </row>
    <row r="15" spans="1:29" ht="21.75">
      <c r="A15" s="205">
        <v>1</v>
      </c>
      <c r="B15" s="284" t="s">
        <v>342</v>
      </c>
      <c r="C15" s="248"/>
      <c r="D15" s="248"/>
      <c r="E15" s="248"/>
      <c r="F15" s="271">
        <f>ปร.4!I136</f>
        <v>1263697.83</v>
      </c>
      <c r="G15" s="259">
        <f>'S2'!BL31</f>
        <v>1.3365</v>
      </c>
      <c r="H15" s="875">
        <f>F15*G15</f>
        <v>1688932.1497950002</v>
      </c>
      <c r="I15" s="876"/>
      <c r="J15" s="230" t="s">
        <v>2</v>
      </c>
      <c r="K15" s="197"/>
      <c r="L15" s="199"/>
      <c r="N15" s="200"/>
      <c r="O15" s="245"/>
      <c r="P15" s="245"/>
      <c r="Q15" s="245"/>
      <c r="R15" s="245"/>
      <c r="S15" s="245"/>
      <c r="T15" s="245"/>
      <c r="U15" s="245"/>
      <c r="V15" s="245"/>
      <c r="W15" s="245"/>
      <c r="X15" s="264"/>
      <c r="Y15" s="265"/>
      <c r="Z15" s="245"/>
      <c r="AA15" s="245"/>
      <c r="AB15" s="245"/>
      <c r="AC15" s="23"/>
    </row>
    <row r="16" spans="1:29" ht="21.75">
      <c r="A16" s="243">
        <v>2</v>
      </c>
      <c r="B16" s="244" t="s">
        <v>425</v>
      </c>
      <c r="C16" s="249"/>
      <c r="D16" s="249"/>
      <c r="E16" s="249"/>
      <c r="F16" s="272">
        <f>ปร.4!I140</f>
        <v>0</v>
      </c>
      <c r="G16" s="260">
        <f>ปร.4!J140</f>
        <v>1.07</v>
      </c>
      <c r="H16" s="859">
        <f>F16*G16</f>
        <v>0</v>
      </c>
      <c r="I16" s="860"/>
      <c r="J16" s="230" t="s">
        <v>173</v>
      </c>
      <c r="K16" s="200"/>
      <c r="L16" s="231">
        <f>ข้อมูล!$P$9/100</f>
        <v>0</v>
      </c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</row>
    <row r="17" spans="1:28" ht="21.75">
      <c r="A17" s="637"/>
      <c r="B17" s="246"/>
      <c r="C17" s="249"/>
      <c r="D17" s="249"/>
      <c r="E17" s="249"/>
      <c r="F17" s="638"/>
      <c r="G17" s="260"/>
      <c r="H17" s="859"/>
      <c r="I17" s="860"/>
      <c r="J17" s="230" t="s">
        <v>174</v>
      </c>
      <c r="K17" s="200"/>
      <c r="L17" s="231">
        <f>ข้อมูล!$P$8/100</f>
        <v>7.0000000000000007E-2</v>
      </c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</row>
    <row r="18" spans="1:28" ht="21.75">
      <c r="A18" s="202"/>
      <c r="B18" s="246"/>
      <c r="C18" s="249"/>
      <c r="D18" s="249"/>
      <c r="E18" s="249"/>
      <c r="F18" s="257"/>
      <c r="G18" s="250"/>
      <c r="H18" s="861"/>
      <c r="I18" s="860"/>
      <c r="J18" s="230" t="s">
        <v>175</v>
      </c>
      <c r="K18" s="200"/>
      <c r="L18" s="231">
        <f>ข้อมูล!$P$11/100</f>
        <v>0</v>
      </c>
    </row>
    <row r="19" spans="1:28" ht="21.75">
      <c r="A19" s="202"/>
      <c r="B19" s="246"/>
      <c r="C19" s="249"/>
      <c r="D19" s="249"/>
      <c r="E19" s="249"/>
      <c r="F19" s="257"/>
      <c r="G19" s="250"/>
      <c r="H19" s="861"/>
      <c r="I19" s="860"/>
      <c r="J19" s="230" t="s">
        <v>176</v>
      </c>
      <c r="K19" s="232" t="str">
        <f>ข้อมูล!$E$133</f>
        <v>ฝนตกปกติ</v>
      </c>
      <c r="L19" s="199"/>
    </row>
    <row r="20" spans="1:28" ht="21.75">
      <c r="A20" s="204"/>
      <c r="B20" s="247"/>
      <c r="C20" s="251"/>
      <c r="D20" s="251"/>
      <c r="E20" s="251"/>
      <c r="F20" s="258"/>
      <c r="G20" s="252"/>
      <c r="H20" s="878"/>
      <c r="I20" s="879"/>
      <c r="J20" s="233"/>
      <c r="K20" s="19"/>
      <c r="L20" s="203"/>
    </row>
    <row r="21" spans="1:28">
      <c r="A21" s="202" t="s">
        <v>177</v>
      </c>
      <c r="B21" s="202" t="s">
        <v>267</v>
      </c>
      <c r="H21" s="880">
        <f>H15+H16+H17</f>
        <v>1688932.1497950002</v>
      </c>
      <c r="I21" s="881"/>
      <c r="J21" s="234"/>
      <c r="K21" s="197"/>
      <c r="L21" s="198"/>
      <c r="N21" s="192" t="s">
        <v>516</v>
      </c>
    </row>
    <row r="22" spans="1:28" ht="21.75" thickBot="1">
      <c r="A22" s="202"/>
      <c r="B22" s="202" t="s">
        <v>268</v>
      </c>
      <c r="H22" s="882">
        <f>IF(H21&lt;10000000,ROUNDDOWN(H21,-4),ROUNDDOWN(H21,-4))</f>
        <v>1680000</v>
      </c>
      <c r="I22" s="883"/>
      <c r="J22" s="230"/>
      <c r="K22" s="200"/>
      <c r="L22" s="199"/>
      <c r="N22" s="286">
        <v>2000000</v>
      </c>
      <c r="O22" s="326">
        <f>N22-H22</f>
        <v>320000</v>
      </c>
      <c r="P22" s="201"/>
    </row>
    <row r="23" spans="1:28" ht="21.75" thickTop="1">
      <c r="A23" s="204"/>
      <c r="B23" s="235" t="str">
        <f xml:space="preserve"> "("&amp;BAHTTEXT($H$22)&amp;")"</f>
        <v>(หนึ่งล้านหกแสนแปดหมื่นบาทถ้วน)</v>
      </c>
      <c r="C23" s="236"/>
      <c r="D23" s="207"/>
      <c r="E23" s="207"/>
      <c r="F23" s="207"/>
      <c r="G23" s="207"/>
      <c r="H23" s="207"/>
      <c r="I23" s="237"/>
      <c r="J23" s="238"/>
      <c r="K23" s="207"/>
      <c r="L23" s="196"/>
    </row>
    <row r="24" spans="1:28">
      <c r="B24" s="192" t="s">
        <v>178</v>
      </c>
      <c r="D24" s="884">
        <f>F11</f>
        <v>0.251</v>
      </c>
      <c r="E24" s="884"/>
      <c r="F24" s="192" t="s">
        <v>41</v>
      </c>
    </row>
    <row r="25" spans="1:28">
      <c r="B25" s="192" t="s">
        <v>179</v>
      </c>
      <c r="D25" s="877">
        <f>0</f>
        <v>0</v>
      </c>
      <c r="E25" s="877"/>
      <c r="F25" s="192" t="s">
        <v>44</v>
      </c>
      <c r="G25" s="633"/>
      <c r="H25" s="633"/>
      <c r="I25" s="633"/>
      <c r="J25" s="633"/>
      <c r="K25" s="633"/>
      <c r="L25" s="633"/>
    </row>
    <row r="26" spans="1:28">
      <c r="B26" s="200" t="s">
        <v>503</v>
      </c>
      <c r="D26" s="239"/>
      <c r="E26" s="239"/>
      <c r="G26" s="633"/>
      <c r="H26" s="633"/>
      <c r="I26" s="633"/>
      <c r="J26" s="633"/>
      <c r="K26" s="633"/>
      <c r="L26" s="633"/>
    </row>
    <row r="27" spans="1:28" ht="30" customHeight="1">
      <c r="B27" s="200"/>
      <c r="D27" s="277"/>
      <c r="E27" s="277"/>
      <c r="F27" s="282"/>
      <c r="G27" s="282"/>
      <c r="H27" s="282"/>
      <c r="I27" s="282"/>
      <c r="J27" s="282"/>
      <c r="K27" s="282"/>
      <c r="L27" s="282"/>
      <c r="M27" s="282"/>
    </row>
    <row r="28" spans="1:28" s="209" customFormat="1" ht="23.25" customHeight="1">
      <c r="B28" s="240" t="s">
        <v>504</v>
      </c>
      <c r="C28" s="240"/>
      <c r="D28" s="240"/>
      <c r="E28" s="240"/>
      <c r="G28" s="885"/>
      <c r="H28" s="885"/>
      <c r="I28" s="885"/>
      <c r="J28" s="885"/>
      <c r="K28" s="885"/>
      <c r="O28" s="192"/>
    </row>
    <row r="29" spans="1:28" s="209" customFormat="1" ht="21" customHeight="1">
      <c r="B29" s="888" t="str">
        <f>CONCATENATE("( ",ข้อมูล!P21," )"," ",)</f>
        <v xml:space="preserve">( นางสาวณิชาภา  หมื่นภักดี ) </v>
      </c>
      <c r="C29" s="888"/>
      <c r="D29" s="888"/>
      <c r="E29" s="888"/>
      <c r="F29" s="888"/>
      <c r="G29" s="23"/>
      <c r="H29" s="23"/>
      <c r="I29" s="23"/>
      <c r="J29" s="23"/>
      <c r="K29" s="23"/>
      <c r="L29" s="276"/>
      <c r="M29" s="276"/>
      <c r="N29" s="276"/>
      <c r="O29" s="276"/>
    </row>
    <row r="30" spans="1:28" s="209" customFormat="1" ht="19.5" customHeight="1">
      <c r="B30" s="888" t="str">
        <f>ข้อมูล!T21</f>
        <v>นักทรัพยากรบุคคลชำนาญการ</v>
      </c>
      <c r="C30" s="888"/>
      <c r="D30" s="888"/>
      <c r="E30" s="888"/>
      <c r="F30" s="888"/>
      <c r="G30" s="282"/>
      <c r="H30" s="887"/>
      <c r="I30" s="887"/>
      <c r="J30" s="285"/>
      <c r="K30" s="285"/>
      <c r="L30" s="275"/>
      <c r="M30" s="275"/>
      <c r="N30" s="275"/>
      <c r="O30" s="275"/>
    </row>
    <row r="31" spans="1:28" s="209" customFormat="1" ht="24" customHeight="1">
      <c r="B31" s="209" t="s">
        <v>505</v>
      </c>
      <c r="G31" s="23"/>
      <c r="H31" s="23"/>
      <c r="I31" s="23"/>
      <c r="J31" s="23"/>
      <c r="K31" s="23"/>
      <c r="O31" s="192"/>
    </row>
    <row r="32" spans="1:28" s="209" customFormat="1" ht="20.100000000000001" customHeight="1">
      <c r="B32" s="888" t="str">
        <f>CONCATENATE("( ",ข้อมูล!P22," )"," ",)</f>
        <v xml:space="preserve">( นางสาวสุพัตรา  ข้อออ ) </v>
      </c>
      <c r="C32" s="888"/>
      <c r="D32" s="888"/>
      <c r="E32" s="888"/>
      <c r="F32" s="888"/>
      <c r="G32" s="23"/>
      <c r="H32" s="23"/>
      <c r="I32" s="23"/>
      <c r="J32" s="23"/>
      <c r="K32" s="23"/>
      <c r="L32" s="192"/>
      <c r="M32" s="192"/>
      <c r="N32" s="192"/>
      <c r="O32" s="192"/>
    </row>
    <row r="33" spans="2:16" s="209" customFormat="1" ht="20.100000000000001" customHeight="1">
      <c r="B33" s="888" t="str">
        <f>ข้อมูล!T22</f>
        <v>นายช่างโยธาชำนาญงาน</v>
      </c>
      <c r="C33" s="888"/>
      <c r="D33" s="888"/>
      <c r="E33" s="888"/>
      <c r="F33" s="888"/>
      <c r="G33" s="510"/>
      <c r="H33" s="510"/>
      <c r="J33" s="285"/>
      <c r="K33" s="510"/>
      <c r="L33" s="510"/>
      <c r="M33" s="192"/>
      <c r="N33" s="192"/>
      <c r="O33" s="192"/>
    </row>
    <row r="34" spans="2:16" ht="30" customHeight="1">
      <c r="B34" s="211"/>
      <c r="C34" s="209"/>
      <c r="D34" s="209"/>
      <c r="E34" s="209"/>
      <c r="F34" s="209"/>
      <c r="G34" s="23"/>
      <c r="H34" s="23"/>
      <c r="I34" s="23"/>
      <c r="J34" s="23"/>
      <c r="K34" s="23"/>
      <c r="O34" s="858"/>
      <c r="P34" s="858"/>
    </row>
    <row r="35" spans="2:16" ht="20.100000000000001" customHeight="1">
      <c r="B35" s="209" t="s">
        <v>506</v>
      </c>
      <c r="C35" s="209"/>
      <c r="D35" s="209"/>
      <c r="F35" s="210"/>
      <c r="G35" s="23"/>
      <c r="H35" s="23"/>
      <c r="I35" s="23"/>
      <c r="J35" s="23"/>
      <c r="K35" s="23"/>
    </row>
    <row r="36" spans="2:16" ht="20.100000000000001" customHeight="1">
      <c r="B36" s="889" t="str">
        <f>ข้อมูล!P23</f>
        <v>นายธัชนนท์  นิติพันธุ์วณิช</v>
      </c>
      <c r="C36" s="889"/>
      <c r="D36" s="889"/>
      <c r="E36" s="889"/>
      <c r="F36" s="889"/>
      <c r="G36" s="886"/>
      <c r="H36" s="886"/>
      <c r="I36" s="886"/>
      <c r="J36" s="886"/>
      <c r="K36" s="886"/>
      <c r="L36" s="886"/>
    </row>
    <row r="37" spans="2:16" ht="20.100000000000001" customHeight="1">
      <c r="B37" s="868" t="str">
        <f>ข้อมูล!T23</f>
        <v>นักจัดการงานทั่วไปชำนาญการ</v>
      </c>
      <c r="C37" s="868"/>
      <c r="D37" s="868"/>
      <c r="E37" s="868"/>
      <c r="F37" s="868"/>
      <c r="G37" s="23"/>
      <c r="H37" s="23"/>
      <c r="I37" s="23"/>
      <c r="J37" s="23"/>
      <c r="K37" s="23"/>
    </row>
    <row r="38" spans="2:16" ht="20.100000000000001" customHeight="1">
      <c r="H38" s="282"/>
      <c r="J38" s="282"/>
      <c r="K38" s="23"/>
    </row>
  </sheetData>
  <mergeCells count="31">
    <mergeCell ref="B36:F36"/>
    <mergeCell ref="B37:F37"/>
    <mergeCell ref="U9:V9"/>
    <mergeCell ref="Y9:AA9"/>
    <mergeCell ref="U10:V10"/>
    <mergeCell ref="U11:V11"/>
    <mergeCell ref="B14:E14"/>
    <mergeCell ref="H15:I15"/>
    <mergeCell ref="H16:I16"/>
    <mergeCell ref="D25:E25"/>
    <mergeCell ref="H20:I20"/>
    <mergeCell ref="H21:I21"/>
    <mergeCell ref="H22:I22"/>
    <mergeCell ref="D24:E24"/>
    <mergeCell ref="G28:K28"/>
    <mergeCell ref="G36:L36"/>
    <mergeCell ref="H30:I30"/>
    <mergeCell ref="A1:L1"/>
    <mergeCell ref="A2:L2"/>
    <mergeCell ref="G8:H8"/>
    <mergeCell ref="O34:P34"/>
    <mergeCell ref="H17:I17"/>
    <mergeCell ref="H18:I18"/>
    <mergeCell ref="H19:I19"/>
    <mergeCell ref="P9:T9"/>
    <mergeCell ref="J14:L14"/>
    <mergeCell ref="H14:I14"/>
    <mergeCell ref="B29:F29"/>
    <mergeCell ref="B30:F30"/>
    <mergeCell ref="B32:F32"/>
    <mergeCell ref="B33:F33"/>
  </mergeCells>
  <phoneticPr fontId="0" type="noConversion"/>
  <pageMargins left="0.43307086614173229" right="0.23622047244094491" top="0.62992125984251968" bottom="0.27559055118110237" header="0.51181102362204722" footer="0.27559055118110237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6"/>
  <sheetViews>
    <sheetView topLeftCell="A10" workbookViewId="0">
      <selection activeCell="B3" sqref="B3"/>
    </sheetView>
  </sheetViews>
  <sheetFormatPr defaultColWidth="9.140625" defaultRowHeight="21.75"/>
  <cols>
    <col min="1" max="1" width="7" style="77" customWidth="1"/>
    <col min="2" max="2" width="8" style="77" customWidth="1"/>
    <col min="3" max="3" width="8.85546875" style="77" customWidth="1"/>
    <col min="4" max="4" width="9.85546875" style="77" customWidth="1"/>
    <col min="5" max="5" width="8.42578125" style="77" customWidth="1"/>
    <col min="6" max="6" width="11.28515625" style="77" customWidth="1"/>
    <col min="7" max="7" width="10.28515625" style="77" customWidth="1"/>
    <col min="8" max="8" width="12.5703125" style="77" customWidth="1"/>
    <col min="9" max="9" width="13.5703125" style="77" customWidth="1"/>
    <col min="10" max="10" width="10" style="77" customWidth="1"/>
    <col min="11" max="11" width="7" style="77" customWidth="1"/>
    <col min="12" max="12" width="6.140625" style="77" customWidth="1"/>
    <col min="13" max="16384" width="9.140625" style="77"/>
  </cols>
  <sheetData>
    <row r="1" spans="1:14">
      <c r="A1" s="51" t="s">
        <v>39</v>
      </c>
      <c r="B1" s="25">
        <f>ข้อมูล!$C$7</f>
        <v>0</v>
      </c>
      <c r="C1" s="23"/>
      <c r="D1" s="23"/>
      <c r="E1" s="23"/>
      <c r="F1" s="24" t="s">
        <v>23</v>
      </c>
      <c r="G1" s="23"/>
      <c r="H1" s="23" t="str">
        <f>ข้อมูล!$E$7</f>
        <v>สายภายในศาลากลางจังหวัดเพชรบุรี</v>
      </c>
      <c r="I1" s="23"/>
    </row>
    <row r="2" spans="1:14">
      <c r="A2" s="51" t="s">
        <v>40</v>
      </c>
      <c r="B2" s="25" t="str">
        <f>ข้อมูล!$C$8</f>
        <v>อำเภอเมือง จังหวัดเพชรบุรี</v>
      </c>
      <c r="C2" s="23"/>
      <c r="D2" s="23"/>
      <c r="E2" s="23"/>
      <c r="F2" s="24" t="s">
        <v>254</v>
      </c>
      <c r="G2" s="23"/>
      <c r="H2" s="62">
        <v>2.2450000000000001</v>
      </c>
      <c r="I2" s="25" t="s">
        <v>41</v>
      </c>
    </row>
    <row r="3" spans="1:14">
      <c r="A3" s="71"/>
      <c r="B3" s="72" t="s">
        <v>276</v>
      </c>
      <c r="C3" s="72"/>
      <c r="D3" s="72"/>
      <c r="E3" s="72"/>
      <c r="F3" s="892" t="s">
        <v>277</v>
      </c>
      <c r="G3" s="892"/>
      <c r="H3" s="73"/>
      <c r="I3" s="74" t="s">
        <v>278</v>
      </c>
      <c r="J3" s="75">
        <v>0.15</v>
      </c>
      <c r="K3" s="76">
        <v>0.15</v>
      </c>
      <c r="L3" s="113">
        <v>0.15</v>
      </c>
      <c r="M3" s="892" t="s">
        <v>370</v>
      </c>
      <c r="N3" s="892"/>
    </row>
    <row r="4" spans="1:14">
      <c r="A4" s="78"/>
      <c r="B4" s="893">
        <v>2.2450000000000001</v>
      </c>
      <c r="C4" s="893"/>
      <c r="D4" s="79" t="s">
        <v>279</v>
      </c>
      <c r="E4" s="80"/>
      <c r="F4" s="81">
        <f>B4*1000</f>
        <v>2245</v>
      </c>
      <c r="G4" s="82">
        <f>SUM(C8:C14)+SUM(C19:C23)</f>
        <v>2245</v>
      </c>
      <c r="H4" s="83" t="str">
        <f>IF(G4=F4,"ปกติ","ตรวจสอบด่วน")</f>
        <v>ปกติ</v>
      </c>
      <c r="I4" s="84">
        <f>IF(J3=0.1,K4*M4,L4*M4)</f>
        <v>808.19999999999993</v>
      </c>
      <c r="J4" s="80">
        <v>0.4</v>
      </c>
      <c r="K4" s="85">
        <v>0.24</v>
      </c>
      <c r="L4" s="514">
        <v>0.36</v>
      </c>
      <c r="M4" s="77">
        <f>H2*1000</f>
        <v>2245</v>
      </c>
    </row>
    <row r="5" spans="1:14">
      <c r="A5" s="87"/>
      <c r="B5" s="80"/>
      <c r="C5" s="80"/>
      <c r="D5" s="80"/>
      <c r="E5" s="80"/>
      <c r="F5" s="80"/>
      <c r="G5" s="80"/>
      <c r="H5" s="88"/>
      <c r="I5" s="80"/>
      <c r="J5" s="80"/>
      <c r="K5" s="80"/>
      <c r="L5" s="88"/>
    </row>
    <row r="6" spans="1:14">
      <c r="A6" s="894" t="s">
        <v>280</v>
      </c>
      <c r="B6" s="895"/>
      <c r="C6" s="89"/>
      <c r="D6" s="89"/>
      <c r="E6" s="89"/>
      <c r="F6" s="89"/>
      <c r="G6" s="90"/>
      <c r="H6" s="73"/>
      <c r="I6" s="74" t="s">
        <v>281</v>
      </c>
      <c r="J6" s="74" t="s">
        <v>282</v>
      </c>
      <c r="K6" s="89" t="s">
        <v>368</v>
      </c>
      <c r="L6" s="73"/>
    </row>
    <row r="7" spans="1:14">
      <c r="A7" s="91" t="s">
        <v>41</v>
      </c>
      <c r="B7" s="92" t="s">
        <v>41</v>
      </c>
      <c r="C7" s="92" t="s">
        <v>283</v>
      </c>
      <c r="D7" s="92" t="s">
        <v>284</v>
      </c>
      <c r="E7" s="92" t="s">
        <v>285</v>
      </c>
      <c r="F7" s="92" t="s">
        <v>286</v>
      </c>
      <c r="G7" s="92" t="s">
        <v>287</v>
      </c>
      <c r="H7" s="86" t="s">
        <v>288</v>
      </c>
      <c r="I7" s="80"/>
      <c r="J7" s="80"/>
      <c r="K7" s="80"/>
      <c r="L7" s="88"/>
    </row>
    <row r="8" spans="1:14">
      <c r="A8" s="512">
        <v>0</v>
      </c>
      <c r="B8" s="513">
        <v>100</v>
      </c>
      <c r="C8" s="95">
        <f t="shared" ref="C8" si="0">IF(B8-A8&lt;=0,0,B8-A8)</f>
        <v>100</v>
      </c>
      <c r="D8" s="95">
        <v>0</v>
      </c>
      <c r="E8" s="95">
        <v>6</v>
      </c>
      <c r="F8" s="95">
        <v>2.5</v>
      </c>
      <c r="G8" s="84">
        <f t="shared" ref="G8:G14" si="1">IF(C8&lt;=0,0,(C8-D8)*E8)</f>
        <v>600</v>
      </c>
      <c r="H8" s="26">
        <f t="shared" ref="H8:H14" si="2">IF(C8&lt;=0,0,2*(C8-D8)*F8)</f>
        <v>500</v>
      </c>
      <c r="I8" s="84">
        <f>IF(G8&lt;=0,0,G8*1.01)</f>
        <v>606</v>
      </c>
      <c r="J8" s="84">
        <f t="shared" ref="J8:J14" si="3">IF(H8&lt;=0,0,H8)</f>
        <v>500</v>
      </c>
      <c r="K8" s="80">
        <v>300</v>
      </c>
      <c r="L8" s="88"/>
    </row>
    <row r="9" spans="1:14">
      <c r="A9" s="512">
        <v>100</v>
      </c>
      <c r="B9" s="513">
        <v>170</v>
      </c>
      <c r="C9" s="95">
        <f>IF(B9-A9&lt;=0,0,B9-A9)</f>
        <v>70</v>
      </c>
      <c r="D9" s="95">
        <v>0</v>
      </c>
      <c r="E9" s="95">
        <v>6</v>
      </c>
      <c r="F9" s="95">
        <v>1.4</v>
      </c>
      <c r="G9" s="84">
        <f t="shared" si="1"/>
        <v>420</v>
      </c>
      <c r="H9" s="26">
        <f t="shared" si="2"/>
        <v>196</v>
      </c>
      <c r="I9" s="84">
        <f>IF(G9&lt;=0,0,G9*1.01)</f>
        <v>424.2</v>
      </c>
      <c r="J9" s="84">
        <f t="shared" si="3"/>
        <v>196</v>
      </c>
      <c r="K9" s="96"/>
      <c r="L9" s="88"/>
    </row>
    <row r="10" spans="1:14">
      <c r="A10" s="512">
        <v>170</v>
      </c>
      <c r="B10" s="513">
        <v>2000</v>
      </c>
      <c r="C10" s="95">
        <f t="shared" ref="C10" si="4">IF(B10-A10&lt;=0,0,B10-A10)</f>
        <v>1830</v>
      </c>
      <c r="D10" s="95">
        <v>0</v>
      </c>
      <c r="E10" s="95">
        <v>6</v>
      </c>
      <c r="F10" s="95">
        <v>1</v>
      </c>
      <c r="G10" s="84">
        <f t="shared" ref="G10" si="5">IF(C10&lt;=0,0,(C10-D10)*E10)</f>
        <v>10980</v>
      </c>
      <c r="H10" s="26">
        <f t="shared" ref="H10" si="6">IF(C10&lt;=0,0,2*(C10-D10)*F10)</f>
        <v>3660</v>
      </c>
      <c r="I10" s="84">
        <f>IF(G10&lt;=0,0,G10*1.01)</f>
        <v>11089.8</v>
      </c>
      <c r="J10" s="84">
        <f t="shared" ref="J10" si="7">IF(H10&lt;=0,0,H10)</f>
        <v>3660</v>
      </c>
      <c r="K10" s="80"/>
      <c r="L10" s="88"/>
    </row>
    <row r="11" spans="1:14">
      <c r="A11" s="512"/>
      <c r="B11" s="513"/>
      <c r="C11" s="95"/>
      <c r="D11" s="95"/>
      <c r="E11" s="95"/>
      <c r="F11" s="95"/>
      <c r="G11" s="84">
        <f t="shared" si="1"/>
        <v>0</v>
      </c>
      <c r="H11" s="26">
        <f t="shared" si="2"/>
        <v>0</v>
      </c>
      <c r="I11" s="84">
        <f t="shared" ref="I11:I14" si="8">IF(G11&lt;=0,0,G11*1.01)</f>
        <v>0</v>
      </c>
      <c r="J11" s="84">
        <f t="shared" si="3"/>
        <v>0</v>
      </c>
      <c r="K11" s="80"/>
      <c r="L11" s="88"/>
    </row>
    <row r="12" spans="1:14">
      <c r="A12" s="512"/>
      <c r="B12" s="513"/>
      <c r="C12" s="95"/>
      <c r="D12" s="95"/>
      <c r="E12" s="95"/>
      <c r="F12" s="95">
        <v>0</v>
      </c>
      <c r="G12" s="84">
        <f t="shared" si="1"/>
        <v>0</v>
      </c>
      <c r="H12" s="26">
        <f t="shared" si="2"/>
        <v>0</v>
      </c>
      <c r="I12" s="84">
        <f t="shared" si="8"/>
        <v>0</v>
      </c>
      <c r="J12" s="84">
        <f t="shared" si="3"/>
        <v>0</v>
      </c>
      <c r="K12" s="80"/>
      <c r="L12" s="88"/>
    </row>
    <row r="13" spans="1:14">
      <c r="A13" s="93"/>
      <c r="B13" s="94"/>
      <c r="C13" s="95">
        <f>IF(B13-A13&lt;=0,0,B13-A13)</f>
        <v>0</v>
      </c>
      <c r="D13" s="95"/>
      <c r="E13" s="95"/>
      <c r="F13" s="95"/>
      <c r="G13" s="84">
        <f t="shared" si="1"/>
        <v>0</v>
      </c>
      <c r="H13" s="26">
        <f t="shared" si="2"/>
        <v>0</v>
      </c>
      <c r="I13" s="84">
        <f t="shared" si="8"/>
        <v>0</v>
      </c>
      <c r="J13" s="84">
        <f t="shared" si="3"/>
        <v>0</v>
      </c>
      <c r="K13" s="80"/>
      <c r="L13" s="88"/>
    </row>
    <row r="14" spans="1:14">
      <c r="A14" s="93"/>
      <c r="B14" s="94"/>
      <c r="C14" s="95">
        <f>IF(B14-A14&lt;=0,0,B14-A14)</f>
        <v>0</v>
      </c>
      <c r="D14" s="95"/>
      <c r="E14" s="95"/>
      <c r="F14" s="95"/>
      <c r="G14" s="84">
        <f t="shared" si="1"/>
        <v>0</v>
      </c>
      <c r="H14" s="26">
        <f t="shared" si="2"/>
        <v>0</v>
      </c>
      <c r="I14" s="84">
        <f t="shared" si="8"/>
        <v>0</v>
      </c>
      <c r="J14" s="84">
        <f t="shared" si="3"/>
        <v>0</v>
      </c>
      <c r="K14" s="80"/>
      <c r="L14" s="88"/>
    </row>
    <row r="15" spans="1:14">
      <c r="A15" s="97"/>
      <c r="B15" s="98" t="s">
        <v>30</v>
      </c>
      <c r="C15" s="99">
        <f>SUM(C8:C14)</f>
        <v>2000</v>
      </c>
      <c r="D15" s="99">
        <f>C15-D8</f>
        <v>2000</v>
      </c>
      <c r="E15" s="100"/>
      <c r="F15" s="100"/>
      <c r="G15" s="101">
        <f>SUM(G8:G14)</f>
        <v>12000</v>
      </c>
      <c r="H15" s="102">
        <f>SUM(H8:H14)</f>
        <v>4356</v>
      </c>
      <c r="I15" s="101">
        <f>SUM(I8:I14)</f>
        <v>12120</v>
      </c>
      <c r="J15" s="101">
        <f>SUM(J8:J14)</f>
        <v>4356</v>
      </c>
      <c r="K15" s="103"/>
      <c r="L15" s="102">
        <f>SUM(L8:L14)</f>
        <v>0</v>
      </c>
    </row>
    <row r="16" spans="1:14">
      <c r="A16" s="104"/>
      <c r="B16" s="105"/>
      <c r="C16" s="106"/>
      <c r="D16" s="106"/>
      <c r="E16" s="107"/>
      <c r="F16" s="107"/>
      <c r="G16" s="108">
        <f>G15+H15</f>
        <v>16356</v>
      </c>
      <c r="H16" s="108"/>
      <c r="I16" s="109">
        <f>I15+J15</f>
        <v>16476</v>
      </c>
      <c r="J16" s="110"/>
      <c r="K16" s="80"/>
      <c r="L16" s="102"/>
    </row>
    <row r="17" spans="1:12">
      <c r="A17" s="896" t="s">
        <v>431</v>
      </c>
      <c r="B17" s="897"/>
      <c r="C17" s="111"/>
      <c r="D17" s="111"/>
      <c r="E17" s="112"/>
      <c r="F17" s="112"/>
      <c r="G17" s="76"/>
      <c r="H17" s="113"/>
      <c r="I17" s="114"/>
      <c r="J17" s="114"/>
      <c r="K17" s="89"/>
      <c r="L17" s="73"/>
    </row>
    <row r="18" spans="1:12">
      <c r="A18" s="104" t="s">
        <v>41</v>
      </c>
      <c r="B18" s="115" t="s">
        <v>41</v>
      </c>
      <c r="C18" s="115" t="s">
        <v>283</v>
      </c>
      <c r="D18" s="115"/>
      <c r="E18" s="115" t="s">
        <v>285</v>
      </c>
      <c r="F18" s="115" t="s">
        <v>286</v>
      </c>
      <c r="G18" s="92" t="s">
        <v>287</v>
      </c>
      <c r="H18" s="86" t="s">
        <v>288</v>
      </c>
      <c r="I18" s="80"/>
      <c r="J18" s="80"/>
      <c r="K18" s="80"/>
      <c r="L18" s="88"/>
    </row>
    <row r="19" spans="1:12">
      <c r="A19" s="512">
        <v>2000</v>
      </c>
      <c r="B19" s="513">
        <v>2245</v>
      </c>
      <c r="C19" s="95">
        <f t="shared" ref="C19" si="9">IF(B19-A19&lt;=0,0,B19-A19)</f>
        <v>245</v>
      </c>
      <c r="D19" s="95">
        <v>0</v>
      </c>
      <c r="E19" s="95">
        <v>6</v>
      </c>
      <c r="F19" s="95">
        <v>1.4</v>
      </c>
      <c r="G19" s="84">
        <f t="shared" ref="G19" si="10">IF(C19&lt;=0,0,(C19-D19)*E19)</f>
        <v>1470</v>
      </c>
      <c r="H19" s="26">
        <f t="shared" ref="H19" si="11">IF(C19&lt;=0,0,2*(C19-D19)*F19)</f>
        <v>686</v>
      </c>
      <c r="I19" s="84">
        <f>IF(G19&lt;=0,0,G19*1.01)</f>
        <v>1484.7</v>
      </c>
      <c r="J19" s="84">
        <f>IF(H19&lt;=0,0,H19)</f>
        <v>686</v>
      </c>
      <c r="K19" s="80"/>
      <c r="L19" s="88"/>
    </row>
    <row r="20" spans="1:12">
      <c r="A20" s="93"/>
      <c r="B20" s="94"/>
      <c r="C20" s="95">
        <f>B20-A20</f>
        <v>0</v>
      </c>
      <c r="D20" s="95"/>
      <c r="E20" s="95">
        <v>0</v>
      </c>
      <c r="F20" s="95">
        <v>0</v>
      </c>
      <c r="G20" s="84">
        <f>IF(C20&lt;=0,0,(C20-D20)*E20)</f>
        <v>0</v>
      </c>
      <c r="H20" s="26">
        <f>IF(C20&lt;=0,0,2*(C20-D20)*F20)</f>
        <v>0</v>
      </c>
      <c r="I20" s="84">
        <f>IF(G20&lt;=0,0,G20*1.01)</f>
        <v>0</v>
      </c>
      <c r="J20" s="84">
        <f>IF(H20&lt;=0,0,H20)</f>
        <v>0</v>
      </c>
      <c r="K20" s="80"/>
      <c r="L20" s="88"/>
    </row>
    <row r="21" spans="1:12">
      <c r="A21" s="93"/>
      <c r="B21" s="94"/>
      <c r="C21" s="95">
        <f>IF(B21-A21&lt;=0,0,B21-A21)</f>
        <v>0</v>
      </c>
      <c r="D21" s="95"/>
      <c r="E21" s="95">
        <v>0</v>
      </c>
      <c r="F21" s="95">
        <v>0</v>
      </c>
      <c r="G21" s="84">
        <f>IF(C21&lt;=0,0,(C21-D21)*E21)</f>
        <v>0</v>
      </c>
      <c r="H21" s="26">
        <f>IF(C21&lt;=0,0,2*(C21-D21)*F21)</f>
        <v>0</v>
      </c>
      <c r="I21" s="84">
        <f>IF(G21&lt;=0,0,G21*1.01)</f>
        <v>0</v>
      </c>
      <c r="J21" s="84">
        <f>IF(H21&lt;=0,0,H21)</f>
        <v>0</v>
      </c>
      <c r="K21" s="80"/>
      <c r="L21" s="88"/>
    </row>
    <row r="22" spans="1:12">
      <c r="A22" s="93"/>
      <c r="B22" s="94"/>
      <c r="C22" s="95">
        <f>IF(B22-A22&lt;=0,0,B22-A22)</f>
        <v>0</v>
      </c>
      <c r="D22" s="95"/>
      <c r="E22" s="95">
        <v>0</v>
      </c>
      <c r="F22" s="95">
        <v>0</v>
      </c>
      <c r="G22" s="84">
        <f>IF(C22&lt;=0,0,(C22-D22)*E22)</f>
        <v>0</v>
      </c>
      <c r="H22" s="26">
        <f>IF(C22&lt;=0,0,2*(C22-D22)*F22)</f>
        <v>0</v>
      </c>
      <c r="I22" s="84">
        <f>IF(G22&lt;=0,0,G22*1.01)</f>
        <v>0</v>
      </c>
      <c r="J22" s="84">
        <f>IF(H22&lt;=0,0,H22)</f>
        <v>0</v>
      </c>
      <c r="K22" s="80"/>
      <c r="L22" s="88"/>
    </row>
    <row r="23" spans="1:12">
      <c r="A23" s="93"/>
      <c r="B23" s="94"/>
      <c r="C23" s="95">
        <f>IF(B23-A23&lt;=0,0,B23-A23)</f>
        <v>0</v>
      </c>
      <c r="D23" s="95"/>
      <c r="E23" s="95">
        <v>0</v>
      </c>
      <c r="F23" s="95">
        <v>0</v>
      </c>
      <c r="G23" s="84">
        <f>IF(C23&lt;=0,0,(C23-D23)*E23)</f>
        <v>0</v>
      </c>
      <c r="H23" s="26">
        <f>IF(C23&lt;=0,0,2*(C23-D23)*F23)</f>
        <v>0</v>
      </c>
      <c r="I23" s="84">
        <f>IF(G23&lt;=0,0,G23*1.01)</f>
        <v>0</v>
      </c>
      <c r="J23" s="84">
        <f>IF(H23&lt;=0,0,H23)</f>
        <v>0</v>
      </c>
      <c r="K23" s="80"/>
      <c r="L23" s="88"/>
    </row>
    <row r="24" spans="1:12">
      <c r="A24" s="116"/>
      <c r="B24" s="117" t="s">
        <v>30</v>
      </c>
      <c r="C24" s="118">
        <f>SUM(C19:C23)</f>
        <v>245</v>
      </c>
      <c r="D24" s="118">
        <f>C24-D19</f>
        <v>245</v>
      </c>
      <c r="E24" s="119"/>
      <c r="F24" s="119"/>
      <c r="G24" s="101">
        <f>SUM(G19:G23)</f>
        <v>1470</v>
      </c>
      <c r="H24" s="102">
        <f>SUM(H19:H23)</f>
        <v>686</v>
      </c>
      <c r="I24" s="101">
        <f>SUM(I19:I23)</f>
        <v>1484.7</v>
      </c>
      <c r="J24" s="101">
        <f>SUM(J19:J23)</f>
        <v>686</v>
      </c>
      <c r="K24" s="103"/>
      <c r="L24" s="120"/>
    </row>
    <row r="25" spans="1:12">
      <c r="G25" s="890">
        <f>G24+H24</f>
        <v>2156</v>
      </c>
      <c r="H25" s="891"/>
      <c r="I25" s="109">
        <f>I24+J24</f>
        <v>2170.6999999999998</v>
      </c>
      <c r="J25" s="121"/>
    </row>
    <row r="27" spans="1:12">
      <c r="F27" s="122"/>
    </row>
    <row r="28" spans="1:12">
      <c r="F28" s="122"/>
    </row>
    <row r="29" spans="1:12">
      <c r="F29" s="123"/>
    </row>
    <row r="30" spans="1:12">
      <c r="F30" s="80"/>
    </row>
    <row r="31" spans="1:12">
      <c r="F31" s="92"/>
    </row>
    <row r="32" spans="1:12">
      <c r="F32" s="92"/>
    </row>
    <row r="33" spans="6:6">
      <c r="F33" s="92"/>
    </row>
    <row r="34" spans="6:6">
      <c r="F34" s="92"/>
    </row>
    <row r="35" spans="6:6">
      <c r="F35" s="92"/>
    </row>
    <row r="36" spans="6:6">
      <c r="F36" s="123"/>
    </row>
  </sheetData>
  <mergeCells count="6">
    <mergeCell ref="G25:H25"/>
    <mergeCell ref="M3:N3"/>
    <mergeCell ref="F3:G3"/>
    <mergeCell ref="B4:C4"/>
    <mergeCell ref="A6:B6"/>
    <mergeCell ref="A17:B17"/>
  </mergeCells>
  <conditionalFormatting sqref="G4">
    <cfRule type="cellIs" dxfId="7" priority="10" stopIfTrue="1" operator="equal">
      <formula>"สาย"</formula>
    </cfRule>
  </conditionalFormatting>
  <conditionalFormatting sqref="H4">
    <cfRule type="cellIs" dxfId="6" priority="1" stopIfTrue="1" operator="greaterThan">
      <formula>$H$4</formula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">
      <iconSet iconSet="3Symbols2">
        <cfvo type="percent" val="0"/>
        <cfvo type="percent" val="33"/>
        <cfvo type="percent" val="67"/>
      </iconSet>
    </cfRule>
    <cfRule type="cellIs" dxfId="5" priority="4" stopIfTrue="1" operator="greaterThan">
      <formula>$F$4</formula>
    </cfRule>
    <cfRule type="cellIs" dxfId="4" priority="5" stopIfTrue="1" operator="equal">
      <formula>$H$4</formula>
    </cfRule>
    <cfRule type="cellIs" dxfId="3" priority="6" stopIfTrue="1" operator="equal">
      <formula>$H$4</formula>
    </cfRule>
    <cfRule type="containsText" dxfId="2" priority="7" stopIfTrue="1" operator="containsText" text="ตรวสอบด่วน">
      <formula>NOT(ISERROR(SEARCH("ตรวสอบด่วน",H4)))</formula>
    </cfRule>
    <cfRule type="containsText" dxfId="1" priority="8" stopIfTrue="1" operator="containsText" text="ตรวจสอบด่วน">
      <formula>NOT(ISERROR(SEARCH("ตรวจสอบด่วน",H4)))</formula>
    </cfRule>
    <cfRule type="cellIs" dxfId="0" priority="9" stopIfTrue="1" operator="equal">
      <formula>"สาย"</formula>
    </cfRule>
  </conditionalFormatting>
  <pageMargins left="0.7" right="0.7" top="0.75" bottom="0.75" header="0.3" footer="0.3"/>
  <pageSetup paperSize="9" scale="8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3"/>
  <sheetViews>
    <sheetView topLeftCell="A13" workbookViewId="0">
      <selection activeCell="B3" sqref="B3"/>
    </sheetView>
  </sheetViews>
  <sheetFormatPr defaultRowHeight="21" customHeight="1"/>
  <cols>
    <col min="1" max="1" width="6.42578125" style="515" customWidth="1"/>
    <col min="2" max="2" width="50.85546875" style="515" customWidth="1"/>
    <col min="3" max="3" width="9" style="515" customWidth="1"/>
    <col min="4" max="4" width="6.28515625" style="515" customWidth="1"/>
    <col min="5" max="5" width="12.28515625" style="515" customWidth="1"/>
    <col min="6" max="6" width="13.7109375" style="515" customWidth="1"/>
    <col min="7" max="7" width="9.140625" style="515"/>
    <col min="8" max="8" width="11.5703125" style="515" customWidth="1"/>
    <col min="9" max="9" width="15.7109375" style="515" customWidth="1"/>
    <col min="10" max="16384" width="9.140625" style="515"/>
  </cols>
  <sheetData>
    <row r="1" spans="1:9" ht="24">
      <c r="A1" s="902" t="s">
        <v>372</v>
      </c>
      <c r="B1" s="902"/>
      <c r="C1" s="902"/>
      <c r="D1" s="902"/>
      <c r="E1" s="902"/>
      <c r="F1" s="902"/>
    </row>
    <row r="2" spans="1:9" ht="21.75">
      <c r="A2" s="516" t="s">
        <v>373</v>
      </c>
      <c r="B2" s="516"/>
      <c r="C2" s="517"/>
      <c r="D2" s="517"/>
      <c r="E2" s="516"/>
      <c r="F2" s="517"/>
    </row>
    <row r="3" spans="1:9" ht="21.75">
      <c r="A3" s="518" t="s">
        <v>374</v>
      </c>
      <c r="B3" s="519"/>
      <c r="C3" s="520"/>
      <c r="D3" s="521" t="s">
        <v>24</v>
      </c>
      <c r="E3" s="522">
        <v>9</v>
      </c>
      <c r="F3" s="523" t="s">
        <v>371</v>
      </c>
      <c r="G3" s="521"/>
    </row>
    <row r="4" spans="1:9" ht="21.75">
      <c r="A4" s="898" t="s">
        <v>375</v>
      </c>
      <c r="B4" s="898" t="s">
        <v>1</v>
      </c>
      <c r="C4" s="898" t="s">
        <v>25</v>
      </c>
      <c r="D4" s="898" t="s">
        <v>376</v>
      </c>
      <c r="E4" s="904" t="s">
        <v>377</v>
      </c>
      <c r="F4" s="905"/>
      <c r="G4" s="898" t="s">
        <v>378</v>
      </c>
      <c r="H4" s="524" t="s">
        <v>265</v>
      </c>
      <c r="I4" s="525" t="s">
        <v>379</v>
      </c>
    </row>
    <row r="5" spans="1:9" ht="21.75">
      <c r="A5" s="903"/>
      <c r="B5" s="903"/>
      <c r="C5" s="903"/>
      <c r="D5" s="903"/>
      <c r="E5" s="526" t="s">
        <v>265</v>
      </c>
      <c r="F5" s="526" t="s">
        <v>380</v>
      </c>
      <c r="G5" s="899"/>
      <c r="H5" s="527" t="s">
        <v>381</v>
      </c>
      <c r="I5" s="528" t="s">
        <v>382</v>
      </c>
    </row>
    <row r="6" spans="1:9" ht="21.75">
      <c r="A6" s="529">
        <v>1</v>
      </c>
      <c r="B6" s="530" t="s">
        <v>383</v>
      </c>
      <c r="C6" s="529"/>
      <c r="D6" s="529"/>
      <c r="E6" s="529"/>
      <c r="F6" s="529"/>
      <c r="G6" s="531"/>
      <c r="H6" s="531"/>
      <c r="I6" s="531"/>
    </row>
    <row r="7" spans="1:9" ht="21.75">
      <c r="A7" s="530"/>
      <c r="B7" s="530" t="s">
        <v>426</v>
      </c>
      <c r="C7" s="532">
        <f>1*E$3</f>
        <v>9</v>
      </c>
      <c r="D7" s="533" t="s">
        <v>371</v>
      </c>
      <c r="E7" s="534">
        <v>11000</v>
      </c>
      <c r="F7" s="535">
        <f>E7*C7</f>
        <v>99000</v>
      </c>
      <c r="G7" s="531">
        <f>'[20]สรุปราคา ปร.5'!G$11</f>
        <v>1.3028999999999999</v>
      </c>
      <c r="H7" s="536">
        <f>E7*G7</f>
        <v>14331.9</v>
      </c>
      <c r="I7" s="536">
        <f>H7*C7</f>
        <v>128987.09999999999</v>
      </c>
    </row>
    <row r="8" spans="1:9" ht="21.75">
      <c r="A8" s="530"/>
      <c r="B8" s="530" t="s">
        <v>384</v>
      </c>
      <c r="C8" s="532">
        <f>1*E$3</f>
        <v>9</v>
      </c>
      <c r="D8" s="533" t="s">
        <v>385</v>
      </c>
      <c r="E8" s="534">
        <v>9000</v>
      </c>
      <c r="F8" s="535">
        <f t="shared" ref="F8:F13" si="0">E8*C8</f>
        <v>81000</v>
      </c>
      <c r="G8" s="531">
        <f>'[20]สรุปราคา ปร.5'!G$11</f>
        <v>1.3028999999999999</v>
      </c>
      <c r="H8" s="536">
        <f>E8*G8</f>
        <v>11726.1</v>
      </c>
      <c r="I8" s="536">
        <f t="shared" ref="I8:I14" si="1">H8*C8</f>
        <v>105534.90000000001</v>
      </c>
    </row>
    <row r="9" spans="1:9" ht="21.75">
      <c r="A9" s="530"/>
      <c r="B9" s="530" t="s">
        <v>386</v>
      </c>
      <c r="C9" s="532">
        <f>1*E$3</f>
        <v>9</v>
      </c>
      <c r="D9" s="533" t="s">
        <v>37</v>
      </c>
      <c r="E9" s="534">
        <v>400</v>
      </c>
      <c r="F9" s="535">
        <f t="shared" si="0"/>
        <v>3600</v>
      </c>
      <c r="G9" s="531">
        <f>'[20]สรุปราคา ปร.5'!G$11</f>
        <v>1.3028999999999999</v>
      </c>
      <c r="H9" s="536">
        <f t="shared" ref="H9:H25" si="2">E9*G9</f>
        <v>521.16</v>
      </c>
      <c r="I9" s="536">
        <f t="shared" si="1"/>
        <v>4690.4399999999996</v>
      </c>
    </row>
    <row r="10" spans="1:9" ht="21.75">
      <c r="A10" s="530"/>
      <c r="B10" s="530" t="s">
        <v>387</v>
      </c>
      <c r="C10" s="532">
        <f>1*E$3</f>
        <v>9</v>
      </c>
      <c r="D10" s="533" t="s">
        <v>124</v>
      </c>
      <c r="E10" s="534">
        <f>[20]ต้นทุนไฟฟ้า!H22</f>
        <v>3500</v>
      </c>
      <c r="F10" s="535">
        <f t="shared" si="0"/>
        <v>31500</v>
      </c>
      <c r="G10" s="531">
        <f>'[20]สรุปราคา ปร.5'!G$11</f>
        <v>1.3028999999999999</v>
      </c>
      <c r="H10" s="536">
        <f t="shared" si="2"/>
        <v>4560.1499999999996</v>
      </c>
      <c r="I10" s="536">
        <f t="shared" si="1"/>
        <v>41041.35</v>
      </c>
    </row>
    <row r="11" spans="1:9" ht="21.75">
      <c r="A11" s="530"/>
      <c r="B11" s="530" t="s">
        <v>388</v>
      </c>
      <c r="C11" s="532">
        <f>12*E$3</f>
        <v>108</v>
      </c>
      <c r="D11" s="533" t="s">
        <v>202</v>
      </c>
      <c r="E11" s="537">
        <f>[20]ต้นทุนไฟฟ้า!F26</f>
        <v>40.6</v>
      </c>
      <c r="F11" s="535">
        <f t="shared" si="0"/>
        <v>4384.8</v>
      </c>
      <c r="G11" s="531">
        <f>'[20]สรุปราคา ปร.5'!G$11</f>
        <v>1.3028999999999999</v>
      </c>
      <c r="H11" s="536">
        <f t="shared" si="2"/>
        <v>52.897739999999999</v>
      </c>
      <c r="I11" s="536">
        <f t="shared" si="1"/>
        <v>5712.9559200000003</v>
      </c>
    </row>
    <row r="12" spans="1:9" ht="21.75">
      <c r="A12" s="530"/>
      <c r="B12" s="530" t="s">
        <v>389</v>
      </c>
      <c r="C12" s="532">
        <f>1*E$3</f>
        <v>9</v>
      </c>
      <c r="D12" s="533" t="s">
        <v>37</v>
      </c>
      <c r="E12" s="534">
        <v>300</v>
      </c>
      <c r="F12" s="535">
        <f t="shared" si="0"/>
        <v>2700</v>
      </c>
      <c r="G12" s="531">
        <f>'[20]สรุปราคา ปร.5'!G$11</f>
        <v>1.3028999999999999</v>
      </c>
      <c r="H12" s="536">
        <f t="shared" si="2"/>
        <v>390.87</v>
      </c>
      <c r="I12" s="536">
        <f t="shared" si="1"/>
        <v>3517.83</v>
      </c>
    </row>
    <row r="13" spans="1:9" ht="21.75">
      <c r="A13" s="530"/>
      <c r="B13" s="530" t="s">
        <v>390</v>
      </c>
      <c r="C13" s="532">
        <f>1*E$3</f>
        <v>9</v>
      </c>
      <c r="D13" s="533" t="s">
        <v>371</v>
      </c>
      <c r="E13" s="534">
        <v>400</v>
      </c>
      <c r="F13" s="535">
        <f t="shared" si="0"/>
        <v>3600</v>
      </c>
      <c r="G13" s="531">
        <f>'[20]สรุปราคา ปร.5'!G$11</f>
        <v>1.3028999999999999</v>
      </c>
      <c r="H13" s="536">
        <f t="shared" si="2"/>
        <v>521.16</v>
      </c>
      <c r="I13" s="536">
        <f t="shared" si="1"/>
        <v>4690.4399999999996</v>
      </c>
    </row>
    <row r="14" spans="1:9" ht="21" customHeight="1">
      <c r="A14" s="529"/>
      <c r="B14" s="530" t="s">
        <v>391</v>
      </c>
      <c r="C14" s="532">
        <f>1*E$3</f>
        <v>9</v>
      </c>
      <c r="D14" s="533" t="s">
        <v>371</v>
      </c>
      <c r="E14" s="534">
        <v>300</v>
      </c>
      <c r="F14" s="535">
        <f>E14*C14</f>
        <v>2700</v>
      </c>
      <c r="G14" s="531">
        <f>'[20]สรุปราคา ปร.5'!G$11</f>
        <v>1.3028999999999999</v>
      </c>
      <c r="H14" s="536">
        <f t="shared" si="2"/>
        <v>390.87</v>
      </c>
      <c r="I14" s="536">
        <f t="shared" si="1"/>
        <v>3517.83</v>
      </c>
    </row>
    <row r="15" spans="1:9" ht="21" customHeight="1">
      <c r="A15" s="529">
        <v>2</v>
      </c>
      <c r="B15" s="530" t="s">
        <v>392</v>
      </c>
      <c r="C15" s="532"/>
      <c r="D15" s="538"/>
      <c r="E15" s="539"/>
      <c r="F15" s="540"/>
      <c r="G15" s="531"/>
      <c r="H15" s="536"/>
      <c r="I15" s="531"/>
    </row>
    <row r="16" spans="1:9" ht="21" customHeight="1">
      <c r="A16" s="530"/>
      <c r="B16" s="530" t="s">
        <v>393</v>
      </c>
      <c r="C16" s="532">
        <v>1</v>
      </c>
      <c r="D16" s="533" t="s">
        <v>37</v>
      </c>
      <c r="E16" s="537">
        <v>48000</v>
      </c>
      <c r="F16" s="535">
        <f t="shared" ref="F16:F21" si="3">E16*C16</f>
        <v>48000</v>
      </c>
      <c r="G16" s="531">
        <f>'[20]สรุปราคา ปร.5'!G$11</f>
        <v>1.3028999999999999</v>
      </c>
      <c r="H16" s="536">
        <f t="shared" si="2"/>
        <v>62539.199999999997</v>
      </c>
      <c r="I16" s="536">
        <f>H16*C16</f>
        <v>62539.199999999997</v>
      </c>
    </row>
    <row r="17" spans="1:9" ht="21" customHeight="1">
      <c r="A17" s="530"/>
      <c r="B17" s="530" t="s">
        <v>394</v>
      </c>
      <c r="C17" s="532">
        <v>5</v>
      </c>
      <c r="D17" s="533" t="s">
        <v>202</v>
      </c>
      <c r="E17" s="537">
        <v>56</v>
      </c>
      <c r="F17" s="535">
        <f t="shared" si="3"/>
        <v>280</v>
      </c>
      <c r="G17" s="531">
        <f>'[20]สรุปราคา ปร.5'!G$11</f>
        <v>1.3028999999999999</v>
      </c>
      <c r="H17" s="536">
        <f t="shared" si="2"/>
        <v>72.962400000000002</v>
      </c>
      <c r="I17" s="536">
        <f t="shared" ref="I17:I21" si="4">H17*C17</f>
        <v>364.81200000000001</v>
      </c>
    </row>
    <row r="18" spans="1:9" ht="21" customHeight="1">
      <c r="A18" s="530"/>
      <c r="B18" s="530" t="s">
        <v>395</v>
      </c>
      <c r="C18" s="532">
        <v>20</v>
      </c>
      <c r="D18" s="533" t="s">
        <v>202</v>
      </c>
      <c r="E18" s="537">
        <v>150</v>
      </c>
      <c r="F18" s="535">
        <f t="shared" si="3"/>
        <v>3000</v>
      </c>
      <c r="G18" s="531">
        <f>'[20]สรุปราคา ปร.5'!G$11</f>
        <v>1.3028999999999999</v>
      </c>
      <c r="H18" s="536">
        <f t="shared" si="2"/>
        <v>195.435</v>
      </c>
      <c r="I18" s="536">
        <f t="shared" si="4"/>
        <v>3908.7</v>
      </c>
    </row>
    <row r="19" spans="1:9" ht="21" customHeight="1">
      <c r="A19" s="530"/>
      <c r="B19" s="530" t="s">
        <v>396</v>
      </c>
      <c r="C19" s="532">
        <v>10</v>
      </c>
      <c r="D19" s="533" t="s">
        <v>202</v>
      </c>
      <c r="E19" s="537">
        <v>117</v>
      </c>
      <c r="F19" s="535">
        <f t="shared" si="3"/>
        <v>1170</v>
      </c>
      <c r="G19" s="531">
        <f>'[20]สรุปราคา ปร.5'!G$11</f>
        <v>1.3028999999999999</v>
      </c>
      <c r="H19" s="536">
        <f t="shared" si="2"/>
        <v>152.4393</v>
      </c>
      <c r="I19" s="536">
        <f t="shared" si="4"/>
        <v>1524.393</v>
      </c>
    </row>
    <row r="20" spans="1:9" ht="21" customHeight="1">
      <c r="A20" s="530"/>
      <c r="B20" s="530" t="s">
        <v>397</v>
      </c>
      <c r="C20" s="532">
        <v>1</v>
      </c>
      <c r="D20" s="533" t="s">
        <v>202</v>
      </c>
      <c r="E20" s="537">
        <v>500</v>
      </c>
      <c r="F20" s="535">
        <f t="shared" si="3"/>
        <v>500</v>
      </c>
      <c r="G20" s="531">
        <f>'[20]สรุปราคา ปร.5'!G$11</f>
        <v>1.3028999999999999</v>
      </c>
      <c r="H20" s="536">
        <f t="shared" si="2"/>
        <v>651.44999999999993</v>
      </c>
      <c r="I20" s="536">
        <f t="shared" si="4"/>
        <v>651.44999999999993</v>
      </c>
    </row>
    <row r="21" spans="1:9" ht="21" customHeight="1">
      <c r="A21" s="529">
        <v>3</v>
      </c>
      <c r="B21" s="530" t="s">
        <v>398</v>
      </c>
      <c r="C21" s="541">
        <f>E3</f>
        <v>9</v>
      </c>
      <c r="D21" s="533" t="s">
        <v>37</v>
      </c>
      <c r="E21" s="542">
        <v>1000</v>
      </c>
      <c r="F21" s="535">
        <f t="shared" si="3"/>
        <v>9000</v>
      </c>
      <c r="G21" s="531">
        <f>'[20]สรุปราคา ปร.5'!G$11</f>
        <v>1.3028999999999999</v>
      </c>
      <c r="H21" s="536">
        <f t="shared" si="2"/>
        <v>1302.8999999999999</v>
      </c>
      <c r="I21" s="536">
        <f t="shared" si="4"/>
        <v>11726.099999999999</v>
      </c>
    </row>
    <row r="22" spans="1:9" ht="21" customHeight="1">
      <c r="A22" s="543">
        <v>4</v>
      </c>
      <c r="B22" s="544" t="s">
        <v>399</v>
      </c>
      <c r="C22" s="545"/>
      <c r="D22" s="546"/>
      <c r="E22" s="547"/>
      <c r="F22" s="548"/>
      <c r="G22" s="531"/>
      <c r="H22" s="536"/>
      <c r="I22" s="531"/>
    </row>
    <row r="23" spans="1:9" ht="21" customHeight="1">
      <c r="A23" s="549"/>
      <c r="B23" s="550" t="s">
        <v>400</v>
      </c>
      <c r="C23" s="551">
        <f>35*E3</f>
        <v>315</v>
      </c>
      <c r="D23" s="552" t="s">
        <v>202</v>
      </c>
      <c r="E23" s="553">
        <f>E18</f>
        <v>150</v>
      </c>
      <c r="F23" s="553">
        <f t="shared" ref="F23:F25" si="5">E23*C23</f>
        <v>47250</v>
      </c>
      <c r="G23" s="531">
        <f>'[20]สรุปราคา ปร.5'!G$11</f>
        <v>1.3028999999999999</v>
      </c>
      <c r="H23" s="536">
        <f t="shared" si="2"/>
        <v>195.435</v>
      </c>
      <c r="I23" s="536">
        <f t="shared" ref="I23:I25" si="6">H23*C23</f>
        <v>61562.025000000001</v>
      </c>
    </row>
    <row r="24" spans="1:9" ht="21" customHeight="1">
      <c r="A24" s="549"/>
      <c r="B24" s="554" t="s">
        <v>401</v>
      </c>
      <c r="C24" s="551">
        <f>C23-70</f>
        <v>245</v>
      </c>
      <c r="D24" s="552" t="s">
        <v>202</v>
      </c>
      <c r="E24" s="553">
        <v>100</v>
      </c>
      <c r="F24" s="553">
        <f t="shared" si="5"/>
        <v>24500</v>
      </c>
      <c r="G24" s="531">
        <f>'[20]สรุปราคา ปร.5'!G$11</f>
        <v>1.3028999999999999</v>
      </c>
      <c r="H24" s="536">
        <f t="shared" si="2"/>
        <v>130.29</v>
      </c>
      <c r="I24" s="536">
        <f t="shared" si="6"/>
        <v>31921.05</v>
      </c>
    </row>
    <row r="25" spans="1:9" ht="21" customHeight="1">
      <c r="A25" s="555"/>
      <c r="B25" s="556" t="s">
        <v>402</v>
      </c>
      <c r="C25" s="557">
        <v>30</v>
      </c>
      <c r="D25" s="558" t="s">
        <v>202</v>
      </c>
      <c r="E25" s="559">
        <v>1000</v>
      </c>
      <c r="F25" s="559">
        <f t="shared" si="5"/>
        <v>30000</v>
      </c>
      <c r="G25" s="560">
        <f>'[20]สรุปราคา ปร.5'!G$11</f>
        <v>1.3028999999999999</v>
      </c>
      <c r="H25" s="536">
        <f t="shared" si="2"/>
        <v>1302.8999999999999</v>
      </c>
      <c r="I25" s="561">
        <f t="shared" si="6"/>
        <v>39086.999999999993</v>
      </c>
    </row>
    <row r="26" spans="1:9" ht="21" customHeight="1">
      <c r="A26" s="562"/>
      <c r="B26" s="563" t="s">
        <v>330</v>
      </c>
      <c r="C26" s="564"/>
      <c r="D26" s="565"/>
      <c r="E26" s="566"/>
      <c r="F26" s="567">
        <f>SUM(F7:F25)</f>
        <v>392184.8</v>
      </c>
      <c r="G26" s="568">
        <f>'[20]สรุปราคา ปร.5'!G$11</f>
        <v>1.3028999999999999</v>
      </c>
      <c r="H26" s="569"/>
      <c r="I26" s="570">
        <f>F26*G26</f>
        <v>510977.57591999997</v>
      </c>
    </row>
    <row r="27" spans="1:9" ht="21" customHeight="1">
      <c r="A27" s="571"/>
      <c r="B27" s="563" t="s">
        <v>403</v>
      </c>
      <c r="C27" s="572"/>
      <c r="D27" s="573"/>
      <c r="E27" s="573"/>
      <c r="F27" s="574">
        <f>F26/E3</f>
        <v>43576.088888888888</v>
      </c>
      <c r="G27" s="568">
        <f>'[20]สรุปราคา ปร.5'!G$11</f>
        <v>1.3028999999999999</v>
      </c>
      <c r="H27" s="569"/>
      <c r="I27" s="570">
        <f>F27*G27</f>
        <v>56775.286213333333</v>
      </c>
    </row>
    <row r="28" spans="1:9" ht="21.75">
      <c r="A28" s="575">
        <v>5</v>
      </c>
      <c r="B28" s="576" t="s">
        <v>404</v>
      </c>
      <c r="C28" s="577"/>
      <c r="D28" s="578"/>
      <c r="E28" s="578"/>
      <c r="F28" s="578"/>
      <c r="G28" s="578"/>
      <c r="H28" s="579"/>
      <c r="I28" s="579"/>
    </row>
    <row r="29" spans="1:9" ht="21.75" hidden="1">
      <c r="A29" s="580">
        <v>1</v>
      </c>
      <c r="B29" s="581" t="s">
        <v>405</v>
      </c>
      <c r="C29" s="582"/>
      <c r="D29" s="583"/>
      <c r="E29" s="583"/>
      <c r="F29" s="583"/>
      <c r="G29" s="583"/>
      <c r="H29" s="531"/>
      <c r="I29" s="531"/>
    </row>
    <row r="30" spans="1:9" ht="21.75" hidden="1">
      <c r="A30" s="584"/>
      <c r="B30" s="581" t="s">
        <v>406</v>
      </c>
      <c r="C30" s="582"/>
      <c r="D30" s="583"/>
      <c r="E30" s="583"/>
      <c r="F30" s="583"/>
      <c r="G30" s="583"/>
      <c r="H30" s="531"/>
      <c r="I30" s="531"/>
    </row>
    <row r="31" spans="1:9" ht="21.75">
      <c r="A31" s="585"/>
      <c r="B31" s="581" t="s">
        <v>407</v>
      </c>
      <c r="C31" s="551">
        <v>1</v>
      </c>
      <c r="D31" s="586" t="s">
        <v>37</v>
      </c>
      <c r="E31" s="553">
        <v>140000</v>
      </c>
      <c r="F31" s="587">
        <f>E31*C31</f>
        <v>140000</v>
      </c>
      <c r="G31" s="588">
        <f>'[20]สรุปราคา ปร.5'!G$12</f>
        <v>1.07</v>
      </c>
      <c r="H31" s="536">
        <f t="shared" ref="H31:H35" si="7">E31*G31</f>
        <v>149800</v>
      </c>
      <c r="I31" s="536">
        <f t="shared" ref="I31" si="8">H31*C31</f>
        <v>149800</v>
      </c>
    </row>
    <row r="32" spans="1:9" ht="21.75">
      <c r="A32" s="585"/>
      <c r="B32" s="581" t="s">
        <v>408</v>
      </c>
      <c r="C32" s="551"/>
      <c r="D32" s="586"/>
      <c r="E32" s="589"/>
      <c r="F32" s="587"/>
      <c r="G32" s="590"/>
      <c r="H32" s="536"/>
      <c r="I32" s="536"/>
    </row>
    <row r="33" spans="1:9" ht="21.75">
      <c r="A33" s="552"/>
      <c r="B33" s="581" t="s">
        <v>409</v>
      </c>
      <c r="C33" s="551">
        <v>1</v>
      </c>
      <c r="D33" s="591" t="s">
        <v>124</v>
      </c>
      <c r="E33" s="553">
        <v>1000</v>
      </c>
      <c r="F33" s="587">
        <f>E33*C33</f>
        <v>1000</v>
      </c>
      <c r="G33" s="590">
        <f>'[20]สรุปราคา ปร.5'!G$12</f>
        <v>1.07</v>
      </c>
      <c r="H33" s="536">
        <f t="shared" si="7"/>
        <v>1070</v>
      </c>
      <c r="I33" s="536">
        <f t="shared" ref="I33:I35" si="9">H33*C33</f>
        <v>1070</v>
      </c>
    </row>
    <row r="34" spans="1:9" ht="21" customHeight="1">
      <c r="A34" s="552"/>
      <c r="B34" s="581" t="s">
        <v>410</v>
      </c>
      <c r="C34" s="551">
        <v>1</v>
      </c>
      <c r="D34" s="591" t="s">
        <v>124</v>
      </c>
      <c r="E34" s="589">
        <v>300</v>
      </c>
      <c r="F34" s="587">
        <f>E34*C34</f>
        <v>300</v>
      </c>
      <c r="G34" s="590">
        <f>'[20]สรุปราคา ปร.5'!G$12</f>
        <v>1.07</v>
      </c>
      <c r="H34" s="536">
        <f t="shared" si="7"/>
        <v>321</v>
      </c>
      <c r="I34" s="536">
        <f t="shared" si="9"/>
        <v>321</v>
      </c>
    </row>
    <row r="35" spans="1:9" ht="21.75">
      <c r="A35" s="552"/>
      <c r="B35" s="592" t="s">
        <v>411</v>
      </c>
      <c r="C35" s="551">
        <f>C31</f>
        <v>1</v>
      </c>
      <c r="D35" s="591" t="s">
        <v>37</v>
      </c>
      <c r="E35" s="553">
        <v>3000</v>
      </c>
      <c r="F35" s="587">
        <f>E35*C35</f>
        <v>3000</v>
      </c>
      <c r="G35" s="590">
        <f>'[20]สรุปราคา ปร.5'!G$12</f>
        <v>1.07</v>
      </c>
      <c r="H35" s="536">
        <f t="shared" si="7"/>
        <v>3210</v>
      </c>
      <c r="I35" s="536">
        <f t="shared" si="9"/>
        <v>3210</v>
      </c>
    </row>
    <row r="36" spans="1:9" ht="21.75">
      <c r="A36" s="593"/>
      <c r="B36" s="594" t="s">
        <v>412</v>
      </c>
      <c r="C36" s="557"/>
      <c r="D36" s="595"/>
      <c r="E36" s="596"/>
      <c r="F36" s="597"/>
      <c r="G36" s="598"/>
      <c r="H36" s="599"/>
      <c r="I36" s="561"/>
    </row>
    <row r="37" spans="1:9" ht="21.75">
      <c r="A37" s="600"/>
      <c r="B37" s="601" t="s">
        <v>413</v>
      </c>
      <c r="C37" s="602"/>
      <c r="D37" s="603"/>
      <c r="E37" s="604"/>
      <c r="F37" s="604">
        <f>SUM(F31:F35)</f>
        <v>144300</v>
      </c>
      <c r="G37" s="605">
        <f>'[20]สรุปราคา ปร.5'!G$12</f>
        <v>1.07</v>
      </c>
      <c r="H37" s="606"/>
      <c r="I37" s="570">
        <f>F37*G37</f>
        <v>154401</v>
      </c>
    </row>
    <row r="38" spans="1:9" ht="21.75">
      <c r="A38" s="568"/>
      <c r="B38" s="607" t="s">
        <v>414</v>
      </c>
      <c r="C38" s="900" t="str">
        <f>CONCATENATE("(",BAHTTEXT(I38),")")</f>
        <v>(หกแสนหกหมื่นห้าพันสามร้อยเจ็ดสิบแปดบาทห้าสิบแปดสตางค์)</v>
      </c>
      <c r="D38" s="900"/>
      <c r="E38" s="900"/>
      <c r="F38" s="900"/>
      <c r="G38" s="900"/>
      <c r="H38" s="900"/>
      <c r="I38" s="570">
        <f>I26+I37</f>
        <v>665378.57591999997</v>
      </c>
    </row>
    <row r="39" spans="1:9" ht="21.75">
      <c r="A39" s="608"/>
      <c r="B39" s="609"/>
      <c r="C39" s="610"/>
      <c r="D39" s="610"/>
      <c r="E39" s="610"/>
      <c r="F39" s="610"/>
      <c r="G39" s="610"/>
      <c r="H39" s="610"/>
      <c r="I39" s="611"/>
    </row>
    <row r="40" spans="1:9" ht="21" customHeight="1">
      <c r="A40" s="612"/>
      <c r="B40" s="613"/>
      <c r="C40" s="901" t="s">
        <v>415</v>
      </c>
      <c r="D40" s="901"/>
      <c r="E40" s="901"/>
      <c r="F40" s="901"/>
      <c r="G40" s="901"/>
      <c r="H40" s="901"/>
      <c r="I40" s="901"/>
    </row>
    <row r="41" spans="1:9" ht="21" customHeight="1">
      <c r="A41" s="614"/>
      <c r="B41" s="613"/>
      <c r="C41" s="901" t="s">
        <v>416</v>
      </c>
      <c r="D41" s="901"/>
      <c r="E41" s="901"/>
      <c r="F41" s="901"/>
      <c r="G41" s="901"/>
      <c r="H41" s="901"/>
      <c r="I41" s="901"/>
    </row>
    <row r="42" spans="1:9" ht="21" customHeight="1">
      <c r="A42" s="614"/>
      <c r="B42" s="612"/>
      <c r="C42" s="612"/>
      <c r="D42" s="612"/>
      <c r="E42" s="612"/>
      <c r="F42" s="612"/>
      <c r="G42" s="614"/>
      <c r="H42" s="614"/>
      <c r="I42" s="614"/>
    </row>
    <row r="43" spans="1:9" ht="21" customHeight="1">
      <c r="A43" s="614"/>
      <c r="B43" s="615"/>
      <c r="C43" s="616"/>
      <c r="D43" s="615"/>
      <c r="E43" s="615"/>
      <c r="F43" s="615" t="s">
        <v>417</v>
      </c>
      <c r="G43" s="614"/>
      <c r="H43" s="614"/>
      <c r="I43" s="614"/>
    </row>
    <row r="44" spans="1:9" ht="21" customHeight="1">
      <c r="A44" s="614"/>
      <c r="B44" s="612"/>
      <c r="C44" s="612"/>
      <c r="D44" s="612"/>
      <c r="E44" s="612"/>
      <c r="F44" s="612" t="s">
        <v>418</v>
      </c>
      <c r="G44" s="614"/>
      <c r="H44" s="614"/>
      <c r="I44" s="614"/>
    </row>
    <row r="45" spans="1:9" ht="21" customHeight="1">
      <c r="A45" s="614"/>
      <c r="B45" s="612"/>
      <c r="C45" s="612"/>
      <c r="D45" s="612"/>
      <c r="E45" s="612"/>
      <c r="F45" s="612" t="s">
        <v>419</v>
      </c>
      <c r="G45" s="614"/>
      <c r="H45" s="614"/>
      <c r="I45" s="614"/>
    </row>
    <row r="46" spans="1:9" ht="21" customHeight="1">
      <c r="A46" s="614"/>
      <c r="B46" s="617"/>
      <c r="C46" s="618"/>
      <c r="D46" s="617"/>
      <c r="E46" s="617"/>
      <c r="F46" s="617"/>
      <c r="G46" s="614"/>
      <c r="H46" s="614"/>
      <c r="I46" s="614"/>
    </row>
    <row r="47" spans="1:9" ht="21" customHeight="1">
      <c r="A47" s="614"/>
      <c r="B47" s="615"/>
      <c r="C47" s="616"/>
      <c r="D47" s="615"/>
      <c r="E47" s="615"/>
      <c r="F47" s="615" t="s">
        <v>420</v>
      </c>
      <c r="G47" s="614"/>
      <c r="H47" s="614"/>
      <c r="I47" s="614"/>
    </row>
    <row r="48" spans="1:9" ht="21" customHeight="1">
      <c r="A48" s="614"/>
      <c r="B48" s="612"/>
      <c r="C48" s="612"/>
      <c r="D48" s="612"/>
      <c r="E48" s="612"/>
      <c r="F48" s="612" t="s">
        <v>421</v>
      </c>
      <c r="G48" s="614"/>
      <c r="H48" s="614"/>
      <c r="I48" s="614"/>
    </row>
    <row r="49" spans="1:9" ht="21" customHeight="1">
      <c r="A49" s="614"/>
      <c r="B49" s="612"/>
      <c r="C49" s="612"/>
      <c r="D49" s="612"/>
      <c r="E49" s="612"/>
      <c r="F49" s="612" t="s">
        <v>422</v>
      </c>
      <c r="G49" s="614"/>
      <c r="H49" s="614"/>
      <c r="I49" s="614"/>
    </row>
    <row r="50" spans="1:9" ht="21" customHeight="1">
      <c r="A50" s="614"/>
      <c r="B50" s="618"/>
      <c r="C50" s="615"/>
      <c r="D50" s="618"/>
      <c r="E50" s="618"/>
      <c r="F50" s="618"/>
      <c r="G50" s="614"/>
      <c r="H50" s="614"/>
      <c r="I50" s="614"/>
    </row>
    <row r="51" spans="1:9" ht="21" customHeight="1">
      <c r="A51" s="614"/>
      <c r="B51" s="615"/>
      <c r="C51" s="616"/>
      <c r="D51" s="615"/>
      <c r="E51" s="615"/>
      <c r="F51" s="615" t="s">
        <v>420</v>
      </c>
      <c r="G51" s="614"/>
      <c r="H51" s="614"/>
      <c r="I51" s="614"/>
    </row>
    <row r="52" spans="1:9" ht="21" customHeight="1">
      <c r="A52" s="614"/>
      <c r="B52" s="612"/>
      <c r="C52" s="612"/>
      <c r="D52" s="612"/>
      <c r="E52" s="612"/>
      <c r="F52" s="612" t="s">
        <v>423</v>
      </c>
      <c r="G52" s="614"/>
      <c r="H52" s="614"/>
      <c r="I52" s="614"/>
    </row>
    <row r="53" spans="1:9" ht="21" customHeight="1">
      <c r="A53" s="614"/>
      <c r="B53" s="612"/>
      <c r="C53" s="612"/>
      <c r="D53" s="612"/>
      <c r="E53" s="612"/>
      <c r="F53" s="612" t="s">
        <v>424</v>
      </c>
      <c r="G53" s="614"/>
      <c r="H53" s="614"/>
      <c r="I53" s="614"/>
    </row>
  </sheetData>
  <mergeCells count="10">
    <mergeCell ref="G4:G5"/>
    <mergeCell ref="C38:H38"/>
    <mergeCell ref="C40:I40"/>
    <mergeCell ref="C41:I41"/>
    <mergeCell ref="A1:F1"/>
    <mergeCell ref="A4:A5"/>
    <mergeCell ref="B4:B5"/>
    <mergeCell ref="C4:C5"/>
    <mergeCell ref="D4:D5"/>
    <mergeCell ref="E4:F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zoomScale="70" zoomScaleNormal="70" workbookViewId="0"/>
  </sheetViews>
  <sheetFormatPr defaultRowHeight="21.7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8</vt:i4>
      </vt:variant>
      <vt:variant>
        <vt:lpstr>ช่วงที่มีชื่อ</vt:lpstr>
      </vt:variant>
      <vt:variant>
        <vt:i4>3</vt:i4>
      </vt:variant>
    </vt:vector>
  </HeadingPairs>
  <TitlesOfParts>
    <vt:vector size="11" baseType="lpstr">
      <vt:lpstr>ข้อมูล</vt:lpstr>
      <vt:lpstr>S2</vt:lpstr>
      <vt:lpstr>S3</vt:lpstr>
      <vt:lpstr>ปร.4</vt:lpstr>
      <vt:lpstr>ปร.5</vt:lpstr>
      <vt:lpstr>คำนวน</vt:lpstr>
      <vt:lpstr>ไฟฟ้า</vt:lpstr>
      <vt:lpstr>Sheet1</vt:lpstr>
      <vt:lpstr>คำนวน!Print_Area</vt:lpstr>
      <vt:lpstr>ปร.4!Print_Area</vt:lpstr>
      <vt:lpstr>ปร.5!Print_Area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AdminPDC</cp:lastModifiedBy>
  <cp:lastPrinted>2024-04-01T07:03:18Z</cp:lastPrinted>
  <dcterms:created xsi:type="dcterms:W3CDTF">1999-01-11T08:20:28Z</dcterms:created>
  <dcterms:modified xsi:type="dcterms:W3CDTF">2024-04-01T07:28:19Z</dcterms:modified>
</cp:coreProperties>
</file>